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99699f1e4e6464a5/Desktop/Jessica Work/Active Projects/National City - Euclid Avenue Apartments/"/>
    </mc:Choice>
  </mc:AlternateContent>
  <xr:revisionPtr revIDLastSave="0" documentId="8_{18290AB3-FC50-4F79-9317-89A1D87EAC37}" xr6:coauthVersionLast="47" xr6:coauthVersionMax="47" xr10:uidLastSave="{00000000-0000-0000-0000-000000000000}"/>
  <bookViews>
    <workbookView xWindow="-28920" yWindow="-120" windowWidth="29040" windowHeight="1572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69" i="4" l="1"/>
  <c r="C69" i="4"/>
  <c r="E99" i="4"/>
  <c r="E69" i="4"/>
  <c r="E65" i="4"/>
  <c r="E57" i="4"/>
  <c r="W854" i="3"/>
  <c r="W869" i="3"/>
  <c r="W880" i="3"/>
  <c r="C65" i="4"/>
  <c r="C57" i="4"/>
  <c r="S45" i="4"/>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B26" i="4" l="1"/>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T891" i="20" l="1"/>
  <c r="AF891" i="20" s="1"/>
  <c r="BE82" i="3" s="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31" i="21" l="1"/>
  <c r="P31" i="21" s="1" a="1"/>
  <c r="S31" i="21" s="1"/>
  <c r="O30" i="21"/>
  <c r="P30" i="21" s="1" a="1"/>
  <c r="S30" i="21" s="1"/>
  <c r="O29" i="21"/>
  <c r="P29" i="21" s="1" a="1"/>
  <c r="S29" i="21" s="1"/>
  <c r="O28" i="21"/>
  <c r="P28" i="21" s="1" a="1"/>
  <c r="S28" i="21" s="1"/>
  <c r="O27" i="21"/>
  <c r="P27" i="21" s="1" a="1"/>
  <c r="S27" i="21" s="1"/>
  <c r="O26" i="21"/>
  <c r="P26" i="21" s="1" a="1"/>
  <c r="S26" i="21" s="1"/>
  <c r="O25" i="21"/>
  <c r="P25" i="21" s="1" a="1"/>
  <c r="S25" i="21" s="1"/>
  <c r="O24" i="21"/>
  <c r="P24" i="21" s="1" a="1"/>
  <c r="S24" i="21" s="1"/>
  <c r="O23" i="21"/>
  <c r="P23" i="21" s="1" a="1"/>
  <c r="S23" i="21" s="1"/>
  <c r="O22" i="21"/>
  <c r="P22" i="21" s="1" a="1"/>
  <c r="S22" i="21" s="1"/>
  <c r="O21" i="21"/>
  <c r="P21" i="21" s="1" a="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P20" i="21" a="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38" i="3" l="1"/>
  <c r="AJ1045" i="3"/>
  <c r="I15" i="21" s="1"/>
  <c r="AD11" i="15"/>
  <c r="AD23" i="15" s="1"/>
  <c r="AD26" i="15" s="1"/>
  <c r="AD28" i="15" s="1"/>
  <c r="AI11" i="15"/>
  <c r="AI23" i="15" s="1"/>
  <c r="AI26" i="15" s="1"/>
  <c r="AI28" i="15" s="1"/>
  <c r="AC465" i="3"/>
  <c r="E138" i="20"/>
  <c r="AK142" i="20" s="1"/>
  <c r="T879" i="20" s="1"/>
  <c r="AF879" i="20" s="1"/>
  <c r="BE72" i="3"/>
  <c r="G166" i="21"/>
  <c r="G165" i="21"/>
  <c r="N181" i="24"/>
  <c r="N191" i="24"/>
  <c r="T883" i="20"/>
  <c r="AF883" i="20" s="1"/>
  <c r="BE76" i="3"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Y11" i="15"/>
  <c r="Y23" i="15" s="1"/>
  <c r="Y26" i="15" s="1"/>
  <c r="Y28" i="15" s="1"/>
  <c r="BE74" i="3"/>
  <c r="AP566" i="20"/>
  <c r="U58" i="7"/>
  <c r="W53" i="7"/>
  <c r="AJ1062" i="3"/>
  <c r="AA1066" i="3" s="1"/>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6" i="15" l="1"/>
  <c r="T28" i="15" s="1"/>
  <c r="T29" i="15" s="1"/>
  <c r="Y64" i="15"/>
  <c r="Y68" i="15" s="1"/>
  <c r="Y69" i="15" s="1"/>
  <c r="G1067" i="3"/>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2" i="7"/>
  <c r="K47" i="7"/>
  <c r="K60" i="7"/>
  <c r="K48" i="7"/>
  <c r="U22" i="7"/>
  <c r="U35" i="7" s="1"/>
  <c r="W15" i="7"/>
  <c r="U9" i="7"/>
  <c r="W8" i="7"/>
  <c r="E14" i="21" l="1"/>
  <c r="Y41" i="15"/>
  <c r="AB56" i="15" s="1"/>
  <c r="M26" i="3" s="1"/>
  <c r="AC53" i="7"/>
  <c r="AA58" i="7"/>
  <c r="U4" i="7"/>
  <c r="S5" i="7"/>
  <c r="M48" i="7"/>
  <c r="M47" i="7"/>
  <c r="M60" i="7"/>
  <c r="O45" i="7"/>
  <c r="O49" i="7"/>
  <c r="K66" i="7"/>
  <c r="K62" i="7"/>
  <c r="Q7" i="7"/>
  <c r="Q11" i="7" s="1"/>
  <c r="Q37" i="7" s="1"/>
  <c r="S6" i="7"/>
  <c r="I70" i="7"/>
  <c r="I72" i="7" s="1"/>
  <c r="W22" i="7"/>
  <c r="W35" i="7" s="1"/>
  <c r="Y15" i="7"/>
  <c r="W9" i="7"/>
  <c r="Y8" i="7"/>
  <c r="E18" i="21" l="1"/>
  <c r="BE19" i="3"/>
  <c r="AE53" i="7"/>
  <c r="AC58" i="7"/>
  <c r="AB57" i="15"/>
  <c r="P204" i="3"/>
  <c r="U5" i="7"/>
  <c r="W4" i="7"/>
  <c r="Q49" i="7"/>
  <c r="Q45" i="7"/>
  <c r="M62"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6" i="7"/>
  <c r="O62" i="7"/>
  <c r="Q60" i="7"/>
  <c r="Q48" i="7"/>
  <c r="Q47" i="7"/>
  <c r="S49" i="7"/>
  <c r="S45" i="7"/>
  <c r="AC15" i="7"/>
  <c r="AA22" i="7"/>
  <c r="AA35" i="7" s="1"/>
  <c r="AC8" i="7"/>
  <c r="AA9" i="7"/>
  <c r="AB79" i="15" l="1"/>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<sst xmlns="http://schemas.openxmlformats.org/spreadsheetml/2006/main" count="5303" uniqueCount="2837">
  <si>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</si>
  <si>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</si>
  <si>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</si>
  <si>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</si>
  <si>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</si>
  <si>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</si>
  <si>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</si>
  <si>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</si>
  <si>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</si>
  <si>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</si>
  <si>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</si>
  <si>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</si>
  <si>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</si>
  <si>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</si>
  <si>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</si>
  <si>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</si>
  <si>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</si>
  <si>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</si>
  <si>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</si>
  <si>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</si>
  <si>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</si>
  <si>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</si>
  <si>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</si>
  <si>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</si>
  <si>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</si>
  <si>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</si>
  <si>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</si>
  <si>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</si>
  <si>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</si>
  <si>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</si>
  <si>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</si>
  <si>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</si>
  <si>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</si>
  <si>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</si>
  <si>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</si>
  <si>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</si>
  <si>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</si>
  <si>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</si>
  <si>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</si>
  <si>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</si>
  <si>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</si>
  <si>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</si>
  <si>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</si>
  <si>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</si>
  <si>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</si>
  <si>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</si>
  <si>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</si>
  <si>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</si>
  <si>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</si>
  <si>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</si>
  <si>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</si>
  <si>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</si>
  <si>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</si>
  <si>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</si>
  <si>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</si>
  <si>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</si>
  <si>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</si>
  <si>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</si>
  <si>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</si>
  <si>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</si>
  <si>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</si>
  <si>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</si>
  <si>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</si>
  <si>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</si>
  <si>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</si>
  <si>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</si>
  <si>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</si>
  <si>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</si>
  <si>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</si>
  <si>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</si>
  <si>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</si>
  <si>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</si>
  <si>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</si>
  <si>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</si>
  <si>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</si>
  <si>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</si>
  <si>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</si>
  <si>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</si>
  <si>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</si>
  <si>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</si>
  <si>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</si>
  <si>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</si>
  <si>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</si>
  <si>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</si>
  <si>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</si>
  <si>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</si>
  <si>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</si>
  <si>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</si>
  <si>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</si>
  <si>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</si>
  <si>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</si>
  <si>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</si>
  <si>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</si>
  <si>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</si>
  <si>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</si>
  <si>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</si>
  <si>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</si>
  <si>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</si>
  <si>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</si>
  <si>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</si>
  <si>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</si>
  <si>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</si>
  <si>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</si>
  <si>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</si>
  <si>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</si>
  <si>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</si>
  <si>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</si>
  <si>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</si>
  <si>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</si>
  <si>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</si>
  <si>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</si>
  <si>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</si>
  <si>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</si>
  <si>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</si>
  <si>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</si>
  <si>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</si>
  <si>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</si>
  <si>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</si>
  <si>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</si>
  <si>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</si>
  <si>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</si>
  <si>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</si>
  <si>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</si>
  <si>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</si>
  <si>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</si>
  <si>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</si>
  <si>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</si>
  <si>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</si>
  <si>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</si>
  <si>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</si>
  <si>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</si>
  <si>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</si>
  <si>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</si>
  <si>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</si>
  <si>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</si>
  <si>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</si>
  <si>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</si>
  <si>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</si>
  <si>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</si>
  <si>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</si>
  <si>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</si>
  <si>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</si>
  <si>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</si>
  <si>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</si>
  <si>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</si>
  <si>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</si>
  <si>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</si>
  <si>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</si>
  <si>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</si>
  <si>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</si>
  <si>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</si>
  <si>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</si>
  <si>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</si>
  <si>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</si>
  <si>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</si>
  <si>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</si>
  <si>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</si>
  <si>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</si>
  <si>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</si>
  <si>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</si>
  <si>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</si>
  <si>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</si>
  <si>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</si>
  <si>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</si>
  <si>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</si>
  <si>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</si>
  <si>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</si>
  <si>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</si>
  <si>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</si>
  <si>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</si>
  <si>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</si>
  <si>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</si>
  <si>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</si>
  <si>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</si>
  <si>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</si>
  <si>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</si>
  <si>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</si>
  <si>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</si>
  <si>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</si>
  <si>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</si>
  <si>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</si>
  <si>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</si>
  <si>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</si>
  <si>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</si>
  <si>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</si>
  <si>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</si>
  <si>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</si>
  <si>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</si>
  <si>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</si>
  <si>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</si>
  <si>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</si>
  <si>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</si>
  <si>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</si>
  <si>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</si>
  <si>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</si>
  <si>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</si>
  <si>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</si>
  <si>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</si>
  <si>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</si>
  <si>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</si>
  <si>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</si>
  <si>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</si>
  <si>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</si>
  <si>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</si>
  <si>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</si>
  <si>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</si>
  <si>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</si>
  <si>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</si>
  <si>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</si>
  <si>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</si>
  <si>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</si>
  <si>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</si>
  <si>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</si>
  <si>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</si>
  <si>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</si>
  <si>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</si>
  <si>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</si>
  <si>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</si>
  <si>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</si>
  <si>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</si>
  <si>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</si>
  <si>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</si>
  <si>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</si>
  <si>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</si>
  <si>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</si>
  <si>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</si>
  <si>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</si>
  <si>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</si>
  <si>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</si>
  <si>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</si>
  <si>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</si>
  <si>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</si>
  <si>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</si>
  <si>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</si>
  <si>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</si>
  <si>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</si>
  <si>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</si>
  <si>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</si>
  <si>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</si>
  <si>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</si>
  <si>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</si>
  <si>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</si>
  <si>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</si>
  <si>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</si>
  <si>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</si>
  <si>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</si>
  <si>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</si>
  <si>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</si>
  <si>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</si>
  <si>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</si>
  <si>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</si>
  <si>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</si>
  <si>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</si>
  <si>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</si>
  <si>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</si>
  <si>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</si>
  <si>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</si>
  <si>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</si>
  <si>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</si>
  <si>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</si>
  <si>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</si>
  <si>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</si>
  <si>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</si>
  <si>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</si>
  <si>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</si>
  <si>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</si>
  <si>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</si>
  <si>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</si>
  <si>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</si>
  <si>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</si>
  <si>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</si>
  <si>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</si>
  <si>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</si>
  <si>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</si>
  <si>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</si>
  <si>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</si>
  <si>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</si>
  <si>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</si>
  <si>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</si>
  <si>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</si>
  <si>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</si>
  <si>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</si>
  <si>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</si>
  <si>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</si>
  <si>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</si>
  <si>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</si>
  <si>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</si>
  <si>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</si>
  <si>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</si>
  <si>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</si>
  <si>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</si>
  <si>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</si>
  <si>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</si>
  <si>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</si>
  <si>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</si>
  <si>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</si>
  <si>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</si>
  <si>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</si>
  <si>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</si>
  <si>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</si>
  <si>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</si>
  <si>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</si>
  <si>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</si>
  <si>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</si>
  <si>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</si>
  <si>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</si>
  <si>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</si>
  <si>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</si>
  <si>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</si>
  <si>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</si>
  <si>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</si>
  <si>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</si>
  <si>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</si>
  <si>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</si>
  <si>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</si>
  <si>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</si>
  <si>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</si>
  <si>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</si>
  <si>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</si>
  <si>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</si>
  <si>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</si>
  <si>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</si>
  <si>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</si>
  <si>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</si>
  <si>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</si>
  <si>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</si>
  <si>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</si>
  <si>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</si>
  <si>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</si>
  <si>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</si>
  <si>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</si>
  <si>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</si>
  <si>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</si>
  <si>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</si>
  <si>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</si>
  <si>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</si>
  <si>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</si>
  <si>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</si>
  <si>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</si>
  <si>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</si>
  <si>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</si>
  <si>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</si>
  <si>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</si>
  <si>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</si>
  <si>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</si>
  <si>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</si>
  <si>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</si>
  <si>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</si>
  <si>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</si>
  <si>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</si>
  <si>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</si>
  <si>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</si>
  <si>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</si>
  <si>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</si>
  <si>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</si>
  <si>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</si>
  <si>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</si>
  <si>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</si>
  <si>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</si>
  <si>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</si>
  <si>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</si>
  <si>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</si>
  <si>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</si>
  <si>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</si>
  <si>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</si>
  <si>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</si>
  <si>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</si>
  <si>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</si>
  <si>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</si>
  <si>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</si>
  <si>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</si>
  <si>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</si>
  <si>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</si>
  <si>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</si>
  <si>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</si>
  <si>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</si>
  <si>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</si>
  <si>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</si>
  <si>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</si>
  <si>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</si>
  <si>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</si>
  <si>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</si>
  <si>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</si>
  <si>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</si>
  <si>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</si>
  <si>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</si>
  <si>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</si>
  <si>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</si>
  <si>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</si>
  <si>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</si>
  <si>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</si>
  <si>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</si>
  <si>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</si>
  <si>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</si>
  <si>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</si>
  <si>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</si>
  <si>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</si>
  <si>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</si>
  <si>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</si>
  <si>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</si>
  <si>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</si>
  <si>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</si>
  <si>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</si>
  <si>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</si>
  <si>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</si>
  <si>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</si>
  <si>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</si>
  <si>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</si>
  <si>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</si>
  <si>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</si>
  <si>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</si>
  <si>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</si>
  <si>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</si>
  <si>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</si>
  <si>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</si>
  <si>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</si>
  <si>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</si>
  <si>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</si>
  <si>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</si>
  <si>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</si>
  <si>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</si>
  <si>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</si>
  <si>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</si>
  <si>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</si>
  <si>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</si>
  <si>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</si>
  <si>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</si>
  <si>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</si>
  <si>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</si>
  <si>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</si>
  <si>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</si>
  <si>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</si>
  <si>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</si>
  <si>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</si>
  <si>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</si>
  <si>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</si>
  <si>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</si>
  <si>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</si>
  <si>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</si>
  <si>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</si>
  <si>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</si>
  <si>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</si>
  <si>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</si>
  <si>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</si>
  <si>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</si>
  <si>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</si>
  <si>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</si>
  <si>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</si>
  <si>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</si>
  <si>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</si>
  <si>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</si>
  <si>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</si>
  <si>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</si>
  <si>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</si>
  <si>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</si>
  <si>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</si>
  <si>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</si>
  <si>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</si>
  <si>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</si>
  <si>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</si>
  <si>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</si>
  <si>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</si>
  <si>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</si>
  <si>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</si>
  <si>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</si>
  <si>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</si>
  <si>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</si>
  <si>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</si>
  <si>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</si>
  <si>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</si>
  <si>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</si>
  <si>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</si>
  <si>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</si>
  <si>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</si>
  <si>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</si>
  <si>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</si>
  <si>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</si>
  <si>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</si>
  <si>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</si>
  <si>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</si>
  <si>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</si>
  <si>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</si>
  <si>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</si>
  <si>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</si>
  <si>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</si>
  <si>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</si>
  <si>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</si>
  <si>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</si>
  <si>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</si>
  <si>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</si>
  <si>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</si>
  <si>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</si>
  <si>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</si>
  <si>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</si>
  <si>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</si>
  <si>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</si>
  <si>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</si>
  <si>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</si>
  <si>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</si>
  <si>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</si>
  <si>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</si>
  <si>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</si>
  <si>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</si>
  <si>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</si>
  <si>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</si>
  <si>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</si>
  <si>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</si>
  <si>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</si>
  <si>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</si>
  <si>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</si>
  <si>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</si>
  <si>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</si>
  <si>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</si>
  <si>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</si>
  <si>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</si>
  <si>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</si>
  <si>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</si>
  <si>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</si>
  <si>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</si>
  <si>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</si>
  <si>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</si>
  <si>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</si>
  <si>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</si>
  <si>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</si>
  <si>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</si>
  <si>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</si>
  <si>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</si>
  <si>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</si>
  <si>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</si>
  <si>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</si>
  <si>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</si>
  <si>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</si>
  <si>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</si>
  <si>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</si>
  <si>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</si>
  <si>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</si>
  <si>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</si>
  <si>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</si>
  <si>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</si>
  <si>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</si>
  <si>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</si>
  <si>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</si>
  <si>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</si>
  <si>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</si>
  <si>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</si>
  <si>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</si>
  <si>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</si>
  <si>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</si>
  <si>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</si>
  <si>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</si>
  <si>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</si>
  <si>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</si>
  <si>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</si>
  <si>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</si>
  <si>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</si>
  <si>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</si>
  <si>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</si>
  <si>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</si>
  <si>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</si>
  <si>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</si>
  <si>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</si>
  <si>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</si>
  <si>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</si>
  <si>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</si>
  <si>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</si>
  <si>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</si>
  <si>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</si>
  <si>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</si>
  <si>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</si>
  <si>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</si>
  <si>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</si>
  <si>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</si>
  <si>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</si>
  <si>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</si>
  <si>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</si>
  <si>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</si>
  <si>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</si>
  <si>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</si>
  <si>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</si>
  <si>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</si>
  <si>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</si>
  <si>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</si>
  <si>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</si>
  <si>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</si>
  <si>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</si>
  <si>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</si>
  <si>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</si>
  <si>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</si>
  <si>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</si>
  <si>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</si>
  <si>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</si>
  <si>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</si>
  <si>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</si>
  <si>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</si>
  <si>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</si>
  <si>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</si>
  <si>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</si>
  <si>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</si>
  <si>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</si>
  <si>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</si>
  <si>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</si>
  <si>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</si>
  <si>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</si>
  <si>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</si>
  <si>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</si>
  <si>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</si>
  <si>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</si>
  <si>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</si>
  <si>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</si>
  <si>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</si>
  <si>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</si>
  <si>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</si>
  <si>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</si>
  <si>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</si>
  <si>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</si>
  <si>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</si>
  <si>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</si>
  <si>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</si>
  <si>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</si>
  <si>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</si>
  <si>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</si>
  <si>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</si>
  <si>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</si>
  <si>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</si>
  <si>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</si>
  <si>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</si>
  <si>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</si>
  <si>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</si>
  <si>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</si>
  <si>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</si>
  <si>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</si>
  <si>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</si>
  <si>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</si>
  <si>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</si>
  <si>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</si>
  <si>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</si>
  <si>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</si>
  <si>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</si>
  <si>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</si>
  <si>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</si>
  <si>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</si>
  <si>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</si>
  <si>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</si>
  <si>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</si>
  <si>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</si>
  <si>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</si>
  <si>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</si>
  <si>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</si>
  <si>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</si>
  <si>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</si>
  <si>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</si>
  <si>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</si>
  <si>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</si>
  <si>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</si>
  <si>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</si>
  <si>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</si>
  <si>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</si>
  <si>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</si>
  <si>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</si>
  <si>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</si>
  <si>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</si>
  <si>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</si>
  <si>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</si>
  <si>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</si>
  <si>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</si>
  <si>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</si>
  <si>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</si>
  <si>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</si>
  <si>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</si>
  <si>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</si>
  <si>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</si>
  <si>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</si>
  <si>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</si>
  <si>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</si>
  <si>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</si>
  <si>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</si>
  <si>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</si>
  <si>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</si>
  <si>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</si>
  <si>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</si>
  <si>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</si>
  <si>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</si>
  <si>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</si>
  <si>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</si>
  <si>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</si>
  <si>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</si>
  <si>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</si>
  <si>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</si>
  <si>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</si>
  <si>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</si>
  <si>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</si>
  <si>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</si>
  <si>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</si>
  <si>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</si>
  <si>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</si>
  <si>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</si>
  <si>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</si>
  <si>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</si>
  <si>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</si>
  <si>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</si>
  <si>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</si>
  <si>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</si>
  <si>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</si>
  <si>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</si>
  <si>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</si>
  <si>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</si>
  <si>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</si>
  <si>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</si>
  <si>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</si>
  <si>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</si>
  <si>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</si>
  <si>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</si>
  <si>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</si>
  <si>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</si>
  <si>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</si>
  <si>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</si>
  <si>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</si>
  <si>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</si>
  <si>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</si>
  <si>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</si>
  <si>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</si>
  <si>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</si>
  <si>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</si>
  <si>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</si>
  <si>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</si>
  <si>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</si>
  <si>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</si>
  <si>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</si>
  <si>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</si>
  <si>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</si>
  <si>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</si>
  <si>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</si>
  <si>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</si>
  <si>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</si>
  <si>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</si>
  <si>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</si>
  <si>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</si>
  <si>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</si>
  <si>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</si>
  <si>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</si>
  <si>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</si>
  <si>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</si>
  <si>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</si>
  <si>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</si>
  <si>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</si>
  <si>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</si>
  <si>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</si>
  <si>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</si>
  <si>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</si>
  <si>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</si>
  <si>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</si>
  <si>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</si>
  <si>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</si>
  <si>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</si>
  <si>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</si>
  <si>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</si>
  <si>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</si>
  <si>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</si>
  <si>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</si>
  <si>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</si>
  <si>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</si>
  <si>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</si>
  <si>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</si>
  <si>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</si>
  <si>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</si>
  <si>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</si>
  <si>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</si>
  <si>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</si>
  <si>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</si>
  <si>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</si>
  <si>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</si>
  <si>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</si>
  <si>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</si>
  <si>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</si>
  <si>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</si>
  <si>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</si>
  <si>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</si>
  <si>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</si>
  <si>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</si>
  <si>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</si>
  <si>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</si>
  <si>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</si>
  <si>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</si>
  <si>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</si>
  <si>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</si>
  <si>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</si>
  <si>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</si>
  <si>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</si>
  <si>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</si>
  <si>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</si>
  <si>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</si>
  <si>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</si>
  <si>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</si>
  <si>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</si>
  <si>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</si>
  <si>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</si>
  <si>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</si>
  <si>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</si>
  <si>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</si>
  <si>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</si>
  <si>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</si>
  <si>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</si>
  <si>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</si>
  <si>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</si>
  <si>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</si>
  <si>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</si>
  <si>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</si>
  <si>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</si>
  <si>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</si>
  <si>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</si>
  <si>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</si>
  <si>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</si>
  <si>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</si>
  <si>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</si>
  <si>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</si>
  <si>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</si>
  <si>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</si>
  <si>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</si>
  <si>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</si>
  <si>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</si>
  <si>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</si>
  <si>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</si>
  <si>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</si>
  <si>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</si>
  <si>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</si>
  <si>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</si>
  <si>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</si>
  <si>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</si>
  <si>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</si>
  <si>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</si>
  <si>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</si>
  <si>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</si>
  <si>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</si>
  <si>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</si>
  <si>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</si>
  <si>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</si>
  <si>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</si>
  <si>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</si>
  <si>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</si>
  <si>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</si>
  <si>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</si>
  <si>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</si>
  <si>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</si>
  <si>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</si>
  <si>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</si>
  <si>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</si>
  <si>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</si>
  <si>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</si>
  <si>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</si>
  <si>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</si>
  <si>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</si>
  <si>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</si>
  <si>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</si>
  <si>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</si>
  <si>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</si>
  <si>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</si>
  <si>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</si>
  <si>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</si>
  <si>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</si>
  <si>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</si>
  <si>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</si>
  <si>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</si>
  <si>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</si>
  <si>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</si>
  <si>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</si>
  <si>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</si>
  <si>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</si>
  <si>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</si>
  <si>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</si>
  <si>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</si>
  <si>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</si>
  <si>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</si>
  <si>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</si>
  <si>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</si>
  <si>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</si>
  <si>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</si>
  <si>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</si>
  <si>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</si>
  <si>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</si>
  <si>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</si>
  <si>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</si>
  <si>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</si>
  <si>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</si>
  <si>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</si>
  <si>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</si>
  <si>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</si>
  <si>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</si>
  <si>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</si>
  <si>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</si>
  <si>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</si>
  <si>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</si>
  <si>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</si>
  <si>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</si>
  <si>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</si>
  <si>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</si>
  <si>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</si>
  <si>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</si>
  <si>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</si>
  <si>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</si>
  <si>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</si>
  <si>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</si>
  <si>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</si>
  <si>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</si>
  <si>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</si>
  <si>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</si>
  <si>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</si>
  <si>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</si>
  <si>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</si>
  <si>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</si>
  <si>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</si>
  <si>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</si>
  <si>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</si>
  <si>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</si>
  <si>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</si>
  <si>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</si>
  <si>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</si>
  <si>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</si>
  <si>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</si>
  <si>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</si>
  <si>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</si>
  <si>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</si>
  <si>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</si>
  <si>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</si>
  <si>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</si>
  <si>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</si>
  <si>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</si>
  <si>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</si>
  <si>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</si>
  <si>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</si>
  <si>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</si>
  <si>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</si>
  <si>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</si>
  <si>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</si>
  <si>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</si>
  <si>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</si>
  <si>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</si>
  <si>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</si>
  <si>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</si>
  <si>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</si>
  <si>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</si>
  <si>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</si>
  <si>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</si>
  <si>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</si>
  <si>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</si>
  <si>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</si>
  <si>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</si>
  <si>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</si>
  <si>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</si>
  <si>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</si>
  <si>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</si>
  <si>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</si>
  <si>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</si>
  <si>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</si>
  <si>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</si>
  <si>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</si>
  <si>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</si>
  <si>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</si>
  <si>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</si>
  <si>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</si>
  <si>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</si>
  <si>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</si>
  <si>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</si>
  <si>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</si>
  <si>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</si>
  <si>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</si>
  <si>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</si>
  <si>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</si>
  <si>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</si>
  <si>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</si>
  <si>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</si>
  <si>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</si>
  <si>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</si>
  <si>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</si>
  <si>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</si>
  <si>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</si>
  <si>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</si>
  <si>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</si>
  <si>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</si>
  <si>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</si>
  <si>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</si>
  <si>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</si>
  <si>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</si>
  <si>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</si>
  <si>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</si>
  <si>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</si>
  <si>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</si>
  <si>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</si>
  <si>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</si>
  <si>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</si>
  <si>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</si>
  <si>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</si>
  <si>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</si>
  <si>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</si>
  <si>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</si>
  <si>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</si>
  <si>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</si>
  <si>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</si>
  <si>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</si>
  <si>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</si>
  <si>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</si>
  <si>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</si>
  <si>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</si>
  <si>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</si>
  <si>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</si>
  <si>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</si>
  <si>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</si>
  <si>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</si>
  <si>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</si>
  <si>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</si>
  <si>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</si>
  <si>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</si>
  <si>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</si>
  <si>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</si>
  <si>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</si>
  <si>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</si>
  <si>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</si>
  <si>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</si>
  <si>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</si>
  <si>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</si>
  <si>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</si>
  <si>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</si>
  <si>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</si>
  <si>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</si>
  <si>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</si>
  <si>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</si>
  <si>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</si>
  <si>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</si>
  <si>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</si>
  <si>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</si>
  <si>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</si>
  <si>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</si>
  <si>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</si>
  <si>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</si>
  <si>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</si>
  <si>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</si>
  <si>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</si>
  <si>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</si>
  <si>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</si>
  <si>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</si>
  <si>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</si>
  <si>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</si>
  <si>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</si>
  <si>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</si>
  <si>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</si>
  <si>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</si>
  <si>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</si>
  <si>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</si>
  <si>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</si>
  <si>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</si>
  <si>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</si>
  <si>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</si>
  <si>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</si>
  <si>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</si>
  <si>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</si>
  <si>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</si>
  <si>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</si>
  <si>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</si>
  <si>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</si>
  <si>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</si>
  <si>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</si>
  <si>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</si>
  <si>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</si>
  <si>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</si>
  <si>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</si>
  <si>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</si>
  <si>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</si>
  <si>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</si>
  <si>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</si>
  <si>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</si>
  <si>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</si>
  <si>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</si>
  <si>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</si>
  <si>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</si>
  <si>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</si>
  <si>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</si>
  <si>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</si>
  <si>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</si>
  <si>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</si>
  <si>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</si>
  <si>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</si>
  <si>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</si>
  <si>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</si>
  <si>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</si>
  <si>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</si>
  <si>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</si>
  <si>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</si>
  <si>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</si>
  <si>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</si>
  <si>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</si>
  <si>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</si>
  <si>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</si>
  <si>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</si>
  <si>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</si>
  <si>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</si>
  <si>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</si>
  <si>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</si>
  <si>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</si>
  <si>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</si>
  <si>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</si>
  <si>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</si>
  <si>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</si>
  <si>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</si>
  <si>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</si>
  <si>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</si>
  <si>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</si>
  <si>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</si>
  <si>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</si>
  <si>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</si>
  <si>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</si>
  <si>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</si>
  <si>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</si>
  <si>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</si>
  <si>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</si>
  <si>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</si>
  <si>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</si>
  <si>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</si>
  <si>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</si>
  <si>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</si>
  <si>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</si>
  <si>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</si>
  <si>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</si>
  <si>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</si>
  <si>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</si>
  <si>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</si>
  <si>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</si>
  <si>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</si>
  <si>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</si>
  <si>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</si>
  <si>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</si>
  <si>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</si>
  <si>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</si>
  <si>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</si>
  <si>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</si>
  <si>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</si>
  <si>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</si>
  <si>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</si>
  <si>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</si>
  <si>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</si>
  <si>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</si>
  <si>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</si>
  <si>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</si>
  <si>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</si>
  <si>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</si>
  <si>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</si>
  <si>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</si>
  <si>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</si>
  <si>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</si>
  <si>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</si>
  <si>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</si>
  <si>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</si>
  <si>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</si>
  <si>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</si>
  <si>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</si>
  <si>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</si>
  <si>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</si>
  <si>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</si>
  <si>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</si>
  <si>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</si>
  <si>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</si>
  <si>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</si>
  <si>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</si>
  <si>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</si>
  <si>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</si>
  <si>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</si>
  <si>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</si>
  <si>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</si>
  <si>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</si>
  <si>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</si>
  <si>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</si>
  <si>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</si>
  <si>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</si>
  <si>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</si>
  <si>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</si>
  <si>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</si>
  <si>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</si>
  <si>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</si>
  <si>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</si>
  <si>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</si>
  <si>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</si>
  <si>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</si>
  <si>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</si>
  <si>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</si>
  <si>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</si>
  <si>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</si>
  <si>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</si>
  <si>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</si>
  <si>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</si>
  <si>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</si>
  <si>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</si>
  <si>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</si>
  <si>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</si>
  <si>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</si>
  <si>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</si>
  <si>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</si>
  <si>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</si>
  <si>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</si>
  <si>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</si>
  <si>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</si>
  <si>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</si>
  <si>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</si>
  <si>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</si>
  <si>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</si>
  <si>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</si>
  <si>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</si>
  <si>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</si>
  <si>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</si>
  <si>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</si>
  <si>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</si>
  <si>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</si>
  <si>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</si>
  <si>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</si>
  <si>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</si>
  <si>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</si>
  <si>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</si>
  <si>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</si>
  <si>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</si>
  <si>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</si>
  <si>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</si>
  <si>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</si>
  <si>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</si>
  <si>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</si>
  <si>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</si>
  <si>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</si>
  <si>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</si>
  <si>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</si>
  <si>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</si>
  <si>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</si>
  <si>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</si>
  <si>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</si>
  <si>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</si>
  <si>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</si>
  <si>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</si>
  <si>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</si>
  <si>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</si>
  <si>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</si>
  <si>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</si>
  <si>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</si>
  <si>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</si>
  <si>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</si>
  <si>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</si>
  <si>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</si>
  <si>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</si>
  <si>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</si>
  <si>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</si>
  <si>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</si>
  <si>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</si>
  <si>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</si>
  <si>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</si>
  <si>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</si>
  <si>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</si>
  <si>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</si>
  <si>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</si>
  <si>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</si>
  <si>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</si>
  <si>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</si>
  <si>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</si>
  <si>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</si>
  <si>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</si>
  <si>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</si>
  <si>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</si>
  <si>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</si>
  <si>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</si>
  <si>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</si>
  <si>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</si>
  <si>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</si>
  <si>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</si>
  <si>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</si>
  <si>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</si>
  <si>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</si>
  <si>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</si>
  <si>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</si>
  <si>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</si>
  <si>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</si>
  <si>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</si>
  <si>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</si>
  <si>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</si>
  <si>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</si>
  <si>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</si>
  <si>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</si>
  <si>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</si>
  <si>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</si>
  <si>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</si>
  <si>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</si>
  <si>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</si>
  <si>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</si>
  <si>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</si>
  <si>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</si>
  <si>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</si>
  <si>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</si>
  <si>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</si>
  <si>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</si>
  <si>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</si>
  <si>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</si>
  <si>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</si>
  <si>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</si>
  <si>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</si>
  <si>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</si>
  <si>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</si>
  <si>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</si>
  <si>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</si>
  <si>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</si>
  <si>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</si>
  <si>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</si>
  <si>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</si>
  <si>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</si>
  <si>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</si>
  <si>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</si>
  <si>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</si>
  <si>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</si>
  <si>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</si>
  <si>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</si>
  <si>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</si>
  <si>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</si>
  <si>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</si>
  <si>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</si>
  <si>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</si>
  <si>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</si>
  <si>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</si>
  <si>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</si>
  <si>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</si>
  <si>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</si>
  <si>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</si>
  <si>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</si>
  <si>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</si>
  <si>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</si>
  <si>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</si>
  <si>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</si>
  <si>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</si>
  <si>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</si>
  <si>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</si>
  <si>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</si>
  <si>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</si>
  <si>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</si>
  <si>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</si>
  <si>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</si>
  <si>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</si>
  <si>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</si>
  <si>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</si>
  <si>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</si>
  <si>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</si>
  <si>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</si>
  <si>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</si>
  <si>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</si>
  <si>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</si>
  <si>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</si>
  <si>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</si>
  <si>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</si>
  <si>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</si>
  <si>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</si>
  <si>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</si>
  <si>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</si>
  <si>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</si>
  <si>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</si>
  <si>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</si>
  <si>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</si>
  <si>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</si>
  <si>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</si>
  <si>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</si>
  <si>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</si>
  <si>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</si>
  <si>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</si>
  <si>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</si>
  <si>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</si>
  <si>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</si>
  <si>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</si>
  <si>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</si>
  <si>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</si>
  <si>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</si>
  <si>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</si>
  <si>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</si>
  <si>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</si>
  <si>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</si>
  <si>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</si>
  <si>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</si>
  <si>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</si>
  <si>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</si>
  <si>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</si>
  <si>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</si>
  <si>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</si>
  <si>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</si>
  <si>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</si>
  <si>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</si>
  <si>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</si>
  <si>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</si>
  <si>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</si>
  <si>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</si>
  <si>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</si>
  <si>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</si>
  <si>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</si>
  <si>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</si>
  <si>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</si>
  <si>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</si>
  <si>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</si>
  <si>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</si>
  <si>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</si>
  <si>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</si>
  <si>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</si>
  <si>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</si>
  <si>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</si>
  <si>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</si>
  <si>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</si>
  <si>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</si>
  <si>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</si>
  <si>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</si>
  <si>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</si>
  <si>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</si>
  <si>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</si>
  <si>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</si>
  <si>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</si>
  <si>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</si>
  <si>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</si>
  <si>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</si>
  <si>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</si>
  <si>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</si>
  <si>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</si>
  <si>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</si>
  <si>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</si>
  <si>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</si>
  <si>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</si>
  <si>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</si>
  <si>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</si>
  <si>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</si>
  <si>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</si>
  <si>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</si>
  <si>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</si>
  <si>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</si>
  <si>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</si>
  <si>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</si>
  <si>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</si>
  <si>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</si>
  <si>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</si>
  <si>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</si>
  <si>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</si>
  <si>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</si>
  <si>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</si>
  <si>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</si>
  <si>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</si>
  <si>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</si>
  <si>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</si>
  <si>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</si>
  <si>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</si>
  <si>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</si>
  <si>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</si>
  <si>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</si>
  <si>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</si>
  <si>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</si>
  <si>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</si>
  <si>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</si>
  <si>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</si>
  <si>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</si>
  <si>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</si>
  <si>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</si>
  <si>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</si>
  <si>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</si>
  <si>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</si>
  <si>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</si>
  <si>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</si>
  <si>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</si>
  <si>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</si>
  <si>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</si>
  <si>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</si>
  <si>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</si>
  <si>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</si>
  <si>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</si>
  <si>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</si>
  <si>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</si>
  <si>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</si>
  <si>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</si>
  <si>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</si>
  <si>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</si>
  <si>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</si>
  <si>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</si>
  <si>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</si>
  <si>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</si>
  <si>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</si>
  <si>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</si>
  <si>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</si>
  <si>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</si>
  <si>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</si>
  <si>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</si>
  <si>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</si>
  <si>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</si>
  <si>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</si>
  <si>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</si>
  <si>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</si>
  <si>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</si>
  <si>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</si>
  <si>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</si>
  <si>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</si>
  <si>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</si>
  <si>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</si>
  <si>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</si>
  <si>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</si>
  <si>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</si>
  <si>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</si>
  <si>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</si>
  <si>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</si>
  <si>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</si>
  <si>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</si>
  <si>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</si>
  <si>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</si>
  <si>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</si>
  <si>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</si>
  <si>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</si>
  <si>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</si>
  <si>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</si>
  <si>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</si>
  <si>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</si>
  <si>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</si>
  <si>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</si>
  <si>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</si>
  <si>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</si>
  <si>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</si>
  <si>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</si>
  <si>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</si>
  <si>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</si>
  <si>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</si>
  <si>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</si>
  <si>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</si>
  <si>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</si>
  <si>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</si>
  <si>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</si>
  <si>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</si>
  <si>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</si>
  <si>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</si>
  <si>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</si>
  <si>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</si>
  <si>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</si>
  <si>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</si>
  <si>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</si>
  <si>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</si>
  <si>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</si>
  <si>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</si>
  <si>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</si>
  <si>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</si>
  <si>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</si>
  <si>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</si>
  <si>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</si>
  <si>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</si>
  <si>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</si>
  <si>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</si>
  <si>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</si>
  <si>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</si>
  <si>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</si>
  <si>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</si>
  <si>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</si>
  <si>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</si>
  <si>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</si>
  <si>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</si>
  <si>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</si>
  <si>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</si>
  <si>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</si>
  <si>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</si>
  <si>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</si>
  <si>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</si>
  <si>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</si>
  <si>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</si>
  <si>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</si>
  <si>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</si>
  <si>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</si>
  <si>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</si>
  <si>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</si>
  <si>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</si>
  <si>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</si>
  <si>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</si>
  <si>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</si>
  <si>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</si>
  <si>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</si>
  <si>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</si>
  <si>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</si>
  <si>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</si>
  <si>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</si>
  <si>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</si>
  <si>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</si>
  <si>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</si>
  <si>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</si>
  <si>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</si>
  <si>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</si>
  <si>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</si>
  <si>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</si>
  <si>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</si>
  <si>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</si>
  <si>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</si>
  <si>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</si>
  <si>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</si>
  <si>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</si>
  <si>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</si>
  <si>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</si>
  <si>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</si>
  <si>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</si>
  <si>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</si>
  <si>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</si>
  <si>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</si>
  <si>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</si>
  <si>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</si>
  <si>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</si>
  <si>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</si>
  <si>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</si>
  <si>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</si>
  <si>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</si>
  <si>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</si>
  <si>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</si>
  <si>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</si>
  <si>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</si>
  <si>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</si>
  <si>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</si>
  <si>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</si>
  <si>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</si>
  <si>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</si>
  <si>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</si>
  <si>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</si>
  <si>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</si>
  <si>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</si>
  <si>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</si>
  <si>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</si>
  <si>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</si>
  <si>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</si>
  <si>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</si>
  <si>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</si>
  <si>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</si>
  <si>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</si>
  <si>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</si>
  <si>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</si>
  <si>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</si>
  <si>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</si>
  <si>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</si>
  <si>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</si>
  <si>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</si>
  <si>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</si>
  <si>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</si>
  <si>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</si>
  <si>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</si>
  <si>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</si>
  <si>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</si>
  <si>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</si>
  <si>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</si>
  <si>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</si>
  <si>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</si>
  <si>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</si>
  <si>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</si>
  <si>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</si>
  <si>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</si>
  <si>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</si>
  <si>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</si>
  <si>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</si>
  <si>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</si>
  <si>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</si>
  <si>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</si>
  <si>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</si>
  <si>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</si>
  <si>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</si>
  <si>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</si>
  <si>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</si>
  <si>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</si>
  <si>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</si>
  <si>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</si>
  <si>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</si>
  <si>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</si>
  <si>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</si>
  <si>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</si>
  <si>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</si>
  <si>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</si>
  <si>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</si>
  <si>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</si>
  <si>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</si>
  <si>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</si>
  <si>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</si>
  <si>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</si>
  <si>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</si>
  <si>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</si>
  <si>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</si>
  <si>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</si>
  <si>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</si>
  <si>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</si>
  <si>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</si>
  <si>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</si>
  <si>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</si>
  <si>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</si>
  <si>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</si>
  <si>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</si>
  <si>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</si>
  <si>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</si>
  <si>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</si>
  <si>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</si>
  <si>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</si>
  <si>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</si>
  <si>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</si>
  <si>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</si>
  <si>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</si>
  <si>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</si>
  <si>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</si>
  <si>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</si>
  <si>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</si>
  <si>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</si>
  <si>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</si>
  <si>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</si>
  <si>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</si>
  <si>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</si>
  <si>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</si>
  <si>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</si>
  <si>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</si>
  <si>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</si>
  <si>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</si>
  <si>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</si>
  <si>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</si>
  <si>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</si>
  <si>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</si>
  <si>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</si>
  <si>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</si>
  <si>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</si>
  <si>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</si>
  <si>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</si>
  <si>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</si>
  <si>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</si>
  <si>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</si>
  <si>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</si>
  <si>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</si>
  <si>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</si>
  <si>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</si>
  <si>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</si>
  <si>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</si>
  <si>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</si>
  <si>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</si>
  <si>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</si>
  <si>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</si>
  <si>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</si>
  <si>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</si>
  <si>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</si>
  <si>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</si>
  <si>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</si>
  <si>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</si>
  <si>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</si>
  <si>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</si>
  <si>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</si>
  <si>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</si>
  <si>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</si>
  <si>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</si>
  <si>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</si>
  <si>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</si>
  <si>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</si>
  <si>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</si>
  <si>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</si>
  <si>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</si>
  <si>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</si>
  <si>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</si>
  <si>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</si>
  <si>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</si>
  <si>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</si>
  <si>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</si>
  <si>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</si>
  <si>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</si>
  <si>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</si>
  <si>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</si>
  <si>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</si>
  <si>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</si>
  <si>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</si>
  <si>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</si>
  <si>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</si>
  <si>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</si>
  <si>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</si>
  <si>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</si>
  <si>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</si>
  <si>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</si>
  <si>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</si>
  <si>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</si>
  <si>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</si>
  <si>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</si>
  <si>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</si>
  <si>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</si>
  <si>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</si>
  <si>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</si>
  <si>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</si>
  <si>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</si>
  <si>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</si>
  <si>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</si>
  <si>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</si>
  <si>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</si>
  <si>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</si>
  <si>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</si>
  <si>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</si>
  <si>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</si>
  <si>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</si>
  <si>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</si>
  <si>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</si>
  <si>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</si>
  <si>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</si>
  <si>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</si>
  <si>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</si>
  <si>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</si>
  <si>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</si>
  <si>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</si>
  <si>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</si>
  <si>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</si>
  <si>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</si>
  <si>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</si>
  <si>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</si>
  <si>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</si>
  <si>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</si>
  <si>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</si>
  <si>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</si>
  <si>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</si>
  <si>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</si>
  <si>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</si>
  <si>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</si>
  <si>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</si>
  <si>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</si>
  <si>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</si>
  <si>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</si>
  <si>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</si>
  <si>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</si>
  <si>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</si>
  <si>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</si>
  <si>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</si>
  <si>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</si>
  <si>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</si>
  <si>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</si>
  <si>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</si>
  <si>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</si>
  <si>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</si>
  <si>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</si>
  <si>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</si>
  <si>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</si>
  <si>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</si>
  <si>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</si>
  <si>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</si>
  <si>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</si>
  <si>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</si>
  <si>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</si>
  <si>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</si>
  <si>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</si>
  <si>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</si>
  <si>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</si>
  <si>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</si>
  <si>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</si>
  <si>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</si>
  <si>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</si>
  <si>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</si>
  <si>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</si>
  <si>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</si>
  <si>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</si>
  <si>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</si>
  <si>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</si>
  <si>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</si>
  <si>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</si>
  <si>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</si>
  <si>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</si>
  <si>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</si>
  <si>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</si>
  <si>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</si>
  <si>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</si>
  <si>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</si>
  <si>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</si>
  <si>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</si>
  <si>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</si>
  <si>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</si>
  <si>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</si>
  <si>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</si>
  <si>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</si>
  <si>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</si>
  <si>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</si>
  <si>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</si>
  <si>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</si>
  <si>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</si>
  <si>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</si>
  <si>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</si>
  <si>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</si>
  <si>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</si>
  <si>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</si>
  <si>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</si>
  <si>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</si>
  <si>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</si>
  <si>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</si>
  <si>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</si>
  <si>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</si>
  <si>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</si>
  <si>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</si>
  <si>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</si>
  <si>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</si>
  <si>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</si>
  <si>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</si>
  <si>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</si>
  <si>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</si>
  <si>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</si>
  <si>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</si>
  <si>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</si>
  <si>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</si>
  <si>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</si>
  <si>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</si>
  <si>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</si>
  <si>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</si>
  <si>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</si>
  <si>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</si>
  <si>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</si>
  <si>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</si>
  <si>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</si>
  <si>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</si>
  <si>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</si>
  <si>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</si>
  <si>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</si>
  <si>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</si>
  <si>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</si>
  <si>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</si>
  <si>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</si>
  <si>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</si>
  <si>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</si>
  <si>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</si>
  <si>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</si>
  <si>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</si>
  <si>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</si>
  <si>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</si>
  <si>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</si>
  <si>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</si>
  <si>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</si>
  <si>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</si>
  <si>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</si>
  <si>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</si>
  <si>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</si>
  <si>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</si>
  <si>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</si>
  <si>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</si>
  <si>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</si>
  <si>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</si>
  <si>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</si>
  <si>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</si>
  <si>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</si>
  <si>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</si>
  <si>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</si>
  <si>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</si>
  <si>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</si>
  <si>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</si>
  <si>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</si>
  <si>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</si>
  <si>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</si>
  <si>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</si>
  <si>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</si>
  <si>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</si>
  <si>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</si>
  <si>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</si>
  <si>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</si>
  <si>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</si>
  <si>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</si>
  <si>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</si>
  <si>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</si>
  <si>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</si>
  <si>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</si>
  <si>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</si>
  <si>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</si>
  <si>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</si>
  <si>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</si>
  <si>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</si>
  <si>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</si>
  <si>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</si>
  <si>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</si>
  <si>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</si>
  <si>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</si>
  <si>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</si>
  <si>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</si>
  <si>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</si>
  <si>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</si>
  <si>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</si>
  <si>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</si>
  <si>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</si>
  <si>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</si>
  <si>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</si>
  <si>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</si>
  <si>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</si>
  <si>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</si>
  <si>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</si>
  <si>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</si>
  <si>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</si>
  <si>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</si>
  <si>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</si>
  <si>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</si>
  <si>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</si>
  <si>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</si>
  <si>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</si>
  <si>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</si>
  <si>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</si>
  <si>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</si>
  <si>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</si>
  <si>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</si>
  <si>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</si>
  <si>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</si>
  <si>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</si>
  <si>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</si>
  <si>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</si>
  <si>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</si>
  <si>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</si>
  <si>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</si>
  <si>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</si>
  <si>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</si>
  <si>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</si>
  <si>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</si>
  <si>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</si>
  <si>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</si>
  <si>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</si>
  <si>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</si>
  <si>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</si>
  <si>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</si>
  <si>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</si>
  <si>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</si>
  <si>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</si>
  <si>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</si>
  <si>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</si>
  <si>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</si>
  <si>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</si>
  <si>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</si>
  <si>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</si>
  <si>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</si>
  <si>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</si>
  <si>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</si>
  <si>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</si>
  <si>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</si>
  <si>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</si>
  <si>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</si>
  <si>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</si>
  <si>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</si>
  <si>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</si>
  <si>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</si>
  <si>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</si>
  <si>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</si>
  <si>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</si>
  <si>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</si>
  <si>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</si>
  <si>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</si>
  <si>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</si>
  <si>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</si>
  <si>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</si>
  <si>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</si>
  <si>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</si>
  <si>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</si>
  <si>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</si>
  <si>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</si>
  <si>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</si>
  <si>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</si>
  <si>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</si>
  <si>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</si>
  <si>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</si>
  <si>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</si>
  <si>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</si>
  <si>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</si>
  <si>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</si>
  <si>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</si>
  <si>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</si>
  <si>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</si>
  <si>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</si>
  <si>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</si>
  <si>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</si>
  <si>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</si>
  <si>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</si>
  <si>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</si>
  <si>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</si>
  <si>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</si>
  <si>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</si>
  <si>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</si>
  <si>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</si>
  <si>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</si>
  <si>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</si>
  <si>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</si>
  <si>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</si>
  <si>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</si>
  <si>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</si>
  <si>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</si>
  <si>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</si>
  <si>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</si>
  <si>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</si>
  <si>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</si>
  <si>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</si>
  <si>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</si>
  <si>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</si>
  <si>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</si>
  <si>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</si>
  <si>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</si>
  <si>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</si>
  <si>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</si>
  <si>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</si>
  <si>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</si>
  <si>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</si>
  <si>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</si>
  <si>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</si>
  <si>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</si>
  <si>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</si>
  <si>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</si>
  <si>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</si>
  <si>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</si>
  <si>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</si>
  <si>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</si>
  <si>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</si>
  <si>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</si>
  <si>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</si>
  <si>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</si>
  <si>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</si>
  <si>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</si>
  <si>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</si>
  <si>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</si>
  <si>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</si>
  <si>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</si>
  <si>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</si>
  <si>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</si>
  <si>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</si>
  <si>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</si>
  <si>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</si>
  <si>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</si>
  <si>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</si>
  <si>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</si>
  <si>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</si>
  <si>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</si>
  <si>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</si>
  <si>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</si>
  <si>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</si>
  <si>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</si>
  <si>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</si>
  <si>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</si>
  <si>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</si>
  <si>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</si>
  <si>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</si>
  <si>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</si>
  <si>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</si>
  <si>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</si>
  <si>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</si>
  <si>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</si>
  <si>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</si>
  <si>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</si>
  <si>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</si>
  <si>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</si>
  <si>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</si>
  <si>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</si>
  <si>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</si>
  <si>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</si>
  <si>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</si>
  <si>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</si>
  <si>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</si>
  <si>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</si>
  <si>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</si>
  <si>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</si>
  <si>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</si>
  <si>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</si>
  <si>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</si>
  <si>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</si>
  <si>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</si>
  <si>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</si>
  <si>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</si>
  <si>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</si>
  <si>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</si>
  <si>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</si>
  <si>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</si>
  <si>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</si>
  <si>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</si>
  <si>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</si>
  <si>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</si>
  <si>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</si>
  <si>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</si>
  <si>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</si>
  <si>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</si>
  <si>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</si>
  <si>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</si>
  <si>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</si>
  <si>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</si>
  <si>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</si>
  <si>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</si>
  <si>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</si>
  <si>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</si>
  <si>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</si>
  <si>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</si>
  <si>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</si>
  <si>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</si>
  <si>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</si>
  <si>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</si>
  <si>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</si>
  <si>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</si>
  <si>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</si>
  <si>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</si>
  <si>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</si>
  <si>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</si>
  <si>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</si>
  <si>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</si>
  <si>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</si>
  <si>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</si>
  <si>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</si>
  <si>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</si>
  <si>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</si>
  <si>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</si>
  <si>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</si>
  <si>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</si>
  <si>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</si>
  <si>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</si>
  <si>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</si>
  <si>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</si>
  <si>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</si>
  <si>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</si>
  <si>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</si>
  <si>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</si>
  <si>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</si>
  <si>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</si>
  <si>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</si>
  <si>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</si>
  <si>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</si>
  <si>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</si>
  <si>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</si>
  <si>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</si>
  <si>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</si>
  <si>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</si>
  <si>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</si>
  <si>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</si>
  <si>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</si>
  <si>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</si>
  <si>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</si>
  <si>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</si>
  <si>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</si>
  <si>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</si>
  <si>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</si>
  <si>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</si>
  <si>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</si>
  <si>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</si>
  <si>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</si>
  <si>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</si>
  <si>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</si>
  <si>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</si>
  <si>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</si>
  <si>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</si>
  <si>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</si>
  <si>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</si>
  <si>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</si>
  <si>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</si>
  <si>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</si>
  <si>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</si>
  <si>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</si>
  <si>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</si>
  <si>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</si>
  <si>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</si>
  <si>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</si>
  <si>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</si>
  <si>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</si>
  <si>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</si>
  <si>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</si>
  <si>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</si>
  <si>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</si>
  <si>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</si>
  <si>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</si>
  <si>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</si>
  <si>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</si>
  <si>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</si>
  <si>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</si>
  <si>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</si>
  <si>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</si>
  <si>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</si>
  <si>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</si>
  <si>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</si>
  <si>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</si>
  <si>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</si>
  <si>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</si>
  <si>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</si>
  <si>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</si>
  <si>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</si>
  <si>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</si>
  <si>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</si>
  <si>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</si>
  <si>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</si>
  <si>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</si>
  <si>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</si>
  <si>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</si>
  <si>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</si>
  <si>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</si>
  <si>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</si>
  <si>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</si>
  <si>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</si>
  <si>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</si>
  <si>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</si>
  <si>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</si>
  <si>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</si>
  <si>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</si>
  <si>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</si>
  <si>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</si>
  <si>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</si>
  <si>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</si>
  <si>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</si>
  <si>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</si>
  <si>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</si>
  <si>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</si>
  <si>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</si>
  <si>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</si>
  <si>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</si>
  <si>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</si>
  <si>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</si>
  <si>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</si>
  <si>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</si>
  <si>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</si>
  <si>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</si>
  <si>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</si>
  <si>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</si>
  <si>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</si>
  <si>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</si>
  <si>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</si>
  <si>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</si>
  <si>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</si>
  <si>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</si>
  <si>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</si>
  <si>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</si>
  <si>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</si>
  <si>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</si>
  <si>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</si>
  <si>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</si>
  <si>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</si>
  <si>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</si>
  <si>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</si>
  <si>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</si>
  <si>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</si>
  <si>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</si>
  <si>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</si>
  <si>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</si>
  <si>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</si>
  <si>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</si>
  <si>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</si>
  <si>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</si>
  <si>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</si>
  <si>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</si>
  <si>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</si>
  <si>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</si>
  <si>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</si>
  <si>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</si>
  <si>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</si>
  <si>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</si>
  <si>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</si>
  <si>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</si>
  <si>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</si>
  <si>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</si>
  <si>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</si>
  <si>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</si>
  <si>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</si>
  <si>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</si>
  <si>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</si>
  <si>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</si>
  <si>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</si>
  <si>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</si>
  <si>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</si>
  <si>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</si>
  <si>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</si>
  <si>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</si>
  <si>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</si>
  <si>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</si>
  <si>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</si>
  <si>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</si>
  <si>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</si>
  <si>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</si>
  <si>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</si>
  <si>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</si>
  <si>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</si>
  <si>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</si>
  <si>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</si>
  <si>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</si>
  <si>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</si>
  <si>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</si>
  <si>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</si>
  <si>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</si>
  <si>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</si>
  <si>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</si>
  <si>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</si>
  <si>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</si>
  <si>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</si>
  <si>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</si>
  <si>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</si>
  <si>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</si>
  <si>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</si>
  <si>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</si>
  <si>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</si>
  <si>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</si>
  <si>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</si>
  <si>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</si>
  <si>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</si>
  <si>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</si>
  <si>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</si>
  <si>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</si>
  <si>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</si>
  <si>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</si>
  <si>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</si>
  <si>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</si>
  <si>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</si>
  <si>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</si>
  <si>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</si>
  <si>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</si>
  <si>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</si>
  <si>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</si>
  <si>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</si>
  <si>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</si>
  <si>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</si>
  <si>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</si>
  <si>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</si>
  <si>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</si>
  <si>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</si>
  <si>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</si>
  <si>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</si>
  <si>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</si>
  <si>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</si>
  <si>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</si>
  <si>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</si>
  <si>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</si>
  <si>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</si>
  <si>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</si>
  <si>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</si>
  <si>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</si>
  <si>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</si>
  <si>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</si>
  <si>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</si>
  <si>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</si>
  <si>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</si>
  <si>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</si>
  <si>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</si>
  <si>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</si>
  <si>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</si>
  <si>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</si>
  <si>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</si>
  <si>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</si>
  <si>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</si>
  <si>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</si>
  <si>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</si>
  <si>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</si>
  <si>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</si>
  <si>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</si>
  <si>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</si>
  <si>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</si>
  <si>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</si>
  <si>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</si>
  <si>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</si>
  <si>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</si>
  <si>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</si>
  <si>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</si>
  <si>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</si>
  <si>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</si>
  <si>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</si>
  <si>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</si>
  <si>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</si>
  <si>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</si>
  <si>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</si>
  <si>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</si>
  <si>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</si>
  <si>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</si>
  <si>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</si>
  <si>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</si>
  <si>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</si>
  <si>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</si>
  <si>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</si>
  <si>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</si>
  <si>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</si>
  <si>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</si>
  <si>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</si>
  <si>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</si>
  <si>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</si>
  <si>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</si>
  <si>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</si>
  <si>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</si>
  <si>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</si>
  <si>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</si>
  <si>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</si>
  <si>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</si>
  <si>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</si>
  <si>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</si>
  <si>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</si>
  <si>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</si>
  <si>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</si>
  <si>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</si>
  <si>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</si>
  <si>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</si>
  <si>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</si>
  <si>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</si>
  <si>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</si>
  <si>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</si>
  <si>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</si>
  <si>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</si>
  <si>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</si>
  <si>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</si>
  <si>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</si>
  <si>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</si>
  <si>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</si>
  <si>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</si>
  <si>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</si>
  <si>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</si>
  <si>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</si>
  <si>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</si>
  <si>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</si>
  <si>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</si>
  <si>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</si>
  <si>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</si>
  <si>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</si>
  <si>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</si>
  <si>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</si>
  <si>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</si>
  <si>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</si>
  <si>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</si>
  <si>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</si>
  <si>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</si>
  <si>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</si>
  <si>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</si>
  <si>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</si>
  <si>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</si>
  <si>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</si>
  <si>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</si>
  <si>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</si>
  <si>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</si>
  <si>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</si>
  <si>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</si>
  <si>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</si>
  <si>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</si>
  <si>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</si>
  <si>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</si>
  <si>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</si>
  <si>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</si>
  <si>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</si>
  <si>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</si>
  <si>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</si>
  <si>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</si>
  <si>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</si>
  <si>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</si>
  <si>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</si>
  <si>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</si>
  <si>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</si>
  <si>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</si>
  <si>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</si>
  <si>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</si>
  <si>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</si>
  <si>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</si>
  <si>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</si>
  <si>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</si>
  <si>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</si>
  <si>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</si>
  <si>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</si>
  <si>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</si>
  <si>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</si>
  <si>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</si>
  <si>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</si>
  <si>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</si>
  <si>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</si>
  <si>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</si>
  <si>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</si>
  <si>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</si>
  <si>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</si>
  <si>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</si>
  <si>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</si>
  <si>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</si>
  <si>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</si>
  <si>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</si>
  <si>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</si>
  <si>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</si>
  <si>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</si>
  <si>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</si>
  <si>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</si>
  <si>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</si>
  <si>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</si>
  <si>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</si>
  <si>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</si>
  <si>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</si>
  <si>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</si>
  <si>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</si>
  <si>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</si>
  <si>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</si>
  <si>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</si>
  <si>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</si>
  <si>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</si>
  <si>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</si>
  <si>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</si>
  <si>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</si>
  <si>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</si>
  <si>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</si>
  <si>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</si>
  <si>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</si>
  <si>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</si>
  <si>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</si>
  <si>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</si>
  <si>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</si>
  <si>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</si>
  <si>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</si>
  <si>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</si>
  <si>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</si>
  <si>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</si>
  <si>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</si>
  <si>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</si>
  <si>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</si>
  <si>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</si>
  <si>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</si>
  <si>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</si>
  <si>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</si>
  <si>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</si>
  <si>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</si>
  <si>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</si>
  <si>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</si>
  <si>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</si>
  <si>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</si>
  <si>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</si>
  <si>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</si>
  <si>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</si>
  <si>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</si>
  <si>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</si>
  <si>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</si>
  <si>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</si>
  <si>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</si>
  <si>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</si>
  <si>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</si>
  <si>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</si>
  <si>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</si>
  <si>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</si>
  <si>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</si>
  <si>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</si>
  <si>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</si>
  <si>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</si>
  <si>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</si>
  <si>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</si>
  <si>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</si>
  <si>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</si>
  <si>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</si>
  <si>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</si>
  <si>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</si>
  <si>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</si>
  <si>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</si>
  <si>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</si>
  <si>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</si>
  <si>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</si>
  <si>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</si>
  <si>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</si>
  <si>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</si>
  <si>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</si>
  <si>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</si>
  <si>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</si>
  <si>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</si>
  <si>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</si>
  <si>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</si>
  <si>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</si>
  <si>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</si>
  <si>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</si>
  <si>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</si>
  <si>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</si>
  <si>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</si>
  <si>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</si>
  <si>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</si>
  <si>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</si>
  <si>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</si>
  <si>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</si>
  <si>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</si>
  <si>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</si>
  <si>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</si>
  <si>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</si>
  <si>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</si>
  <si>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</si>
  <si>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</si>
  <si>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</si>
  <si>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</si>
  <si>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</si>
  <si>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</si>
  <si>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</si>
  <si>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</si>
  <si>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</si>
  <si>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</si>
  <si>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</si>
  <si>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</si>
  <si>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</si>
  <si>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</si>
  <si>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</si>
  <si>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</si>
  <si>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</si>
  <si>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</si>
  <si>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</si>
  <si>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</si>
  <si>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</si>
  <si>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</si>
  <si>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</si>
  <si>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</si>
  <si>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</si>
  <si>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</si>
  <si>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</si>
  <si>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</si>
  <si>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</si>
  <si>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</si>
  <si>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</si>
  <si>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</si>
  <si>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</si>
  <si>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</si>
  <si>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</si>
  <si>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</si>
  <si>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</si>
  <si>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</si>
  <si>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</si>
  <si>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</si>
  <si>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</si>
  <si>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</si>
  <si>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</si>
  <si>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</si>
  <si>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</si>
  <si>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</si>
  <si>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 xml:space="preserve">2400 Euclid Avenue </t>
  </si>
  <si>
    <t xml:space="preserve">National City </t>
  </si>
  <si>
    <t>563-070-33</t>
  </si>
  <si>
    <t>Euclid Avenue Apartments</t>
  </si>
  <si>
    <t>Donnie Dee</t>
  </si>
  <si>
    <t>120 Elm Street, San Diego, CA 92138</t>
  </si>
  <si>
    <t>City of National City</t>
  </si>
  <si>
    <t>Doug Schulze</t>
  </si>
  <si>
    <t>1243 National City Boulevard</t>
  </si>
  <si>
    <t xml:space="preserve">National City, CA </t>
  </si>
  <si>
    <t>(619) 336-4240</t>
  </si>
  <si>
    <t>CMO@nationalcityca.gov</t>
  </si>
  <si>
    <t>National City Pacific Associates II, LP</t>
  </si>
  <si>
    <t xml:space="preserve">Central Valley Coalition for Affordable Housing </t>
  </si>
  <si>
    <t>Managing GP</t>
  </si>
  <si>
    <t>430 E. State Street, Suite 100</t>
  </si>
  <si>
    <t>Eagle, ID 83616</t>
  </si>
  <si>
    <t xml:space="preserve">Eagle </t>
  </si>
  <si>
    <t>ID</t>
  </si>
  <si>
    <t xml:space="preserve">Claire Casazza </t>
  </si>
  <si>
    <t>208-577-2247</t>
  </si>
  <si>
    <t>clairec@tpchousing.com</t>
  </si>
  <si>
    <t>3351 M Street, Suite 100</t>
  </si>
  <si>
    <t>CA</t>
  </si>
  <si>
    <t xml:space="preserve">Christina Alley </t>
  </si>
  <si>
    <t>chris@centralvalleycoalition.com</t>
  </si>
  <si>
    <t xml:space="preserve">TPC Holdings IX, LLC </t>
  </si>
  <si>
    <t>Caleb Roope</t>
  </si>
  <si>
    <t>Administrative GP</t>
  </si>
  <si>
    <t xml:space="preserve">Sabelhaus &amp; Strain PC </t>
  </si>
  <si>
    <t>1724 10th Street, Suite 110</t>
  </si>
  <si>
    <t>Stephen Strain</t>
  </si>
  <si>
    <t>sstrain@sabelhauslaw.com</t>
  </si>
  <si>
    <t>Sacramento, CA 95811</t>
  </si>
  <si>
    <t xml:space="preserve">Stephen Strain </t>
  </si>
  <si>
    <t>916-444-0286</t>
  </si>
  <si>
    <t>Architects Orange, LLP dba AO</t>
  </si>
  <si>
    <t xml:space="preserve">RC Alley </t>
  </si>
  <si>
    <t>144 N Orange Street</t>
  </si>
  <si>
    <t>Orange, CA 92866</t>
  </si>
  <si>
    <t>714-639-9860</t>
  </si>
  <si>
    <t>RCA@aoarchitects.com</t>
  </si>
  <si>
    <t>Pacific West Communites</t>
  </si>
  <si>
    <t>430 E State Street, Suite 100</t>
  </si>
  <si>
    <t>208-461-002</t>
  </si>
  <si>
    <t>calebr@tpchousing.com</t>
  </si>
  <si>
    <t>208-461-0022</t>
  </si>
  <si>
    <t xml:space="preserve">CONAM Management Corporation </t>
  </si>
  <si>
    <t>3990 Ruffin Road #100</t>
  </si>
  <si>
    <t>San Diego, CA 92123</t>
  </si>
  <si>
    <t>Michelle Sites</t>
  </si>
  <si>
    <t>(858) 614-7200</t>
  </si>
  <si>
    <t>Pacific West Communities, Inc.</t>
  </si>
  <si>
    <t>Consultant</t>
  </si>
  <si>
    <t>Bernie Rea</t>
  </si>
  <si>
    <t>Bernard E. Rea, CPA</t>
  </si>
  <si>
    <t>P.O. Box 492</t>
  </si>
  <si>
    <t>Aubrey, TX 76227</t>
  </si>
  <si>
    <t>209-933-9113</t>
  </si>
  <si>
    <t>breacpa@aol.com</t>
  </si>
  <si>
    <t>Pacific West Builders</t>
  </si>
  <si>
    <t>Kinetic Valuation Group, Inc.</t>
  </si>
  <si>
    <t>3901 S 147th Street, Suite 144</t>
  </si>
  <si>
    <t>Omaha, NE 68144</t>
  </si>
  <si>
    <t>Jay Wortmann, MAI</t>
  </si>
  <si>
    <t>402-202-0771</t>
  </si>
  <si>
    <t>jay@kvgteam.com</t>
  </si>
  <si>
    <t>2111 Palomar Airport Road, Suite 320</t>
  </si>
  <si>
    <t>Carlsbad, CA 92011</t>
  </si>
  <si>
    <t>Anthony Stubbs</t>
  </si>
  <si>
    <t>760-930-1333</t>
  </si>
  <si>
    <t>760-683-3390</t>
  </si>
  <si>
    <t>astubbs@cmfa-ca.com</t>
  </si>
  <si>
    <t>Other (Specify below)</t>
  </si>
  <si>
    <t>RS-3 Medium Low Density Residential</t>
  </si>
  <si>
    <t xml:space="preserve">Medium Density Residential </t>
  </si>
  <si>
    <t>Tax Exempt Bond Proceeds</t>
  </si>
  <si>
    <t>Taxable Bond Proceeds</t>
  </si>
  <si>
    <t>Recycled Tax Exempt Bonds</t>
  </si>
  <si>
    <t xml:space="preserve">LIHTC Equity </t>
  </si>
  <si>
    <t>Deferred Costs</t>
  </si>
  <si>
    <t>Central Valley Coalition for Affordable Housing</t>
  </si>
  <si>
    <t>San Diego Metropolitan Transit System</t>
  </si>
  <si>
    <t>Sweetwater Road &amp; Prospect Street</t>
  </si>
  <si>
    <t>National City, CA 91950</t>
  </si>
  <si>
    <t xml:space="preserve">https://www.sdmts.com/ </t>
  </si>
  <si>
    <t xml:space="preserve">0.43 miles </t>
  </si>
  <si>
    <t xml:space="preserve">Lincoln Acres County Park </t>
  </si>
  <si>
    <t>2717 Granger Ave</t>
  </si>
  <si>
    <t>619-557-4555</t>
  </si>
  <si>
    <t>619-791-7501</t>
  </si>
  <si>
    <t xml:space="preserve">https://www.sdparks.org/content/sdparks/en/park-pages/LincolnAcres.html </t>
  </si>
  <si>
    <t xml:space="preserve">0.39 miles </t>
  </si>
  <si>
    <t>San Diego County Library – Lincoln Acres Branch</t>
  </si>
  <si>
    <t>2725 Granger Ave</t>
  </si>
  <si>
    <t>619-475-9880</t>
  </si>
  <si>
    <t xml:space="preserve">http://www.sdcl.org/locations_LA.html </t>
  </si>
  <si>
    <t>0.39 miles</t>
  </si>
  <si>
    <t>Food 4 Less</t>
  </si>
  <si>
    <t>1320 E 30th St</t>
  </si>
  <si>
    <t xml:space="preserve">https://www.food4less.com/stores/grocery/ca/national-city/n-chula-vista/704/00346?cid=loc_70400346_gmb </t>
  </si>
  <si>
    <t>0.73 miles</t>
  </si>
  <si>
    <t>619-477-5991</t>
  </si>
  <si>
    <t>National City Family Health Center</t>
  </si>
  <si>
    <t>1000 Euclid Ave</t>
  </si>
  <si>
    <t>619-515-2399</t>
  </si>
  <si>
    <t xml:space="preserve">https://www.fhcsd.org/national-city-family-health-center/ </t>
  </si>
  <si>
    <t xml:space="preserve">0.90 miles </t>
  </si>
  <si>
    <t xml:space="preserve">CVS Pharmacy </t>
  </si>
  <si>
    <t>1730 Sweetwater Rd</t>
  </si>
  <si>
    <t>619-474-6703</t>
  </si>
  <si>
    <t xml:space="preserve">https://www.cvs.com/store-locator/national-city-ca-pharmacies/1730-sweetwater-rd-national-city-ca-91950/storeid=9783?WT.mc_id=LS_GOOGLE_RX_9783 </t>
  </si>
  <si>
    <t>0.50 miles</t>
  </si>
  <si>
    <t>Other: Bond Issuer / Trustee Fees &amp; Costs</t>
  </si>
  <si>
    <t>Other: Bond Counsel, Financial Advisor, Borrower Attorney, Special Counsel &amp; Servicing Costs</t>
  </si>
  <si>
    <t>Other: Cost Certification</t>
  </si>
  <si>
    <t>Benefits, Payroll Taxes &amp; Work Comp</t>
  </si>
  <si>
    <t xml:space="preserve">Telephone , Office Supplies &amp; Expense, Miscellaneous </t>
  </si>
  <si>
    <t>San Diego Rescue Mission, Inc.</t>
  </si>
  <si>
    <t>National City Housing Authority</t>
  </si>
  <si>
    <t>Chief Executive Officer</t>
  </si>
  <si>
    <t xml:space="preserve">Building &amp; Maintenance Supplies, Cleaning Supplies </t>
  </si>
  <si>
    <t>Boston Financial</t>
  </si>
  <si>
    <t>225 Franklin Street, 28th Floor</t>
  </si>
  <si>
    <t>Boston, MA 02110</t>
  </si>
  <si>
    <t>Laura Surdel</t>
  </si>
  <si>
    <t>774-567-5693</t>
  </si>
  <si>
    <t>laura.surdel@bfim.com</t>
  </si>
  <si>
    <t>Above residual receipts line for cash flow</t>
  </si>
  <si>
    <t>Tax Exempt Bonds - Series B</t>
  </si>
  <si>
    <t>68 feet</t>
  </si>
  <si>
    <t>Exempt per Section 65915(p)(3)(A)</t>
  </si>
  <si>
    <t>Citibank, N.A.</t>
  </si>
  <si>
    <t>325 E Hillcrest Drive, Suite 160</t>
  </si>
  <si>
    <t xml:space="preserve">Thousand Oaks, CA </t>
  </si>
  <si>
    <t xml:space="preserve">Mike Hemmens </t>
  </si>
  <si>
    <t>805-557-0930</t>
  </si>
  <si>
    <t>225 Franklin Street</t>
  </si>
  <si>
    <t>Boston, MA</t>
  </si>
  <si>
    <t>774-567-5593</t>
  </si>
  <si>
    <t>Eagle, ID</t>
  </si>
  <si>
    <t>Tax-Exempt Bonds Series B</t>
  </si>
  <si>
    <t>Tax Exempt Bonds Series A</t>
  </si>
  <si>
    <t>Provided</t>
  </si>
  <si>
    <t>Not Applicable</t>
  </si>
  <si>
    <t>40%/60% Average Income</t>
  </si>
  <si>
    <t>Bonneville Multifamily Capital</t>
  </si>
  <si>
    <t>111 Main Street, Suite 1600</t>
  </si>
  <si>
    <t>Salt Lake City, UT</t>
  </si>
  <si>
    <t>Brent H. Peterson</t>
  </si>
  <si>
    <t>Fixed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</si>
</sst>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10"/>
      <color indexed="8"/>
      <name val="Arial"/>
    </font>
    <font>
      <sz val="10"/>
      <color indexed="8"/>
      <name val="ARIAL"/>
      <charset val="1"/>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44254">
    <xf numFmtId="0" fontId="0" fillId="0" borderId="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4"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87" fillId="28" borderId="0" applyNumberFormat="0" applyBorder="0" applyAlignment="0" applyProtection="0"/>
    <xf numFmtId="0" fontId="87" fillId="29" borderId="0" applyNumberFormat="0" applyBorder="0" applyAlignment="0" applyProtection="0"/>
    <xf numFmtId="0" fontId="87" fillId="29"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3" borderId="0" applyNumberFormat="0" applyBorder="0" applyAlignment="0" applyProtection="0"/>
    <xf numFmtId="0" fontId="87" fillId="34"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9" fillId="36" borderId="18" applyNumberFormat="0" applyAlignment="0" applyProtection="0"/>
    <xf numFmtId="0" fontId="89" fillId="36" borderId="18" applyNumberFormat="0" applyAlignment="0" applyProtection="0"/>
    <xf numFmtId="0" fontId="90" fillId="37" borderId="19" applyNumberFormat="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78"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63" fillId="0" borderId="0" applyFont="0" applyFill="0" applyBorder="0" applyAlignment="0" applyProtection="0"/>
    <xf numFmtId="43" fontId="28" fillId="0" borderId="0" applyFont="0" applyFill="0" applyBorder="0" applyAlignment="0" applyProtection="0"/>
    <xf numFmtId="43" fontId="63" fillId="0" borderId="0" applyFont="0" applyFill="0" applyBorder="0" applyAlignment="0" applyProtection="0"/>
    <xf numFmtId="44" fontId="7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79" fillId="0" borderId="0" applyFont="0" applyFill="0" applyBorder="0" applyAlignment="0" applyProtection="0"/>
    <xf numFmtId="44" fontId="28" fillId="0" borderId="0" applyFont="0" applyFill="0" applyBorder="0" applyAlignment="0" applyProtection="0"/>
    <xf numFmtId="44" fontId="81"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alignment vertical="top"/>
    </xf>
    <xf numFmtId="44" fontId="63" fillId="0" borderId="0" applyFont="0" applyFill="0" applyBorder="0" applyAlignment="0" applyProtection="0">
      <alignment vertical="top"/>
    </xf>
    <xf numFmtId="44" fontId="28" fillId="0" borderId="0" applyFont="0" applyFill="0" applyBorder="0" applyAlignment="0" applyProtection="0"/>
    <xf numFmtId="44" fontId="63" fillId="0" borderId="0" applyFont="0" applyFill="0" applyBorder="0" applyAlignment="0" applyProtection="0">
      <alignment vertical="top"/>
    </xf>
    <xf numFmtId="44" fontId="63"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63" fillId="0" borderId="0" applyFont="0" applyFill="0" applyBorder="0" applyAlignment="0" applyProtection="0"/>
    <xf numFmtId="44" fontId="7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28" fillId="0" borderId="0" applyFont="0" applyFill="0" applyBorder="0" applyAlignment="0" applyProtection="0"/>
    <xf numFmtId="44" fontId="73" fillId="0" borderId="0" applyFont="0" applyFill="0" applyBorder="0" applyAlignment="0" applyProtection="0"/>
    <xf numFmtId="44" fontId="28"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28" fillId="0" borderId="0" applyFont="0" applyFill="0" applyBorder="0" applyAlignment="0" applyProtection="0"/>
    <xf numFmtId="44" fontId="7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77" fillId="0" borderId="0" applyFont="0" applyFill="0" applyBorder="0" applyAlignment="0" applyProtection="0"/>
    <xf numFmtId="44" fontId="28" fillId="0" borderId="0" applyFont="0" applyFill="0" applyBorder="0" applyAlignment="0" applyProtection="0"/>
    <xf numFmtId="0" fontId="91" fillId="0" borderId="0" applyNumberFormat="0" applyFill="0" applyBorder="0" applyAlignment="0" applyProtection="0"/>
    <xf numFmtId="0" fontId="92" fillId="38" borderId="0" applyNumberFormat="0" applyBorder="0" applyAlignment="0" applyProtection="0"/>
    <xf numFmtId="0" fontId="93" fillId="0" borderId="20" applyNumberFormat="0" applyFill="0" applyAlignment="0" applyProtection="0"/>
    <xf numFmtId="0" fontId="93" fillId="0" borderId="20" applyNumberFormat="0" applyFill="0" applyAlignment="0" applyProtection="0"/>
    <xf numFmtId="0" fontId="94" fillId="0" borderId="21" applyNumberFormat="0" applyFill="0" applyAlignment="0" applyProtection="0"/>
    <xf numFmtId="0" fontId="94" fillId="0" borderId="21" applyNumberFormat="0" applyFill="0" applyAlignment="0" applyProtection="0"/>
    <xf numFmtId="0" fontId="95" fillId="0" borderId="22" applyNumberFormat="0" applyFill="0" applyAlignment="0" applyProtection="0"/>
    <xf numFmtId="0" fontId="95" fillId="0" borderId="22"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83" fillId="0" borderId="0" applyNumberFormat="0" applyFill="0" applyBorder="0" applyAlignment="0" applyProtection="0">
      <alignment vertical="top"/>
      <protection locked="0"/>
    </xf>
    <xf numFmtId="0" fontId="96" fillId="39" borderId="18" applyNumberFormat="0" applyAlignment="0" applyProtection="0"/>
    <xf numFmtId="0" fontId="21" fillId="0" borderId="0" applyNumberFormat="0" applyBorder="0"/>
    <xf numFmtId="0" fontId="22" fillId="0" borderId="0" applyBorder="0" applyAlignment="0"/>
    <xf numFmtId="0" fontId="23" fillId="0" borderId="0" applyFill="0" applyBorder="0" applyAlignment="0"/>
    <xf numFmtId="0" fontId="97" fillId="0" borderId="23" applyNumberFormat="0" applyFill="0" applyAlignment="0" applyProtection="0"/>
    <xf numFmtId="0" fontId="98" fillId="40" borderId="0" applyNumberFormat="0" applyBorder="0" applyAlignment="0" applyProtection="0"/>
    <xf numFmtId="0" fontId="99" fillId="0" borderId="0"/>
    <xf numFmtId="0" fontId="63" fillId="0" borderId="0"/>
    <xf numFmtId="0" fontId="99" fillId="0" borderId="0"/>
    <xf numFmtId="0" fontId="63" fillId="0" borderId="0"/>
    <xf numFmtId="0" fontId="63"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100" fillId="0" borderId="0"/>
    <xf numFmtId="0" fontId="63" fillId="0" borderId="0"/>
    <xf numFmtId="169" fontId="64" fillId="0" borderId="0"/>
    <xf numFmtId="0" fontId="86" fillId="0" borderId="0"/>
    <xf numFmtId="0" fontId="28" fillId="0" borderId="0"/>
    <xf numFmtId="0" fontId="28" fillId="0" borderId="0"/>
    <xf numFmtId="0" fontId="69" fillId="0" borderId="0"/>
    <xf numFmtId="0" fontId="63" fillId="0" borderId="0"/>
    <xf numFmtId="0" fontId="69" fillId="0" borderId="0"/>
    <xf numFmtId="0" fontId="63" fillId="0" borderId="0"/>
    <xf numFmtId="0" fontId="75" fillId="0" borderId="0"/>
    <xf numFmtId="0" fontId="63"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75" fillId="0" borderId="0"/>
    <xf numFmtId="0" fontId="86" fillId="0" borderId="0"/>
    <xf numFmtId="0" fontId="86" fillId="0" borderId="0"/>
    <xf numFmtId="0" fontId="86"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3" fillId="0" borderId="0"/>
    <xf numFmtId="0" fontId="86" fillId="0" borderId="0"/>
    <xf numFmtId="0" fontId="86" fillId="0" borderId="0"/>
    <xf numFmtId="0" fontId="86" fillId="0" borderId="0"/>
    <xf numFmtId="0" fontId="86" fillId="0" borderId="0"/>
    <xf numFmtId="0" fontId="75" fillId="0" borderId="0"/>
    <xf numFmtId="0" fontId="63" fillId="0" borderId="0">
      <alignment vertical="top"/>
    </xf>
    <xf numFmtId="0" fontId="86" fillId="0" borderId="0"/>
    <xf numFmtId="0" fontId="86" fillId="0" borderId="0"/>
    <xf numFmtId="0" fontId="86" fillId="0" borderId="0"/>
    <xf numFmtId="0" fontId="86" fillId="0" borderId="0"/>
    <xf numFmtId="0" fontId="75" fillId="0" borderId="0"/>
    <xf numFmtId="0" fontId="28" fillId="0" borderId="0"/>
    <xf numFmtId="0" fontId="86" fillId="0" borderId="0"/>
    <xf numFmtId="0" fontId="28" fillId="0" borderId="0"/>
    <xf numFmtId="0" fontId="86" fillId="0" borderId="0"/>
    <xf numFmtId="0" fontId="86" fillId="0" borderId="0"/>
    <xf numFmtId="0" fontId="86" fillId="0" borderId="0"/>
    <xf numFmtId="0" fontId="86" fillId="0" borderId="0"/>
    <xf numFmtId="0" fontId="69" fillId="0" borderId="0"/>
    <xf numFmtId="0" fontId="63" fillId="0" borderId="0">
      <alignment vertical="top"/>
    </xf>
    <xf numFmtId="0" fontId="69" fillId="0" borderId="0"/>
    <xf numFmtId="0" fontId="63" fillId="0" borderId="0">
      <alignment vertical="top"/>
    </xf>
    <xf numFmtId="0" fontId="63" fillId="0" borderId="0">
      <alignment vertical="top"/>
    </xf>
    <xf numFmtId="0" fontId="86" fillId="0" borderId="0"/>
    <xf numFmtId="0" fontId="69"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63" fillId="0" borderId="0">
      <alignment vertical="top"/>
    </xf>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3" fillId="0" borderId="0"/>
    <xf numFmtId="0" fontId="63" fillId="0" borderId="0">
      <alignment vertical="top"/>
    </xf>
    <xf numFmtId="0" fontId="63" fillId="0" borderId="0">
      <alignment vertical="top"/>
    </xf>
    <xf numFmtId="0" fontId="63" fillId="0" borderId="0"/>
    <xf numFmtId="0" fontId="63" fillId="0" borderId="0">
      <alignment vertical="top"/>
    </xf>
    <xf numFmtId="0" fontId="63" fillId="0" borderId="0"/>
    <xf numFmtId="0" fontId="6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19" fillId="0" borderId="0" applyProtection="0">
      <protection locked="0"/>
    </xf>
    <xf numFmtId="0" fontId="28" fillId="0" borderId="0" applyProtection="0">
      <protection locked="0"/>
    </xf>
    <xf numFmtId="0" fontId="28" fillId="0" borderId="0" applyProtection="0">
      <protection locked="0"/>
    </xf>
    <xf numFmtId="0" fontId="64" fillId="0" borderId="0"/>
    <xf numFmtId="0" fontId="19" fillId="0" borderId="0"/>
    <xf numFmtId="0" fontId="78"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78"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101" fillId="36" borderId="25" applyNumberFormat="0" applyAlignment="0" applyProtection="0"/>
    <xf numFmtId="0" fontId="101" fillId="36" borderId="25" applyNumberFormat="0" applyAlignment="0" applyProtection="0"/>
    <xf numFmtId="0" fontId="24" fillId="0" borderId="0" applyNumberFormat="0" applyFill="0" applyBorder="0">
      <alignment horizontal="left"/>
    </xf>
    <xf numFmtId="0" fontId="102" fillId="0" borderId="0" applyNumberFormat="0" applyFill="0" applyBorder="0" applyAlignment="0" applyProtection="0"/>
    <xf numFmtId="0" fontId="103" fillId="0" borderId="26" applyNumberFormat="0" applyFill="0" applyAlignment="0" applyProtection="0"/>
    <xf numFmtId="0" fontId="103" fillId="0" borderId="26" applyNumberFormat="0" applyFill="0" applyAlignment="0" applyProtection="0"/>
    <xf numFmtId="0" fontId="104" fillId="0" borderId="0" applyNumberFormat="0" applyFill="0" applyBorder="0" applyAlignment="0" applyProtection="0"/>
    <xf numFmtId="0" fontId="19" fillId="0" borderId="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9" fontId="19" fillId="0" borderId="0" applyFont="0" applyFill="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9"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4" fontId="111"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112" fillId="0" borderId="0" applyNumberForma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02" fillId="0" borderId="0" applyNumberFormat="0" applyFill="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4" fontId="19" fillId="0" borderId="0" applyFont="0" applyFill="0" applyBorder="0" applyAlignment="0" applyProtection="0"/>
    <xf numFmtId="9" fontId="121" fillId="0" borderId="0" applyFont="0" applyFill="0" applyBorder="0" applyAlignment="0" applyProtection="0"/>
    <xf numFmtId="0" fontId="121" fillId="0" borderId="0"/>
    <xf numFmtId="0" fontId="13" fillId="0" borderId="0"/>
    <xf numFmtId="0" fontId="19" fillId="0" borderId="0"/>
    <xf numFmtId="43" fontId="13" fillId="0" borderId="0" applyFont="0" applyFill="0" applyBorder="0" applyAlignment="0" applyProtection="0"/>
    <xf numFmtId="9" fontId="13"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43" fontId="148" fillId="0" borderId="0" applyFont="0" applyFill="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4" fontId="150"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0" fontId="19" fillId="0" borderId="0" applyBorder="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188"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63" fillId="0" borderId="0">
      <alignment vertical="top"/>
    </xf>
    <xf numFmtId="0" fontId="63" fillId="0" borderId="0">
      <alignment vertical="top"/>
    </xf>
    <xf numFmtId="0" fontId="2" fillId="0" borderId="0"/>
    <xf numFmtId="0" fontId="2" fillId="0" borderId="0"/>
    <xf numFmtId="0" fontId="63" fillId="0" borderId="0">
      <alignment vertical="top"/>
    </xf>
    <xf numFmtId="0" fontId="189" fillId="0" borderId="0">
      <alignment vertical="top"/>
    </xf>
    <xf numFmtId="0" fontId="63" fillId="0" borderId="0">
      <alignment vertical="top"/>
    </xf>
    <xf numFmtId="0" fontId="63" fillId="0" borderId="0">
      <alignment vertical="top"/>
    </xf>
    <xf numFmtId="0" fontId="189"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43" fontId="78" fillId="0" borderId="0" applyFont="0" applyFill="0" applyBorder="0" applyAlignment="0" applyProtection="0"/>
    <xf numFmtId="0" fontId="2" fillId="16" borderId="0" applyNumberFormat="0" applyBorder="0" applyAlignment="0" applyProtection="0"/>
    <xf numFmtId="0" fontId="2" fillId="22" borderId="0" applyNumberFormat="0" applyBorder="0" applyAlignment="0" applyProtection="0"/>
    <xf numFmtId="43" fontId="7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7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63" fillId="0" borderId="0">
      <alignment vertical="top"/>
    </xf>
    <xf numFmtId="0" fontId="63" fillId="0" borderId="0">
      <alignment vertical="top"/>
    </xf>
    <xf numFmtId="43"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0" fontId="100" fillId="0" borderId="0"/>
    <xf numFmtId="0" fontId="78" fillId="41" borderId="24" applyNumberFormat="0" applyFont="0" applyAlignment="0" applyProtection="0"/>
    <xf numFmtId="0" fontId="78" fillId="41" borderId="24" applyNumberFormat="0" applyFont="0" applyAlignment="0" applyProtection="0"/>
    <xf numFmtId="43" fontId="19" fillId="0" borderId="0" applyFont="0" applyFill="0" applyBorder="0" applyAlignment="0" applyProtection="0"/>
    <xf numFmtId="0" fontId="19"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19" fillId="0" borderId="0"/>
    <xf numFmtId="0" fontId="2" fillId="41" borderId="24" applyNumberFormat="0" applyFont="0" applyAlignment="0" applyProtection="0"/>
    <xf numFmtId="0" fontId="2" fillId="41" borderId="24" applyNumberFormat="0" applyFont="0" applyAlignment="0" applyProtection="0"/>
    <xf numFmtId="169" fontId="190"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9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92" fillId="0" borderId="0">
      <alignment vertical="top"/>
    </xf>
    <xf numFmtId="0" fontId="192"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2706">
    <xf numFmtId="0" fontId="0" fillId="0" borderId="0" xfId="0"/>
    <xf numFmtId="0" fontId="0" fillId="0" borderId="0" xfId="0" applyAlignment="1">
      <alignment horizontal="center"/>
    </xf>
    <xf numFmtId="0" fontId="26" fillId="0" borderId="0" xfId="0" applyFont="1"/>
    <xf numFmtId="0" fontId="19" fillId="0" borderId="0" xfId="0" applyFont="1"/>
    <xf numFmtId="0" fontId="28" fillId="0" borderId="0" xfId="0" applyFont="1"/>
    <xf numFmtId="0" fontId="0" fillId="0" borderId="4" xfId="0" applyBorder="1"/>
    <xf numFmtId="0" fontId="28" fillId="0" borderId="0" xfId="0" applyFont="1" applyAlignment="1">
      <alignment horizontal="center"/>
    </xf>
    <xf numFmtId="0" fontId="19"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6" fillId="0" borderId="4" xfId="0" applyFont="1" applyBorder="1"/>
    <xf numFmtId="164" fontId="0" fillId="0" borderId="0" xfId="0" applyNumberFormat="1" applyAlignment="1">
      <alignment horizontal="right"/>
    </xf>
    <xf numFmtId="0" fontId="26" fillId="0" borderId="0" xfId="0" applyFont="1" applyAlignment="1">
      <alignment horizontal="center"/>
    </xf>
    <xf numFmtId="0" fontId="19" fillId="0" borderId="0" xfId="543"/>
    <xf numFmtId="0" fontId="28" fillId="0" borderId="0" xfId="0" applyFont="1" applyAlignment="1">
      <alignment horizontal="left" vertical="top" wrapText="1"/>
    </xf>
    <xf numFmtId="0" fontId="34" fillId="0" borderId="0" xfId="0" applyFont="1"/>
    <xf numFmtId="0" fontId="27" fillId="0" borderId="0" xfId="0" applyFont="1" applyAlignment="1">
      <alignment vertical="top"/>
    </xf>
    <xf numFmtId="0" fontId="27" fillId="0" borderId="0" xfId="0" applyFont="1" applyAlignment="1">
      <alignment vertical="top" wrapText="1"/>
    </xf>
    <xf numFmtId="0" fontId="28" fillId="0" borderId="0" xfId="0" applyFont="1" applyAlignment="1">
      <alignment horizontal="left" indent="4"/>
    </xf>
    <xf numFmtId="0" fontId="27" fillId="0" borderId="0" xfId="0" applyFont="1" applyAlignment="1">
      <alignment horizontal="left" vertical="top"/>
    </xf>
    <xf numFmtId="0" fontId="27" fillId="0" borderId="0" xfId="0" applyFont="1" applyAlignment="1">
      <alignment horizontal="left"/>
    </xf>
    <xf numFmtId="0" fontId="27" fillId="0" borderId="0" xfId="0" applyFont="1"/>
    <xf numFmtId="0" fontId="39" fillId="0" borderId="0" xfId="543" applyFont="1"/>
    <xf numFmtId="1" fontId="27" fillId="0" borderId="0" xfId="0" applyNumberFormat="1" applyFont="1" applyAlignment="1">
      <alignment horizontal="left"/>
    </xf>
    <xf numFmtId="0" fontId="29" fillId="0" borderId="0" xfId="0" applyFont="1"/>
    <xf numFmtId="1" fontId="27" fillId="0" borderId="0" xfId="0" applyNumberFormat="1" applyFont="1" applyAlignment="1">
      <alignment horizontal="right"/>
    </xf>
    <xf numFmtId="0" fontId="0" fillId="0" borderId="0" xfId="0" applyAlignment="1">
      <alignment horizontal="right"/>
    </xf>
    <xf numFmtId="0" fontId="38" fillId="0" borderId="0" xfId="0" applyFont="1"/>
    <xf numFmtId="0" fontId="31" fillId="0" borderId="0" xfId="0" applyFont="1"/>
    <xf numFmtId="172" fontId="19" fillId="0" borderId="0" xfId="543" applyNumberFormat="1"/>
    <xf numFmtId="9" fontId="19" fillId="0" borderId="0" xfId="543" applyNumberFormat="1" applyAlignment="1">
      <alignment horizontal="left"/>
    </xf>
    <xf numFmtId="168" fontId="19" fillId="0" borderId="0" xfId="543" applyNumberFormat="1"/>
    <xf numFmtId="0" fontId="28" fillId="0" borderId="0" xfId="0" applyFont="1" applyAlignment="1">
      <alignment horizontal="right"/>
    </xf>
    <xf numFmtId="0" fontId="42" fillId="0" borderId="0" xfId="0" applyFont="1"/>
    <xf numFmtId="0" fontId="28" fillId="0" borderId="0" xfId="0" applyFont="1" applyAlignment="1">
      <alignment horizontal="left"/>
    </xf>
    <xf numFmtId="0" fontId="30" fillId="0" borderId="0" xfId="0" applyFont="1"/>
    <xf numFmtId="0" fontId="32" fillId="0" borderId="0" xfId="0" applyFont="1"/>
    <xf numFmtId="0" fontId="26"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6" fillId="0" borderId="1" xfId="0" applyFont="1" applyBorder="1" applyAlignment="1">
      <alignment horizontal="center" wrapText="1"/>
    </xf>
    <xf numFmtId="0" fontId="26"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6" fillId="0" borderId="4" xfId="0" applyFont="1" applyBorder="1" applyAlignment="1">
      <alignment horizontal="center"/>
    </xf>
    <xf numFmtId="0" fontId="35" fillId="0" borderId="3" xfId="0" applyFont="1" applyBorder="1" applyAlignment="1">
      <alignment horizontal="left"/>
    </xf>
    <xf numFmtId="0" fontId="35" fillId="0" borderId="9" xfId="0" applyFont="1" applyBorder="1" applyAlignment="1">
      <alignment horizontal="left"/>
    </xf>
    <xf numFmtId="0" fontId="26" fillId="0" borderId="4" xfId="0" applyFont="1" applyBorder="1" applyAlignment="1">
      <alignment horizontal="right"/>
    </xf>
    <xf numFmtId="0" fontId="26" fillId="0" borderId="5" xfId="0" applyFont="1" applyBorder="1" applyAlignment="1">
      <alignment horizontal="right"/>
    </xf>
    <xf numFmtId="0" fontId="35" fillId="0" borderId="0" xfId="0" applyFont="1" applyAlignment="1">
      <alignment horizontal="left"/>
    </xf>
    <xf numFmtId="0" fontId="26" fillId="0" borderId="0" xfId="0" applyFont="1" applyAlignment="1">
      <alignment horizontal="right"/>
    </xf>
    <xf numFmtId="0" fontId="26"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8" fillId="0" borderId="11" xfId="0" applyFont="1" applyBorder="1" applyAlignment="1">
      <alignment horizontal="left"/>
    </xf>
    <xf numFmtId="0" fontId="26" fillId="0" borderId="9" xfId="0" applyFont="1" applyBorder="1"/>
    <xf numFmtId="164" fontId="0" fillId="0" borderId="0" xfId="0" applyNumberFormat="1" applyAlignment="1">
      <alignment horizontal="center"/>
    </xf>
    <xf numFmtId="0" fontId="0" fillId="0" borderId="12" xfId="0" applyBorder="1"/>
    <xf numFmtId="0" fontId="28" fillId="0" borderId="3" xfId="0" applyFont="1" applyBorder="1"/>
    <xf numFmtId="0" fontId="28" fillId="0" borderId="0" xfId="543" applyFont="1"/>
    <xf numFmtId="0" fontId="44" fillId="0" borderId="0" xfId="543" applyFont="1"/>
    <xf numFmtId="49" fontId="19" fillId="0" borderId="0" xfId="543" applyNumberFormat="1"/>
    <xf numFmtId="0" fontId="42" fillId="0" borderId="0" xfId="543" applyFont="1"/>
    <xf numFmtId="168" fontId="39" fillId="0" borderId="6" xfId="543" applyNumberFormat="1" applyFont="1" applyBorder="1" applyAlignment="1">
      <alignment horizontal="left"/>
    </xf>
    <xf numFmtId="168" fontId="39" fillId="0" borderId="6" xfId="543" applyNumberFormat="1" applyFont="1" applyBorder="1" applyAlignment="1">
      <alignment horizontal="center"/>
    </xf>
    <xf numFmtId="0" fontId="19" fillId="0" borderId="8" xfId="543" applyBorder="1"/>
    <xf numFmtId="0" fontId="39" fillId="0" borderId="0" xfId="543" applyFont="1" applyAlignment="1">
      <alignment horizontal="center"/>
    </xf>
    <xf numFmtId="0" fontId="38" fillId="0" borderId="9" xfId="543" applyFont="1" applyBorder="1" applyAlignment="1">
      <alignment horizontal="left" vertical="top" wrapText="1"/>
    </xf>
    <xf numFmtId="0" fontId="38" fillId="0" borderId="6" xfId="543" applyFont="1" applyBorder="1" applyAlignment="1">
      <alignment horizontal="center" vertical="top" wrapText="1"/>
    </xf>
    <xf numFmtId="0" fontId="19" fillId="0" borderId="9" xfId="543" applyBorder="1"/>
    <xf numFmtId="0" fontId="19" fillId="0" borderId="10" xfId="543" applyBorder="1"/>
    <xf numFmtId="0" fontId="19" fillId="0" borderId="1" xfId="543" applyBorder="1"/>
    <xf numFmtId="0" fontId="39" fillId="0" borderId="2" xfId="543" applyFont="1" applyBorder="1" applyAlignment="1">
      <alignment horizontal="center"/>
    </xf>
    <xf numFmtId="0" fontId="41" fillId="0" borderId="8" xfId="543" applyFont="1" applyBorder="1" applyAlignment="1">
      <alignment horizontal="left" vertical="top" wrapText="1"/>
    </xf>
    <xf numFmtId="0" fontId="38" fillId="0" borderId="0" xfId="543" applyFont="1" applyAlignment="1">
      <alignment horizontal="center" vertical="top" wrapText="1"/>
    </xf>
    <xf numFmtId="0" fontId="19" fillId="0" borderId="12" xfId="543" applyBorder="1"/>
    <xf numFmtId="0" fontId="41" fillId="0" borderId="0" xfId="543" applyFont="1" applyAlignment="1">
      <alignment horizontal="center" vertical="top" wrapText="1"/>
    </xf>
    <xf numFmtId="0" fontId="41" fillId="0" borderId="9" xfId="543" applyFont="1" applyBorder="1" applyAlignment="1">
      <alignment horizontal="left" vertical="top" wrapText="1"/>
    </xf>
    <xf numFmtId="0" fontId="19" fillId="0" borderId="2" xfId="543" applyBorder="1"/>
    <xf numFmtId="0" fontId="19" fillId="0" borderId="7" xfId="543" applyBorder="1"/>
    <xf numFmtId="0" fontId="38" fillId="0" borderId="0" xfId="543" applyFont="1"/>
    <xf numFmtId="0" fontId="19" fillId="0" borderId="0" xfId="543" applyAlignment="1">
      <alignment horizontal="center"/>
    </xf>
    <xf numFmtId="0" fontId="27" fillId="0" borderId="6" xfId="543" applyFont="1" applyBorder="1" applyAlignment="1">
      <alignment vertical="top" wrapText="1"/>
    </xf>
    <xf numFmtId="0" fontId="28" fillId="0" borderId="0" xfId="0" applyFont="1" applyAlignment="1">
      <alignment horizontal="left" vertical="top"/>
    </xf>
    <xf numFmtId="0" fontId="0" fillId="2" borderId="2" xfId="0" applyFill="1" applyBorder="1"/>
    <xf numFmtId="0" fontId="0" fillId="2" borderId="7" xfId="0" applyFill="1" applyBorder="1"/>
    <xf numFmtId="0" fontId="26" fillId="0" borderId="6" xfId="0" applyFont="1" applyBorder="1" applyAlignment="1">
      <alignment horizontal="right"/>
    </xf>
    <xf numFmtId="0" fontId="25" fillId="0" borderId="0" xfId="0" applyFont="1" applyAlignment="1">
      <alignment horizontal="center" vertical="center"/>
    </xf>
    <xf numFmtId="0" fontId="26" fillId="0" borderId="0" xfId="0" applyFont="1" applyAlignment="1">
      <alignment vertical="top"/>
    </xf>
    <xf numFmtId="166" fontId="0" fillId="0" borderId="0" xfId="0" applyNumberFormat="1" applyAlignment="1">
      <alignment horizontal="right"/>
    </xf>
    <xf numFmtId="0" fontId="49" fillId="0" borderId="0" xfId="0" applyFont="1"/>
    <xf numFmtId="0" fontId="36" fillId="0" borderId="0" xfId="0" applyFont="1"/>
    <xf numFmtId="0" fontId="20" fillId="0" borderId="0" xfId="244" applyBorder="1" applyProtection="1"/>
    <xf numFmtId="0" fontId="20" fillId="0" borderId="0" xfId="244" applyFill="1" applyBorder="1" applyAlignment="1">
      <alignment horizontal="center" vertical="center"/>
    </xf>
    <xf numFmtId="0" fontId="19" fillId="0" borderId="3" xfId="543" applyBorder="1"/>
    <xf numFmtId="0" fontId="41" fillId="0" borderId="4" xfId="543" applyFont="1" applyBorder="1" applyAlignment="1">
      <alignment horizontal="right" vertical="top" wrapText="1"/>
    </xf>
    <xf numFmtId="0" fontId="28" fillId="0" borderId="6" xfId="0" applyFont="1" applyBorder="1"/>
    <xf numFmtId="0" fontId="28" fillId="0" borderId="2" xfId="0" applyFont="1" applyBorder="1"/>
    <xf numFmtId="0" fontId="28" fillId="0" borderId="7" xfId="0" applyFont="1" applyBorder="1"/>
    <xf numFmtId="0" fontId="28" fillId="0" borderId="12" xfId="0" applyFont="1" applyBorder="1"/>
    <xf numFmtId="0" fontId="28" fillId="0" borderId="9" xfId="0" applyFont="1" applyBorder="1"/>
    <xf numFmtId="0" fontId="28" fillId="0" borderId="10" xfId="0" applyFont="1" applyBorder="1"/>
    <xf numFmtId="0" fontId="33" fillId="0" borderId="6" xfId="0" applyFont="1" applyBorder="1" applyAlignment="1">
      <alignment vertical="top" wrapText="1"/>
    </xf>
    <xf numFmtId="0" fontId="33" fillId="0" borderId="5" xfId="0" applyFont="1" applyBorder="1" applyAlignment="1">
      <alignment vertical="top" wrapText="1"/>
    </xf>
    <xf numFmtId="0" fontId="33" fillId="0" borderId="4" xfId="0" applyFont="1" applyBorder="1" applyAlignment="1">
      <alignment vertical="top" wrapText="1"/>
    </xf>
    <xf numFmtId="0" fontId="33" fillId="2" borderId="6" xfId="0" applyFont="1" applyFill="1" applyBorder="1" applyAlignment="1">
      <alignment vertical="top" wrapText="1"/>
    </xf>
    <xf numFmtId="0" fontId="0" fillId="0" borderId="8" xfId="0" applyBorder="1"/>
    <xf numFmtId="0" fontId="26" fillId="0" borderId="2" xfId="0" applyFont="1" applyBorder="1"/>
    <xf numFmtId="0" fontId="28" fillId="0" borderId="0" xfId="0" applyFont="1" applyAlignment="1">
      <alignment vertical="top"/>
    </xf>
    <xf numFmtId="0" fontId="28" fillId="0" borderId="0" xfId="0" applyFont="1" applyAlignment="1">
      <alignment vertical="top" wrapText="1"/>
    </xf>
    <xf numFmtId="0" fontId="19" fillId="0" borderId="0" xfId="0" applyFont="1" applyAlignment="1">
      <alignment horizontal="left"/>
    </xf>
    <xf numFmtId="0" fontId="19" fillId="0" borderId="0" xfId="0" applyFont="1" applyAlignment="1">
      <alignment vertical="top"/>
    </xf>
    <xf numFmtId="0" fontId="48" fillId="0" borderId="0" xfId="0" applyFont="1"/>
    <xf numFmtId="0" fontId="19" fillId="0" borderId="3" xfId="0" applyFont="1" applyBorder="1"/>
    <xf numFmtId="0" fontId="19"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3" fillId="3" borderId="4" xfId="0" applyFont="1" applyFill="1" applyBorder="1" applyAlignment="1">
      <alignment vertical="top" wrapText="1"/>
    </xf>
    <xf numFmtId="0" fontId="33" fillId="3" borderId="5" xfId="0" applyFont="1" applyFill="1" applyBorder="1" applyAlignment="1">
      <alignment vertical="top" wrapText="1"/>
    </xf>
    <xf numFmtId="0" fontId="51" fillId="0" borderId="0" xfId="0" applyFont="1"/>
    <xf numFmtId="0" fontId="28" fillId="0" borderId="4" xfId="0" applyFont="1" applyBorder="1"/>
    <xf numFmtId="0" fontId="26" fillId="0" borderId="2" xfId="0" applyFont="1" applyBorder="1" applyAlignment="1">
      <alignment horizontal="center"/>
    </xf>
    <xf numFmtId="0" fontId="26" fillId="0" borderId="0" xfId="0" applyFont="1" applyAlignment="1">
      <alignment horizontal="center" vertical="center" wrapText="1"/>
    </xf>
    <xf numFmtId="0" fontId="26" fillId="0" borderId="7" xfId="543" applyFont="1" applyBorder="1" applyAlignment="1">
      <alignment horizontal="right"/>
    </xf>
    <xf numFmtId="0" fontId="27" fillId="0" borderId="9" xfId="543" applyFont="1" applyBorder="1"/>
    <xf numFmtId="0" fontId="28" fillId="0" borderId="6" xfId="543" applyFont="1" applyBorder="1"/>
    <xf numFmtId="0" fontId="27" fillId="0" borderId="6" xfId="543" applyFont="1" applyBorder="1" applyAlignment="1">
      <alignment horizontal="right"/>
    </xf>
    <xf numFmtId="0" fontId="26" fillId="0" borderId="0" xfId="0" applyFont="1" applyAlignment="1">
      <alignment horizontal="center" vertical="center"/>
    </xf>
    <xf numFmtId="0" fontId="28" fillId="0" borderId="0" xfId="0" applyFont="1" applyAlignment="1">
      <alignment horizontal="left" vertical="center"/>
    </xf>
    <xf numFmtId="0" fontId="56" fillId="0" borderId="3" xfId="0" applyFont="1" applyBorder="1" applyAlignment="1">
      <alignment horizontal="left" vertical="top"/>
    </xf>
    <xf numFmtId="0" fontId="56" fillId="0" borderId="13" xfId="0" applyFont="1" applyBorder="1" applyAlignment="1">
      <alignment horizontal="center" wrapText="1"/>
    </xf>
    <xf numFmtId="0" fontId="56" fillId="0" borderId="13" xfId="0" applyFont="1" applyBorder="1" applyAlignment="1">
      <alignment horizontal="center" vertical="top" wrapText="1"/>
    </xf>
    <xf numFmtId="0" fontId="56" fillId="2" borderId="13" xfId="0" applyFont="1" applyFill="1" applyBorder="1" applyAlignment="1">
      <alignment horizontal="center" wrapText="1"/>
    </xf>
    <xf numFmtId="0" fontId="57" fillId="2" borderId="11" xfId="0" applyFont="1" applyFill="1" applyBorder="1" applyAlignment="1">
      <alignment horizontal="left" vertical="top" wrapText="1"/>
    </xf>
    <xf numFmtId="0" fontId="58" fillId="4" borderId="11" xfId="0" applyFont="1" applyFill="1" applyBorder="1" applyAlignment="1">
      <alignment vertical="top" wrapText="1"/>
    </xf>
    <xf numFmtId="0" fontId="58" fillId="2" borderId="11" xfId="0" applyFont="1" applyFill="1" applyBorder="1" applyAlignment="1">
      <alignment vertical="top" wrapText="1"/>
    </xf>
    <xf numFmtId="0" fontId="58" fillId="0" borderId="11" xfId="0" applyFont="1" applyBorder="1" applyAlignment="1">
      <alignment vertical="top" wrapText="1"/>
    </xf>
    <xf numFmtId="0" fontId="58" fillId="0" borderId="11" xfId="0" applyFont="1" applyBorder="1" applyAlignment="1">
      <alignment horizontal="right" vertical="top" wrapText="1"/>
    </xf>
    <xf numFmtId="168" fontId="58" fillId="0" borderId="11" xfId="0" applyNumberFormat="1" applyFont="1" applyBorder="1" applyAlignment="1">
      <alignment vertical="top" wrapText="1"/>
    </xf>
    <xf numFmtId="168" fontId="58" fillId="5" borderId="11" xfId="0" applyNumberFormat="1" applyFont="1" applyFill="1" applyBorder="1" applyAlignment="1" applyProtection="1">
      <alignment vertical="top" wrapText="1"/>
      <protection locked="0"/>
    </xf>
    <xf numFmtId="168" fontId="58" fillId="6" borderId="11" xfId="0" applyNumberFormat="1" applyFont="1" applyFill="1" applyBorder="1" applyAlignment="1">
      <alignment horizontal="center" vertical="top" wrapText="1"/>
    </xf>
    <xf numFmtId="0" fontId="56" fillId="0" borderId="11" xfId="0" applyFont="1" applyBorder="1" applyAlignment="1">
      <alignment horizontal="right" vertical="top" wrapText="1"/>
    </xf>
    <xf numFmtId="168" fontId="56" fillId="0" borderId="11" xfId="0" applyNumberFormat="1" applyFont="1" applyBorder="1" applyAlignment="1">
      <alignment vertical="top" wrapText="1"/>
    </xf>
    <xf numFmtId="168" fontId="58" fillId="4" borderId="11" xfId="0" applyNumberFormat="1" applyFont="1" applyFill="1" applyBorder="1" applyAlignment="1">
      <alignment vertical="top" wrapText="1"/>
    </xf>
    <xf numFmtId="0" fontId="56" fillId="2" borderId="11" xfId="0" applyFont="1" applyFill="1" applyBorder="1" applyAlignment="1">
      <alignment vertical="top" wrapText="1"/>
    </xf>
    <xf numFmtId="0" fontId="56" fillId="0" borderId="11" xfId="0" applyFont="1" applyBorder="1" applyAlignment="1">
      <alignment vertical="top" wrapText="1"/>
    </xf>
    <xf numFmtId="0" fontId="22" fillId="0" borderId="11" xfId="0" applyFont="1" applyBorder="1" applyAlignment="1">
      <alignment horizontal="right" vertical="top" wrapText="1"/>
    </xf>
    <xf numFmtId="0" fontId="58" fillId="0" borderId="11" xfId="0" applyFont="1" applyBorder="1" applyAlignment="1" applyProtection="1">
      <alignment horizontal="right" vertical="top" wrapText="1"/>
      <protection locked="0"/>
    </xf>
    <xf numFmtId="0" fontId="56" fillId="0" borderId="0" xfId="0" applyFont="1" applyAlignment="1">
      <alignment horizontal="left" vertical="top"/>
    </xf>
    <xf numFmtId="0" fontId="58" fillId="0" borderId="0" xfId="0" applyFont="1" applyAlignment="1">
      <alignment horizontal="left" vertical="top"/>
    </xf>
    <xf numFmtId="0" fontId="58" fillId="0" borderId="0" xfId="0" applyFont="1" applyAlignment="1">
      <alignment vertical="top" wrapText="1"/>
    </xf>
    <xf numFmtId="0" fontId="58" fillId="0" borderId="0" xfId="0" applyFont="1" applyAlignment="1">
      <alignment vertical="top"/>
    </xf>
    <xf numFmtId="0" fontId="56" fillId="0" borderId="0" xfId="0" applyFont="1" applyAlignment="1">
      <alignment horizontal="right" vertical="top"/>
    </xf>
    <xf numFmtId="0" fontId="58" fillId="2" borderId="0" xfId="0" applyFont="1" applyFill="1" applyAlignment="1">
      <alignment vertical="top" wrapText="1"/>
    </xf>
    <xf numFmtId="0" fontId="56" fillId="0" borderId="0" xfId="0" applyFont="1" applyAlignment="1">
      <alignment vertical="top"/>
    </xf>
    <xf numFmtId="166" fontId="28" fillId="0" borderId="0" xfId="0" applyNumberFormat="1" applyFont="1" applyAlignment="1">
      <alignment horizontal="left"/>
    </xf>
    <xf numFmtId="0" fontId="59" fillId="0" borderId="0" xfId="0" applyFont="1"/>
    <xf numFmtId="0" fontId="19" fillId="0" borderId="0" xfId="244" applyFont="1" applyFill="1" applyBorder="1" applyAlignment="1" applyProtection="1">
      <alignment horizontal="left"/>
    </xf>
    <xf numFmtId="0" fontId="50" fillId="0" borderId="0" xfId="0" applyFont="1"/>
    <xf numFmtId="0" fontId="50" fillId="0" borderId="0" xfId="244" applyFont="1" applyFill="1" applyBorder="1" applyAlignment="1" applyProtection="1">
      <alignment horizontal="left"/>
    </xf>
    <xf numFmtId="0" fontId="25" fillId="3" borderId="11" xfId="0" applyFont="1" applyFill="1" applyBorder="1" applyAlignment="1">
      <alignment vertical="top"/>
    </xf>
    <xf numFmtId="0" fontId="0" fillId="7" borderId="0" xfId="0" applyFill="1"/>
    <xf numFmtId="0" fontId="39" fillId="0" borderId="0" xfId="0" applyFont="1"/>
    <xf numFmtId="0" fontId="61" fillId="0" borderId="0" xfId="0" applyFont="1"/>
    <xf numFmtId="0" fontId="37" fillId="0" borderId="0" xfId="0" applyFont="1" applyAlignment="1">
      <alignment horizontal="center"/>
    </xf>
    <xf numFmtId="0" fontId="37" fillId="0" borderId="0" xfId="0" applyFont="1" applyAlignment="1">
      <alignment horizontal="left"/>
    </xf>
    <xf numFmtId="49" fontId="26" fillId="0" borderId="0" xfId="0" applyNumberFormat="1" applyFont="1" applyAlignment="1">
      <alignment horizontal="center"/>
    </xf>
    <xf numFmtId="0" fontId="53" fillId="0" borderId="0" xfId="0" applyFont="1" applyAlignment="1">
      <alignment horizontal="center"/>
    </xf>
    <xf numFmtId="168" fontId="28" fillId="0" borderId="0" xfId="0" applyNumberFormat="1" applyFont="1" applyAlignment="1">
      <alignment horizontal="center"/>
    </xf>
    <xf numFmtId="168" fontId="38" fillId="0" borderId="0" xfId="0" applyNumberFormat="1" applyFont="1" applyAlignment="1">
      <alignment horizontal="left" vertical="top" wrapText="1"/>
    </xf>
    <xf numFmtId="0" fontId="55" fillId="0" borderId="3" xfId="0" applyFont="1" applyBorder="1"/>
    <xf numFmtId="168" fontId="0" fillId="0" borderId="0" xfId="0" applyNumberFormat="1" applyAlignment="1">
      <alignment horizontal="center"/>
    </xf>
    <xf numFmtId="0" fontId="39" fillId="0" borderId="0" xfId="0" applyFont="1" applyAlignment="1">
      <alignment vertical="top" wrapText="1"/>
    </xf>
    <xf numFmtId="0" fontId="56" fillId="0" borderId="4" xfId="0" applyFont="1" applyBorder="1" applyAlignment="1">
      <alignment horizontal="right"/>
    </xf>
    <xf numFmtId="0" fontId="63" fillId="0" borderId="0" xfId="0" applyFont="1"/>
    <xf numFmtId="3" fontId="28" fillId="0" borderId="0" xfId="0" applyNumberFormat="1" applyFont="1" applyAlignment="1">
      <alignment horizontal="center"/>
    </xf>
    <xf numFmtId="168" fontId="19" fillId="0" borderId="0" xfId="0" applyNumberFormat="1" applyFont="1" applyAlignment="1">
      <alignment horizontal="left" vertical="top"/>
    </xf>
    <xf numFmtId="168" fontId="28" fillId="0" borderId="0" xfId="0" applyNumberFormat="1" applyFont="1" applyAlignment="1">
      <alignment horizontal="left" vertical="top"/>
    </xf>
    <xf numFmtId="0" fontId="58" fillId="0" borderId="11" xfId="0" applyFont="1" applyBorder="1" applyAlignment="1">
      <alignment horizontal="right" vertical="top"/>
    </xf>
    <xf numFmtId="0" fontId="58" fillId="0" borderId="0" xfId="0" applyFont="1" applyAlignment="1">
      <alignment horizontal="right" vertical="top" wrapText="1"/>
    </xf>
    <xf numFmtId="0" fontId="58" fillId="2" borderId="12" xfId="0" applyFont="1" applyFill="1" applyBorder="1" applyAlignment="1">
      <alignment vertical="top" wrapText="1"/>
    </xf>
    <xf numFmtId="0" fontId="58" fillId="0" borderId="14" xfId="0" applyFont="1" applyBorder="1" applyAlignment="1">
      <alignment vertical="top" wrapText="1"/>
    </xf>
    <xf numFmtId="168" fontId="58" fillId="5" borderId="11" xfId="0" applyNumberFormat="1" applyFont="1" applyFill="1" applyBorder="1" applyAlignment="1" applyProtection="1">
      <alignment vertical="top"/>
      <protection locked="0"/>
    </xf>
    <xf numFmtId="0" fontId="58" fillId="2" borderId="11" xfId="0" applyFont="1" applyFill="1" applyBorder="1" applyAlignment="1" applyProtection="1">
      <alignment vertical="top"/>
      <protection locked="0"/>
    </xf>
    <xf numFmtId="0" fontId="58" fillId="0" borderId="11" xfId="0" applyFont="1" applyBorder="1" applyAlignment="1" applyProtection="1">
      <alignment vertical="top"/>
      <protection locked="0"/>
    </xf>
    <xf numFmtId="168" fontId="58" fillId="0" borderId="11" xfId="0" applyNumberFormat="1" applyFont="1" applyBorder="1" applyAlignment="1">
      <alignment vertical="top"/>
    </xf>
    <xf numFmtId="168" fontId="58" fillId="6" borderId="11" xfId="0" applyNumberFormat="1" applyFont="1" applyFill="1" applyBorder="1" applyAlignment="1">
      <alignment horizontal="center" vertical="top"/>
    </xf>
    <xf numFmtId="0" fontId="26" fillId="0" borderId="0" xfId="542" applyFont="1" applyProtection="1">
      <protection locked="0"/>
    </xf>
    <xf numFmtId="0" fontId="19" fillId="0" borderId="0" xfId="539" applyProtection="1"/>
    <xf numFmtId="0" fontId="39" fillId="8" borderId="0" xfId="539" applyFont="1" applyFill="1" applyAlignment="1" applyProtection="1">
      <alignment horizontal="centerContinuous"/>
    </xf>
    <xf numFmtId="0" fontId="26" fillId="0" borderId="0" xfId="543" applyFont="1"/>
    <xf numFmtId="0" fontId="28" fillId="0" borderId="0" xfId="543" applyFont="1" applyAlignment="1">
      <alignment horizontal="left"/>
    </xf>
    <xf numFmtId="0" fontId="28" fillId="0" borderId="15" xfId="0" applyFont="1" applyBorder="1"/>
    <xf numFmtId="2" fontId="42" fillId="0" borderId="11" xfId="0" applyNumberFormat="1" applyFont="1" applyBorder="1"/>
    <xf numFmtId="0" fontId="19" fillId="0" borderId="0" xfId="0" applyFont="1" applyProtection="1">
      <protection locked="0"/>
    </xf>
    <xf numFmtId="0" fontId="66" fillId="0" borderId="0" xfId="0" applyFont="1" applyAlignment="1">
      <alignment horizontal="center"/>
    </xf>
    <xf numFmtId="0" fontId="28" fillId="0" borderId="0" xfId="271"/>
    <xf numFmtId="0" fontId="26" fillId="0" borderId="0" xfId="271" applyFont="1"/>
    <xf numFmtId="0" fontId="28" fillId="0" borderId="0" xfId="271" applyAlignment="1">
      <alignment horizontal="left"/>
    </xf>
    <xf numFmtId="168" fontId="26" fillId="0" borderId="2" xfId="543" applyNumberFormat="1" applyFont="1" applyBorder="1" applyAlignment="1">
      <alignment horizontal="center" vertical="center"/>
    </xf>
    <xf numFmtId="0" fontId="41" fillId="0" borderId="0" xfId="543" applyFont="1" applyAlignment="1">
      <alignment horizontal="right" vertical="top" wrapText="1"/>
    </xf>
    <xf numFmtId="0" fontId="39" fillId="0" borderId="2" xfId="543" applyFont="1" applyBorder="1" applyAlignment="1">
      <alignment horizontal="right" vertical="top" wrapText="1"/>
    </xf>
    <xf numFmtId="0" fontId="24" fillId="0" borderId="0" xfId="0" applyFont="1"/>
    <xf numFmtId="0" fontId="68" fillId="0" borderId="0" xfId="0" applyFont="1"/>
    <xf numFmtId="0" fontId="66" fillId="0" borderId="0" xfId="0" applyFont="1"/>
    <xf numFmtId="0" fontId="39"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6" fillId="0" borderId="0" xfId="0" applyNumberFormat="1" applyFont="1" applyAlignment="1">
      <alignment horizontal="center"/>
    </xf>
    <xf numFmtId="3" fontId="28" fillId="0" borderId="0" xfId="0" applyNumberFormat="1" applyFont="1"/>
    <xf numFmtId="0" fontId="67" fillId="0" borderId="0" xfId="0" applyFont="1"/>
    <xf numFmtId="168" fontId="24" fillId="0" borderId="0" xfId="0" applyNumberFormat="1" applyFont="1"/>
    <xf numFmtId="10" fontId="24" fillId="0" borderId="0" xfId="0" applyNumberFormat="1" applyFont="1" applyAlignment="1">
      <alignment horizontal="center"/>
    </xf>
    <xf numFmtId="3" fontId="70" fillId="0" borderId="0" xfId="0" applyNumberFormat="1" applyFont="1"/>
    <xf numFmtId="3" fontId="24" fillId="0" borderId="0" xfId="0" applyNumberFormat="1" applyFont="1"/>
    <xf numFmtId="168" fontId="67" fillId="0" borderId="0" xfId="0" applyNumberFormat="1" applyFont="1"/>
    <xf numFmtId="168" fontId="67" fillId="0" borderId="0" xfId="0" applyNumberFormat="1" applyFont="1" applyAlignment="1">
      <alignment horizontal="center"/>
    </xf>
    <xf numFmtId="0" fontId="24" fillId="5" borderId="0" xfId="0" applyFont="1" applyFill="1" applyAlignment="1">
      <alignment horizontal="left"/>
    </xf>
    <xf numFmtId="0" fontId="24" fillId="5" borderId="0" xfId="0" applyFont="1" applyFill="1"/>
    <xf numFmtId="10" fontId="24" fillId="0" borderId="0" xfId="0" applyNumberFormat="1" applyFont="1"/>
    <xf numFmtId="172" fontId="24" fillId="0" borderId="0" xfId="0" applyNumberFormat="1" applyFont="1"/>
    <xf numFmtId="172" fontId="24" fillId="0" borderId="0" xfId="0" applyNumberFormat="1" applyFont="1" applyAlignment="1">
      <alignment horizontal="center"/>
    </xf>
    <xf numFmtId="0" fontId="24" fillId="0" borderId="6" xfId="0" applyFont="1" applyBorder="1"/>
    <xf numFmtId="10" fontId="24" fillId="0" borderId="6" xfId="0" applyNumberFormat="1" applyFont="1" applyBorder="1" applyAlignment="1">
      <alignment horizontal="center"/>
    </xf>
    <xf numFmtId="3" fontId="24" fillId="0" borderId="6" xfId="0" applyNumberFormat="1" applyFont="1" applyBorder="1"/>
    <xf numFmtId="10" fontId="28" fillId="0" borderId="0" xfId="0" applyNumberFormat="1" applyFont="1" applyAlignment="1">
      <alignment horizontal="center"/>
    </xf>
    <xf numFmtId="3" fontId="28" fillId="0" borderId="0" xfId="0" applyNumberFormat="1" applyFont="1" applyAlignment="1">
      <alignment vertical="top"/>
    </xf>
    <xf numFmtId="10" fontId="26" fillId="0" borderId="0" xfId="0" applyNumberFormat="1" applyFont="1" applyAlignment="1">
      <alignment horizontal="center"/>
    </xf>
    <xf numFmtId="0" fontId="66" fillId="0" borderId="6" xfId="0" applyFont="1" applyBorder="1" applyAlignment="1">
      <alignment horizontal="center"/>
    </xf>
    <xf numFmtId="172" fontId="28" fillId="0" borderId="0" xfId="0" applyNumberFormat="1" applyFont="1" applyAlignment="1">
      <alignment horizontal="center"/>
    </xf>
    <xf numFmtId="10" fontId="71" fillId="0" borderId="0" xfId="0" applyNumberFormat="1" applyFont="1" applyAlignment="1">
      <alignment horizontal="center"/>
    </xf>
    <xf numFmtId="0" fontId="28" fillId="9" borderId="6" xfId="0" applyFont="1" applyFill="1" applyBorder="1"/>
    <xf numFmtId="0" fontId="28" fillId="0" borderId="4" xfId="271" applyBorder="1"/>
    <xf numFmtId="0" fontId="28" fillId="0" borderId="6" xfId="271" applyBorder="1"/>
    <xf numFmtId="0" fontId="28" fillId="0" borderId="1" xfId="0" applyFont="1" applyBorder="1"/>
    <xf numFmtId="168" fontId="28" fillId="0" borderId="3" xfId="0" applyNumberFormat="1" applyFont="1" applyBorder="1" applyAlignment="1">
      <alignment vertical="top"/>
    </xf>
    <xf numFmtId="168" fontId="28" fillId="0" borderId="4" xfId="0" applyNumberFormat="1" applyFont="1" applyBorder="1" applyAlignment="1">
      <alignment vertical="top"/>
    </xf>
    <xf numFmtId="168" fontId="28" fillId="0" borderId="5" xfId="0" applyNumberFormat="1" applyFont="1" applyBorder="1" applyAlignment="1">
      <alignment vertical="top"/>
    </xf>
    <xf numFmtId="168" fontId="28" fillId="0" borderId="8" xfId="0" applyNumberFormat="1" applyFont="1" applyBorder="1" applyAlignment="1">
      <alignment vertical="top"/>
    </xf>
    <xf numFmtId="168" fontId="28" fillId="0" borderId="0" xfId="0" applyNumberFormat="1" applyFont="1" applyAlignment="1">
      <alignment vertical="top"/>
    </xf>
    <xf numFmtId="0" fontId="28" fillId="0" borderId="0" xfId="0" applyFont="1" applyAlignment="1">
      <alignment horizontal="right" vertical="top"/>
    </xf>
    <xf numFmtId="0" fontId="28"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8" fillId="5" borderId="4" xfId="0" applyFont="1" applyFill="1" applyBorder="1" applyAlignment="1" applyProtection="1">
      <alignment horizontal="left" vertical="top"/>
      <protection locked="0"/>
    </xf>
    <xf numFmtId="0" fontId="28" fillId="5" borderId="5" xfId="0" applyFont="1" applyFill="1" applyBorder="1" applyAlignment="1" applyProtection="1">
      <alignment horizontal="left" vertical="top"/>
      <protection locked="0"/>
    </xf>
    <xf numFmtId="4" fontId="53" fillId="0" borderId="0" xfId="0" applyNumberFormat="1" applyFont="1" applyAlignment="1">
      <alignment horizontal="center"/>
    </xf>
    <xf numFmtId="0" fontId="38" fillId="0" borderId="1" xfId="543" applyFont="1" applyBorder="1" applyAlignment="1">
      <alignment horizontal="left" vertical="top" wrapText="1"/>
    </xf>
    <xf numFmtId="0" fontId="38" fillId="0" borderId="12" xfId="543" applyFont="1" applyBorder="1" applyAlignment="1">
      <alignment horizontal="center" vertical="top" wrapText="1"/>
    </xf>
    <xf numFmtId="0" fontId="38" fillId="0" borderId="8" xfId="543" applyFont="1" applyBorder="1" applyAlignment="1">
      <alignment horizontal="left" vertical="top" wrapText="1"/>
    </xf>
    <xf numFmtId="0" fontId="33" fillId="3" borderId="4" xfId="271" applyFont="1" applyFill="1" applyBorder="1" applyAlignment="1">
      <alignment vertical="top" wrapText="1"/>
    </xf>
    <xf numFmtId="0" fontId="25" fillId="3" borderId="11" xfId="271" applyFont="1" applyFill="1" applyBorder="1" applyAlignment="1">
      <alignment vertical="top"/>
    </xf>
    <xf numFmtId="0" fontId="26" fillId="0" borderId="9" xfId="271" applyFont="1" applyBorder="1" applyAlignment="1">
      <alignment horizontal="center" wrapText="1"/>
    </xf>
    <xf numFmtId="0" fontId="33" fillId="3" borderId="4" xfId="271" applyFont="1" applyFill="1" applyBorder="1" applyAlignment="1" applyProtection="1">
      <alignment vertical="top" wrapText="1"/>
      <protection locked="0"/>
    </xf>
    <xf numFmtId="0" fontId="33" fillId="3" borderId="5" xfId="271" applyFont="1" applyFill="1" applyBorder="1" applyAlignment="1" applyProtection="1">
      <alignment vertical="top" wrapText="1"/>
      <protection locked="0"/>
    </xf>
    <xf numFmtId="0" fontId="26" fillId="0" borderId="13" xfId="271" applyFont="1" applyBorder="1" applyAlignment="1">
      <alignment horizontal="center" wrapText="1"/>
    </xf>
    <xf numFmtId="0" fontId="51" fillId="2" borderId="11" xfId="271" applyFont="1" applyFill="1" applyBorder="1" applyAlignment="1">
      <alignment horizontal="left" vertical="top" wrapText="1"/>
    </xf>
    <xf numFmtId="0" fontId="28" fillId="0" borderId="11" xfId="271" applyBorder="1" applyAlignment="1" applyProtection="1">
      <alignment vertical="top" wrapText="1"/>
      <protection locked="0"/>
    </xf>
    <xf numFmtId="168" fontId="28" fillId="5" borderId="11" xfId="271" applyNumberFormat="1" applyFill="1" applyBorder="1" applyAlignment="1" applyProtection="1">
      <alignment vertical="top" wrapText="1"/>
      <protection locked="0"/>
    </xf>
    <xf numFmtId="0" fontId="28" fillId="5" borderId="3" xfId="271" applyFill="1" applyBorder="1" applyAlignment="1" applyProtection="1">
      <alignment vertical="top" wrapText="1"/>
      <protection locked="0"/>
    </xf>
    <xf numFmtId="0" fontId="28" fillId="5" borderId="11" xfId="271" applyFill="1" applyBorder="1" applyAlignment="1" applyProtection="1">
      <alignment vertical="top" wrapText="1"/>
      <protection locked="0"/>
    </xf>
    <xf numFmtId="0" fontId="28" fillId="0" borderId="11" xfId="271" applyBorder="1" applyAlignment="1">
      <alignment horizontal="right" vertical="top" wrapText="1"/>
    </xf>
    <xf numFmtId="168" fontId="28" fillId="0" borderId="11" xfId="271" applyNumberFormat="1" applyBorder="1" applyAlignment="1">
      <alignment vertical="top" wrapText="1"/>
    </xf>
    <xf numFmtId="0" fontId="26" fillId="0" borderId="11" xfId="271" applyFont="1" applyBorder="1" applyAlignment="1">
      <alignment horizontal="right" vertical="top" wrapText="1"/>
    </xf>
    <xf numFmtId="0" fontId="28" fillId="5" borderId="11" xfId="271" applyFill="1" applyBorder="1" applyAlignment="1" applyProtection="1">
      <alignment horizontal="right" vertical="top" wrapText="1"/>
      <protection locked="0"/>
    </xf>
    <xf numFmtId="168" fontId="26" fillId="0" borderId="11" xfId="271" applyNumberFormat="1" applyFont="1" applyBorder="1" applyAlignment="1">
      <alignment vertical="top" wrapText="1"/>
    </xf>
    <xf numFmtId="0" fontId="36" fillId="0" borderId="11" xfId="271" applyFont="1" applyBorder="1" applyAlignment="1">
      <alignment horizontal="right" vertical="top" wrapText="1"/>
    </xf>
    <xf numFmtId="0" fontId="33" fillId="0" borderId="0" xfId="271" applyFont="1" applyAlignment="1" applyProtection="1">
      <alignment vertical="top" wrapText="1"/>
      <protection locked="0"/>
    </xf>
    <xf numFmtId="0" fontId="28" fillId="0" borderId="5" xfId="271" applyBorder="1" applyAlignment="1" applyProtection="1">
      <alignment vertical="top" wrapText="1"/>
      <protection locked="0"/>
    </xf>
    <xf numFmtId="0" fontId="26" fillId="0" borderId="3" xfId="271" applyFont="1" applyBorder="1" applyAlignment="1">
      <alignment horizontal="left" vertical="top"/>
    </xf>
    <xf numFmtId="0" fontId="28" fillId="0" borderId="4" xfId="271" applyBorder="1" applyAlignment="1" applyProtection="1">
      <alignment horizontal="left" vertical="top"/>
      <protection locked="0"/>
    </xf>
    <xf numFmtId="0" fontId="28" fillId="0" borderId="4" xfId="271" applyBorder="1" applyAlignment="1" applyProtection="1">
      <alignment vertical="top" wrapText="1"/>
      <protection locked="0"/>
    </xf>
    <xf numFmtId="0" fontId="33" fillId="0" borderId="0" xfId="271" applyFont="1" applyAlignment="1">
      <alignment vertical="top" wrapText="1"/>
    </xf>
    <xf numFmtId="0" fontId="28" fillId="0" borderId="4" xfId="271" applyBorder="1" applyAlignment="1">
      <alignment vertical="top" wrapText="1"/>
    </xf>
    <xf numFmtId="0" fontId="51" fillId="2" borderId="11" xfId="271" applyFont="1" applyFill="1" applyBorder="1" applyAlignment="1" applyProtection="1">
      <alignment horizontal="left" vertical="top" wrapText="1"/>
      <protection locked="0"/>
    </xf>
    <xf numFmtId="0" fontId="55" fillId="0" borderId="11" xfId="0" applyFont="1" applyBorder="1" applyAlignment="1">
      <alignment horizontal="right" vertical="top" wrapText="1"/>
    </xf>
    <xf numFmtId="0" fontId="28" fillId="8" borderId="0" xfId="542" quotePrefix="1" applyFont="1" applyFill="1" applyAlignment="1">
      <alignment horizontal="left"/>
    </xf>
    <xf numFmtId="0" fontId="28" fillId="8" borderId="0" xfId="542" applyFont="1" applyFill="1"/>
    <xf numFmtId="0" fontId="36" fillId="8" borderId="0" xfId="542" applyFont="1" applyFill="1"/>
    <xf numFmtId="0" fontId="55" fillId="0" borderId="11" xfId="271" applyFont="1" applyBorder="1" applyAlignment="1">
      <alignment horizontal="right" vertical="top"/>
    </xf>
    <xf numFmtId="0" fontId="55" fillId="0" borderId="11" xfId="271" applyFont="1" applyBorder="1" applyAlignment="1">
      <alignment horizontal="right" vertical="top" wrapText="1"/>
    </xf>
    <xf numFmtId="0" fontId="28" fillId="0" borderId="0" xfId="271" applyAlignment="1">
      <alignment horizontal="left" vertical="top"/>
    </xf>
    <xf numFmtId="0" fontId="26" fillId="0" borderId="0" xfId="271" applyFont="1" applyAlignment="1">
      <alignment horizontal="right"/>
    </xf>
    <xf numFmtId="0" fontId="27" fillId="0" borderId="0" xfId="271" applyFont="1" applyAlignment="1">
      <alignment horizontal="center"/>
    </xf>
    <xf numFmtId="5" fontId="28" fillId="0" borderId="0" xfId="542" applyNumberFormat="1" applyFont="1"/>
    <xf numFmtId="1" fontId="28" fillId="0" borderId="15" xfId="271" applyNumberFormat="1" applyBorder="1"/>
    <xf numFmtId="1" fontId="28" fillId="0" borderId="14" xfId="271" applyNumberFormat="1" applyBorder="1"/>
    <xf numFmtId="0" fontId="27" fillId="0" borderId="6" xfId="271" applyFont="1" applyBorder="1" applyAlignment="1">
      <alignment horizontal="left"/>
    </xf>
    <xf numFmtId="0" fontId="27" fillId="0" borderId="6" xfId="271" applyFont="1" applyBorder="1" applyAlignment="1">
      <alignment horizontal="right"/>
    </xf>
    <xf numFmtId="165" fontId="28" fillId="0" borderId="0" xfId="271" applyNumberFormat="1"/>
    <xf numFmtId="170" fontId="28" fillId="0" borderId="14" xfId="271" applyNumberFormat="1" applyBorder="1"/>
    <xf numFmtId="1" fontId="26" fillId="0" borderId="11" xfId="271" applyNumberFormat="1" applyFont="1" applyBorder="1"/>
    <xf numFmtId="165" fontId="26" fillId="0" borderId="11" xfId="271" applyNumberFormat="1" applyFont="1" applyBorder="1"/>
    <xf numFmtId="3" fontId="58" fillId="0" borderId="11" xfId="0" applyNumberFormat="1" applyFont="1" applyBorder="1" applyAlignment="1">
      <alignment vertical="top" wrapText="1"/>
    </xf>
    <xf numFmtId="166" fontId="28" fillId="0" borderId="0" xfId="0" applyNumberFormat="1" applyFont="1"/>
    <xf numFmtId="0" fontId="0" fillId="0" borderId="0" xfId="0" applyProtection="1">
      <protection locked="0"/>
    </xf>
    <xf numFmtId="0" fontId="24" fillId="0" borderId="0" xfId="0" applyFont="1" applyProtection="1">
      <protection locked="0"/>
    </xf>
    <xf numFmtId="0" fontId="24" fillId="0" borderId="0" xfId="271" applyFont="1" applyProtection="1">
      <protection locked="0"/>
    </xf>
    <xf numFmtId="168" fontId="24" fillId="0" borderId="0" xfId="271" applyNumberFormat="1" applyFont="1" applyProtection="1">
      <protection locked="0"/>
    </xf>
    <xf numFmtId="0" fontId="32" fillId="0" borderId="1" xfId="0" applyFont="1" applyBorder="1"/>
    <xf numFmtId="0" fontId="19" fillId="0" borderId="2" xfId="0" applyFont="1" applyBorder="1" applyAlignment="1">
      <alignment horizontal="left"/>
    </xf>
    <xf numFmtId="0" fontId="19" fillId="0" borderId="2" xfId="0" applyFont="1" applyBorder="1"/>
    <xf numFmtId="0" fontId="32" fillId="0" borderId="8" xfId="0" applyFont="1" applyBorder="1"/>
    <xf numFmtId="0" fontId="32" fillId="0" borderId="9" xfId="0" applyFont="1" applyBorder="1"/>
    <xf numFmtId="0" fontId="26" fillId="0" borderId="0" xfId="0" applyFont="1" applyAlignment="1">
      <alignment horizontal="left" vertical="top"/>
    </xf>
    <xf numFmtId="172" fontId="28" fillId="5" borderId="0" xfId="0" applyNumberFormat="1" applyFont="1" applyFill="1" applyAlignment="1">
      <alignment horizontal="center"/>
    </xf>
    <xf numFmtId="0" fontId="76" fillId="0" borderId="0" xfId="0" applyFont="1" applyAlignment="1">
      <alignment horizontal="left" vertical="center"/>
    </xf>
    <xf numFmtId="0" fontId="38" fillId="0" borderId="2" xfId="543" applyFont="1" applyBorder="1" applyAlignment="1">
      <alignment horizontal="center" vertical="top" wrapText="1"/>
    </xf>
    <xf numFmtId="49" fontId="49" fillId="0" borderId="0" xfId="0" applyNumberFormat="1" applyFont="1" applyAlignment="1">
      <alignment horizontal="center"/>
    </xf>
    <xf numFmtId="0" fontId="55" fillId="0" borderId="0" xfId="0" applyFont="1"/>
    <xf numFmtId="5" fontId="80" fillId="0" borderId="11" xfId="541" applyNumberFormat="1" applyFont="1" applyBorder="1" applyAlignment="1" applyProtection="1">
      <alignment horizontal="center"/>
    </xf>
    <xf numFmtId="5" fontId="80" fillId="42" borderId="11" xfId="541" applyNumberFormat="1" applyFont="1" applyFill="1" applyBorder="1" applyAlignment="1" applyProtection="1">
      <alignment horizontal="center"/>
    </xf>
    <xf numFmtId="5" fontId="80" fillId="2" borderId="11" xfId="541" applyNumberFormat="1" applyFont="1" applyFill="1" applyBorder="1" applyAlignment="1" applyProtection="1">
      <alignment horizontal="center"/>
    </xf>
    <xf numFmtId="0" fontId="55" fillId="0" borderId="0" xfId="0" applyFont="1" applyAlignment="1">
      <alignment vertical="top" wrapText="1"/>
    </xf>
    <xf numFmtId="0" fontId="55" fillId="0" borderId="0" xfId="0" applyFont="1" applyAlignment="1">
      <alignment vertical="top"/>
    </xf>
    <xf numFmtId="0" fontId="55" fillId="2" borderId="0" xfId="0" applyFont="1" applyFill="1" applyAlignment="1">
      <alignment vertical="top" wrapText="1"/>
    </xf>
    <xf numFmtId="0" fontId="82" fillId="0" borderId="13" xfId="0" applyFont="1" applyBorder="1" applyAlignment="1">
      <alignment vertical="top" wrapText="1"/>
    </xf>
    <xf numFmtId="0" fontId="33" fillId="0" borderId="0" xfId="0" applyFont="1" applyAlignment="1">
      <alignment vertical="top" wrapText="1"/>
    </xf>
    <xf numFmtId="0" fontId="82" fillId="2" borderId="13" xfId="0" applyFont="1" applyFill="1" applyBorder="1" applyAlignment="1">
      <alignment vertical="top" wrapText="1"/>
    </xf>
    <xf numFmtId="0" fontId="82" fillId="0" borderId="0" xfId="0" applyFont="1" applyAlignment="1">
      <alignment vertical="top" wrapText="1"/>
    </xf>
    <xf numFmtId="0" fontId="82" fillId="2" borderId="0" xfId="0" applyFont="1" applyFill="1" applyAlignment="1">
      <alignment vertical="top" wrapText="1"/>
    </xf>
    <xf numFmtId="0" fontId="55" fillId="0" borderId="0" xfId="0" applyFont="1" applyAlignment="1">
      <alignment horizontal="right" vertical="top" wrapText="1"/>
    </xf>
    <xf numFmtId="168" fontId="55" fillId="5" borderId="6" xfId="0" applyNumberFormat="1" applyFont="1" applyFill="1" applyBorder="1" applyAlignment="1" applyProtection="1">
      <alignment horizontal="right" vertical="top" wrapText="1"/>
      <protection locked="0"/>
    </xf>
    <xf numFmtId="168" fontId="55" fillId="0" borderId="6" xfId="0" applyNumberFormat="1" applyFont="1" applyBorder="1" applyAlignment="1">
      <alignment horizontal="right" vertical="top" wrapText="1"/>
    </xf>
    <xf numFmtId="0" fontId="26" fillId="0" borderId="0" xfId="0" applyFont="1" applyAlignment="1">
      <alignment horizontal="left" vertical="top" wrapText="1"/>
    </xf>
    <xf numFmtId="0" fontId="28" fillId="0" borderId="0" xfId="0" applyFont="1" applyAlignment="1">
      <alignment horizontal="right" vertical="top" wrapText="1"/>
    </xf>
    <xf numFmtId="10" fontId="28" fillId="5" borderId="6" xfId="0" applyNumberFormat="1" applyFont="1" applyFill="1" applyBorder="1" applyAlignment="1" applyProtection="1">
      <alignment horizontal="center" vertical="top" wrapText="1"/>
      <protection locked="0"/>
    </xf>
    <xf numFmtId="0" fontId="66" fillId="0" borderId="0" xfId="0" applyFont="1" applyAlignment="1">
      <alignment horizontal="left" vertical="center"/>
    </xf>
    <xf numFmtId="0" fontId="26" fillId="0" borderId="2" xfId="543" applyFont="1" applyBorder="1" applyAlignment="1">
      <alignment horizontal="center"/>
    </xf>
    <xf numFmtId="0" fontId="0" fillId="0" borderId="0" xfId="543" applyFont="1"/>
    <xf numFmtId="0" fontId="20" fillId="0" borderId="0" xfId="244" quotePrefix="1" applyAlignment="1" applyProtection="1">
      <alignment horizontal="left"/>
    </xf>
    <xf numFmtId="168" fontId="55" fillId="0" borderId="11" xfId="0" applyNumberFormat="1" applyFont="1" applyBorder="1" applyAlignment="1">
      <alignment vertical="top" wrapText="1"/>
    </xf>
    <xf numFmtId="168" fontId="55" fillId="4" borderId="11" xfId="0" applyNumberFormat="1" applyFont="1" applyFill="1" applyBorder="1" applyAlignment="1">
      <alignment vertical="top" wrapText="1"/>
    </xf>
    <xf numFmtId="0" fontId="106" fillId="0" borderId="0" xfId="0" applyFont="1" applyAlignment="1">
      <alignment horizontal="left" vertical="top"/>
    </xf>
    <xf numFmtId="0" fontId="107" fillId="0" borderId="0" xfId="0" applyFont="1" applyAlignment="1">
      <alignment horizontal="left" vertical="top"/>
    </xf>
    <xf numFmtId="0" fontId="26" fillId="8" borderId="11" xfId="542" applyFont="1" applyFill="1" applyBorder="1" applyAlignment="1">
      <alignment horizontal="left"/>
    </xf>
    <xf numFmtId="0" fontId="26" fillId="8" borderId="11" xfId="542" applyFont="1" applyFill="1" applyBorder="1" applyAlignment="1">
      <alignment horizontal="center"/>
    </xf>
    <xf numFmtId="0" fontId="65" fillId="8" borderId="11" xfId="542" applyFont="1" applyFill="1" applyBorder="1" applyAlignment="1">
      <alignment horizontal="left"/>
    </xf>
    <xf numFmtId="0" fontId="65" fillId="0" borderId="11" xfId="542" applyFont="1" applyBorder="1" applyAlignment="1">
      <alignment horizontal="left"/>
    </xf>
    <xf numFmtId="0" fontId="26" fillId="0" borderId="0" xfId="271" applyFont="1" applyAlignment="1" applyProtection="1">
      <alignment horizontal="center" wrapText="1"/>
      <protection locked="0"/>
    </xf>
    <xf numFmtId="0" fontId="28" fillId="0" borderId="0" xfId="271" applyAlignment="1" applyProtection="1">
      <alignment vertical="top" wrapText="1"/>
      <protection locked="0"/>
    </xf>
    <xf numFmtId="0" fontId="26" fillId="0" borderId="0" xfId="271" applyFont="1" applyAlignment="1" applyProtection="1">
      <alignment vertical="top" wrapText="1"/>
      <protection locked="0"/>
    </xf>
    <xf numFmtId="0" fontId="19" fillId="0" borderId="0" xfId="0" applyFont="1" applyAlignment="1">
      <alignment horizontal="center"/>
    </xf>
    <xf numFmtId="0" fontId="33" fillId="0" borderId="8" xfId="569" applyFont="1" applyBorder="1" applyAlignment="1">
      <alignment vertical="top" wrapText="1"/>
    </xf>
    <xf numFmtId="0" fontId="33" fillId="0" borderId="0" xfId="569" applyFont="1" applyAlignment="1">
      <alignment vertical="top" wrapText="1"/>
    </xf>
    <xf numFmtId="0" fontId="57" fillId="2" borderId="11" xfId="569" applyFont="1" applyFill="1" applyBorder="1" applyAlignment="1">
      <alignment horizontal="left" vertical="top" wrapText="1"/>
    </xf>
    <xf numFmtId="6" fontId="55" fillId="4" borderId="11" xfId="569" applyNumberFormat="1" applyFont="1" applyFill="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6" fontId="55" fillId="0" borderId="11" xfId="569" applyNumberFormat="1" applyFont="1" applyBorder="1" applyAlignment="1">
      <alignment vertical="top" wrapText="1"/>
    </xf>
    <xf numFmtId="6" fontId="55" fillId="5" borderId="11" xfId="569" applyNumberFormat="1" applyFont="1" applyFill="1" applyBorder="1" applyAlignment="1" applyProtection="1">
      <alignment vertical="top" wrapText="1"/>
      <protection locked="0"/>
    </xf>
    <xf numFmtId="6" fontId="55" fillId="6" borderId="11" xfId="569" applyNumberFormat="1" applyFont="1" applyFill="1" applyBorder="1" applyAlignment="1">
      <alignment horizontal="center" vertical="top" wrapText="1"/>
    </xf>
    <xf numFmtId="0" fontId="55" fillId="0" borderId="11" xfId="569" applyFont="1" applyBorder="1" applyAlignment="1">
      <alignment horizontal="right" vertical="top" wrapText="1"/>
    </xf>
    <xf numFmtId="0" fontId="56" fillId="0" borderId="11" xfId="569" applyFont="1" applyBorder="1" applyAlignment="1">
      <alignment horizontal="right" vertical="top" wrapText="1"/>
    </xf>
    <xf numFmtId="0" fontId="55" fillId="0" borderId="11" xfId="569" applyFont="1" applyBorder="1" applyAlignment="1">
      <alignment horizontal="right" vertical="top"/>
    </xf>
    <xf numFmtId="6" fontId="56" fillId="0" borderId="11" xfId="569" applyNumberFormat="1" applyFont="1" applyBorder="1" applyAlignment="1">
      <alignment vertical="top" wrapText="1"/>
    </xf>
    <xf numFmtId="0" fontId="56" fillId="0" borderId="8" xfId="569" applyFont="1" applyBorder="1" applyAlignment="1">
      <alignment vertical="top" wrapText="1"/>
    </xf>
    <xf numFmtId="0" fontId="56" fillId="0" borderId="0" xfId="569" applyFont="1" applyAlignment="1">
      <alignment vertical="top" wrapText="1"/>
    </xf>
    <xf numFmtId="0" fontId="22" fillId="0" borderId="11" xfId="569" applyFont="1" applyBorder="1" applyAlignment="1">
      <alignment horizontal="right" vertical="top" wrapText="1"/>
    </xf>
    <xf numFmtId="0" fontId="56" fillId="0" borderId="0" xfId="569" applyFont="1" applyAlignment="1">
      <alignment horizontal="left" vertical="top"/>
    </xf>
    <xf numFmtId="6" fontId="55" fillId="0" borderId="0" xfId="569" applyNumberFormat="1" applyFont="1" applyAlignment="1">
      <alignment horizontal="left" vertical="top"/>
    </xf>
    <xf numFmtId="0" fontId="107" fillId="0" borderId="0" xfId="569" applyFont="1" applyAlignment="1">
      <alignment horizontal="left" vertical="top"/>
    </xf>
    <xf numFmtId="6" fontId="55" fillId="0" borderId="0" xfId="569" applyNumberFormat="1" applyFont="1" applyAlignment="1">
      <alignment vertical="top" wrapText="1"/>
    </xf>
    <xf numFmtId="0" fontId="55" fillId="0" borderId="0" xfId="569" applyFont="1" applyAlignment="1">
      <alignment horizontal="left" vertical="top"/>
    </xf>
    <xf numFmtId="0" fontId="55" fillId="0" borderId="12" xfId="569" applyFont="1" applyBorder="1" applyAlignment="1">
      <alignment vertical="top" wrapText="1"/>
    </xf>
    <xf numFmtId="0" fontId="26" fillId="0" borderId="0" xfId="569" applyFont="1" applyAlignment="1">
      <alignment horizontal="left" vertical="top"/>
    </xf>
    <xf numFmtId="0" fontId="110" fillId="0" borderId="0" xfId="569" applyFont="1" applyAlignment="1">
      <alignment horizontal="left" vertical="top"/>
    </xf>
    <xf numFmtId="0" fontId="66" fillId="0" borderId="0" xfId="569" applyFont="1" applyAlignment="1">
      <alignment horizontal="left" vertical="center"/>
    </xf>
    <xf numFmtId="0" fontId="34" fillId="0" borderId="0" xfId="569" applyFont="1" applyAlignment="1">
      <alignment vertical="top" wrapText="1"/>
    </xf>
    <xf numFmtId="0" fontId="34" fillId="0" borderId="12" xfId="569" applyFont="1" applyBorder="1" applyAlignment="1">
      <alignment vertical="top" wrapText="1"/>
    </xf>
    <xf numFmtId="0" fontId="34" fillId="0" borderId="8" xfId="569" applyFont="1" applyBorder="1" applyAlignment="1">
      <alignment vertical="top" wrapText="1"/>
    </xf>
    <xf numFmtId="0" fontId="55" fillId="0" borderId="0" xfId="569" applyFont="1" applyAlignment="1">
      <alignment vertical="top"/>
    </xf>
    <xf numFmtId="168" fontId="55" fillId="0" borderId="0" xfId="569" applyNumberFormat="1" applyFont="1" applyAlignment="1" applyProtection="1">
      <alignment horizontal="right" vertical="top" wrapText="1"/>
      <protection locked="0"/>
    </xf>
    <xf numFmtId="0" fontId="19" fillId="0" borderId="0" xfId="569" applyAlignment="1">
      <alignment vertical="top" wrapText="1"/>
    </xf>
    <xf numFmtId="0" fontId="19" fillId="0" borderId="0" xfId="569" applyAlignment="1">
      <alignment vertical="top"/>
    </xf>
    <xf numFmtId="0" fontId="55" fillId="0" borderId="0" xfId="569" applyFont="1" applyAlignment="1">
      <alignment horizontal="right" vertical="top" wrapText="1"/>
    </xf>
    <xf numFmtId="0" fontId="26" fillId="0" borderId="0" xfId="569" applyFont="1" applyAlignment="1">
      <alignment horizontal="left" vertical="top" wrapText="1"/>
    </xf>
    <xf numFmtId="168" fontId="55" fillId="0" borderId="0" xfId="569" applyNumberFormat="1" applyFont="1" applyAlignment="1">
      <alignment horizontal="right" vertical="top" wrapText="1"/>
    </xf>
    <xf numFmtId="0" fontId="19" fillId="0" borderId="0" xfId="569" applyAlignment="1" applyProtection="1">
      <alignment horizontal="left" vertical="top" wrapText="1"/>
      <protection locked="0"/>
    </xf>
    <xf numFmtId="0" fontId="19" fillId="0" borderId="0" xfId="569" applyAlignment="1">
      <alignment horizontal="right" vertical="top" wrapText="1"/>
    </xf>
    <xf numFmtId="0" fontId="19" fillId="0" borderId="0" xfId="569" applyAlignment="1">
      <alignment horizontal="left" vertical="top"/>
    </xf>
    <xf numFmtId="0" fontId="82" fillId="0" borderId="0" xfId="569" applyFont="1" applyAlignment="1">
      <alignment vertical="top" wrapText="1"/>
    </xf>
    <xf numFmtId="0" fontId="82" fillId="0" borderId="12" xfId="569" applyFont="1" applyBorder="1" applyAlignment="1">
      <alignment vertical="top" wrapText="1"/>
    </xf>
    <xf numFmtId="0" fontId="82" fillId="0" borderId="8" xfId="569" applyFont="1" applyBorder="1" applyAlignment="1">
      <alignment vertical="top" wrapText="1"/>
    </xf>
    <xf numFmtId="0" fontId="33" fillId="0" borderId="0" xfId="569" applyFont="1" applyAlignment="1">
      <alignment horizontal="right" vertical="top" wrapText="1"/>
    </xf>
    <xf numFmtId="0" fontId="82" fillId="0" borderId="0" xfId="569" applyFont="1" applyAlignment="1">
      <alignment horizontal="right" vertical="top" wrapText="1"/>
    </xf>
    <xf numFmtId="0" fontId="56" fillId="0" borderId="3" xfId="569" applyFont="1" applyBorder="1" applyAlignment="1">
      <alignment horizontal="left"/>
    </xf>
    <xf numFmtId="0" fontId="56" fillId="0" borderId="13" xfId="569" applyFont="1" applyBorder="1" applyAlignment="1">
      <alignment horizontal="center" wrapText="1"/>
    </xf>
    <xf numFmtId="0" fontId="56" fillId="0" borderId="8" xfId="569" applyFont="1" applyBorder="1" applyAlignment="1">
      <alignment horizontal="center" wrapText="1"/>
    </xf>
    <xf numFmtId="0" fontId="56" fillId="0" borderId="0" xfId="569" applyFont="1" applyAlignment="1">
      <alignment horizontal="center" wrapText="1"/>
    </xf>
    <xf numFmtId="0" fontId="19" fillId="0" borderId="0" xfId="569"/>
    <xf numFmtId="0" fontId="25" fillId="0" borderId="0" xfId="569" applyFont="1" applyAlignment="1">
      <alignment horizontal="center" vertical="center"/>
    </xf>
    <xf numFmtId="0" fontId="26" fillId="0" borderId="0" xfId="569" applyFont="1"/>
    <xf numFmtId="0" fontId="19" fillId="0" borderId="1" xfId="569" applyBorder="1"/>
    <xf numFmtId="0" fontId="19" fillId="0" borderId="2" xfId="569" applyBorder="1"/>
    <xf numFmtId="0" fontId="19" fillId="0" borderId="8" xfId="569" applyBorder="1"/>
    <xf numFmtId="0" fontId="19" fillId="0" borderId="9" xfId="569" applyBorder="1"/>
    <xf numFmtId="0" fontId="19" fillId="0" borderId="6" xfId="569" applyBorder="1"/>
    <xf numFmtId="0" fontId="27" fillId="0" borderId="0" xfId="569" applyFont="1"/>
    <xf numFmtId="0" fontId="19" fillId="0" borderId="7" xfId="569" applyBorder="1"/>
    <xf numFmtId="0" fontId="19" fillId="0" borderId="12" xfId="569" applyBorder="1"/>
    <xf numFmtId="0" fontId="19" fillId="0" borderId="10" xfId="569" applyBorder="1"/>
    <xf numFmtId="0" fontId="27" fillId="0" borderId="0" xfId="569" applyFont="1" applyAlignment="1">
      <alignment vertical="top" wrapText="1"/>
    </xf>
    <xf numFmtId="0" fontId="19" fillId="0" borderId="0" xfId="569" applyAlignment="1">
      <alignment horizontal="right"/>
    </xf>
    <xf numFmtId="0" fontId="19" fillId="0" borderId="0" xfId="569" applyAlignment="1">
      <alignment wrapText="1"/>
    </xf>
    <xf numFmtId="0" fontId="19" fillId="0" borderId="0" xfId="569" applyAlignment="1">
      <alignment vertical="center"/>
    </xf>
    <xf numFmtId="0" fontId="43" fillId="0" borderId="0" xfId="569" applyFont="1" applyAlignment="1">
      <alignment vertical="center" wrapText="1"/>
    </xf>
    <xf numFmtId="0" fontId="37" fillId="0" borderId="0" xfId="569" applyFont="1" applyAlignment="1">
      <alignment vertical="top" wrapText="1"/>
    </xf>
    <xf numFmtId="0" fontId="26" fillId="0" borderId="0" xfId="569" applyFont="1" applyAlignment="1">
      <alignment vertical="top" wrapText="1"/>
    </xf>
    <xf numFmtId="0" fontId="27" fillId="0" borderId="0" xfId="569" applyFont="1" applyAlignment="1">
      <alignment horizontal="left" vertical="top" wrapText="1"/>
    </xf>
    <xf numFmtId="164" fontId="19" fillId="0" borderId="0" xfId="569" applyNumberFormat="1" applyAlignment="1">
      <alignment horizontal="right"/>
    </xf>
    <xf numFmtId="168" fontId="19" fillId="0" borderId="0" xfId="569" applyNumberFormat="1" applyAlignment="1">
      <alignment horizontal="right"/>
    </xf>
    <xf numFmtId="0" fontId="108" fillId="0" borderId="0" xfId="569" applyFont="1" applyAlignment="1">
      <alignment horizontal="left" vertical="top" wrapText="1"/>
    </xf>
    <xf numFmtId="168" fontId="19" fillId="0" borderId="0" xfId="569" applyNumberFormat="1" applyAlignment="1">
      <alignment wrapText="1"/>
    </xf>
    <xf numFmtId="0" fontId="24" fillId="0" borderId="11" xfId="253" applyFont="1" applyBorder="1" applyAlignment="1">
      <alignment horizontal="center" wrapText="1"/>
    </xf>
    <xf numFmtId="0" fontId="24" fillId="0" borderId="0" xfId="253" applyFont="1" applyAlignment="1">
      <alignment horizontal="center" wrapText="1"/>
    </xf>
    <xf numFmtId="3" fontId="24" fillId="0" borderId="11" xfId="271" applyNumberFormat="1" applyFont="1" applyBorder="1"/>
    <xf numFmtId="3" fontId="24" fillId="0" borderId="0" xfId="271" applyNumberFormat="1" applyFont="1"/>
    <xf numFmtId="0" fontId="67" fillId="0" borderId="0" xfId="271" applyFont="1" applyAlignment="1">
      <alignment horizontal="left"/>
    </xf>
    <xf numFmtId="0" fontId="67" fillId="0" borderId="0" xfId="271" applyFont="1" applyAlignment="1">
      <alignment horizontal="right"/>
    </xf>
    <xf numFmtId="168" fontId="24" fillId="0" borderId="11" xfId="271" applyNumberFormat="1" applyFont="1" applyBorder="1"/>
    <xf numFmtId="168" fontId="24" fillId="0" borderId="0" xfId="271" applyNumberFormat="1" applyFont="1"/>
    <xf numFmtId="0" fontId="55" fillId="0" borderId="0" xfId="569" applyFont="1" applyAlignment="1">
      <alignment horizontal="left"/>
    </xf>
    <xf numFmtId="0" fontId="19" fillId="0" borderId="3" xfId="569" applyBorder="1"/>
    <xf numFmtId="0" fontId="109" fillId="0" borderId="0" xfId="1834"/>
    <xf numFmtId="0" fontId="0" fillId="0" borderId="0" xfId="0" applyAlignment="1">
      <alignment horizontal="left" vertical="top"/>
    </xf>
    <xf numFmtId="0" fontId="108" fillId="0" borderId="0" xfId="0" applyFont="1" applyAlignment="1">
      <alignment vertical="top" wrapText="1"/>
    </xf>
    <xf numFmtId="0" fontId="55" fillId="0" borderId="0" xfId="271" applyFont="1" applyAlignment="1">
      <alignment vertical="top" wrapText="1"/>
    </xf>
    <xf numFmtId="4" fontId="19" fillId="0" borderId="0" xfId="1192" applyNumberFormat="1" applyAlignment="1">
      <alignment horizontal="left" vertical="top" wrapText="1"/>
    </xf>
    <xf numFmtId="0" fontId="19" fillId="0" borderId="0" xfId="0" applyFont="1" applyAlignment="1">
      <alignment horizontal="left" vertical="top" wrapText="1"/>
    </xf>
    <xf numFmtId="0" fontId="26" fillId="0" borderId="12" xfId="543" applyFont="1" applyBorder="1" applyAlignment="1">
      <alignment horizontal="right"/>
    </xf>
    <xf numFmtId="0" fontId="38" fillId="0" borderId="0" xfId="543" applyFont="1" applyAlignment="1">
      <alignment horizontal="center"/>
    </xf>
    <xf numFmtId="4" fontId="19" fillId="0" borderId="0" xfId="569" applyNumberFormat="1" applyAlignment="1">
      <alignment horizontal="left"/>
    </xf>
    <xf numFmtId="0" fontId="19" fillId="0" borderId="0" xfId="569" applyAlignment="1">
      <alignment horizontal="left" vertical="top" wrapText="1"/>
    </xf>
    <xf numFmtId="0" fontId="19" fillId="0" borderId="0" xfId="569" applyAlignment="1">
      <alignment horizontal="left"/>
    </xf>
    <xf numFmtId="0" fontId="19" fillId="0" borderId="0" xfId="1192" applyAlignment="1">
      <alignment horizontal="left"/>
    </xf>
    <xf numFmtId="0" fontId="26" fillId="0" borderId="0" xfId="569" applyFont="1" applyAlignment="1">
      <alignment horizontal="left"/>
    </xf>
    <xf numFmtId="0" fontId="48" fillId="0" borderId="0" xfId="1192" applyFont="1"/>
    <xf numFmtId="0" fontId="55" fillId="0" borderId="11" xfId="0" applyFont="1" applyBorder="1" applyAlignment="1">
      <alignment horizontal="right" vertical="center"/>
    </xf>
    <xf numFmtId="0" fontId="19" fillId="0" borderId="0" xfId="1192" applyAlignment="1">
      <alignment horizontal="left" vertical="top" wrapText="1"/>
    </xf>
    <xf numFmtId="0" fontId="48" fillId="0" borderId="0" xfId="0" applyFont="1" applyAlignment="1">
      <alignment vertical="top" wrapText="1"/>
    </xf>
    <xf numFmtId="0" fontId="48" fillId="0" borderId="0" xfId="0" applyFont="1" applyAlignment="1">
      <alignment horizontal="left" vertical="top" wrapText="1"/>
    </xf>
    <xf numFmtId="6" fontId="56" fillId="0" borderId="0" xfId="569" applyNumberFormat="1" applyFont="1" applyAlignment="1">
      <alignment horizontal="right" vertical="top"/>
    </xf>
    <xf numFmtId="0" fontId="19" fillId="0" borderId="0" xfId="0" applyFont="1" applyAlignment="1">
      <alignment vertical="top" wrapText="1"/>
    </xf>
    <xf numFmtId="168" fontId="28" fillId="0" borderId="0" xfId="0" applyNumberFormat="1" applyFont="1" applyAlignment="1">
      <alignment horizontal="right"/>
    </xf>
    <xf numFmtId="168" fontId="28" fillId="0" borderId="28" xfId="540" applyNumberFormat="1" applyBorder="1" applyAlignment="1" applyProtection="1">
      <alignment horizontal="center"/>
    </xf>
    <xf numFmtId="168" fontId="28" fillId="0" borderId="29" xfId="540" applyNumberFormat="1" applyBorder="1" applyAlignment="1" applyProtection="1">
      <alignment horizontal="center"/>
    </xf>
    <xf numFmtId="168" fontId="28" fillId="0" borderId="30" xfId="540" applyNumberFormat="1" applyBorder="1" applyAlignment="1" applyProtection="1">
      <alignment horizontal="center"/>
    </xf>
    <xf numFmtId="168" fontId="28" fillId="0" borderId="31" xfId="540" applyNumberFormat="1" applyBorder="1" applyAlignment="1" applyProtection="1">
      <alignment horizontal="center"/>
    </xf>
    <xf numFmtId="168" fontId="28" fillId="0" borderId="32" xfId="540" applyNumberFormat="1" applyBorder="1" applyAlignment="1" applyProtection="1">
      <alignment horizontal="center"/>
    </xf>
    <xf numFmtId="168" fontId="28" fillId="0" borderId="33" xfId="540" applyNumberFormat="1" applyBorder="1" applyAlignment="1" applyProtection="1">
      <alignment horizontal="center"/>
    </xf>
    <xf numFmtId="168" fontId="28" fillId="0" borderId="34" xfId="540" applyNumberFormat="1" applyBorder="1" applyAlignment="1" applyProtection="1">
      <alignment horizontal="center"/>
    </xf>
    <xf numFmtId="168" fontId="28" fillId="0" borderId="35" xfId="540" applyNumberFormat="1" applyBorder="1" applyAlignment="1" applyProtection="1">
      <alignment horizontal="center"/>
    </xf>
    <xf numFmtId="168" fontId="28" fillId="0" borderId="36" xfId="540" applyNumberFormat="1" applyBorder="1" applyAlignment="1" applyProtection="1">
      <alignment horizontal="center"/>
    </xf>
    <xf numFmtId="168" fontId="28" fillId="0" borderId="37" xfId="540" applyNumberFormat="1" applyBorder="1" applyAlignment="1" applyProtection="1">
      <alignment horizontal="center"/>
    </xf>
    <xf numFmtId="168" fontId="28" fillId="0" borderId="38" xfId="540" applyNumberFormat="1" applyBorder="1" applyAlignment="1" applyProtection="1">
      <alignment horizontal="center"/>
    </xf>
    <xf numFmtId="168" fontId="28" fillId="0" borderId="39" xfId="540" applyNumberFormat="1" applyBorder="1" applyAlignment="1" applyProtection="1">
      <alignment horizontal="center"/>
    </xf>
    <xf numFmtId="168" fontId="28" fillId="0" borderId="40" xfId="540" applyNumberFormat="1" applyBorder="1" applyAlignment="1" applyProtection="1">
      <alignment horizontal="center"/>
    </xf>
    <xf numFmtId="168" fontId="28" fillId="0" borderId="0" xfId="540" applyNumberFormat="1" applyAlignment="1" applyProtection="1">
      <alignment horizontal="center"/>
    </xf>
    <xf numFmtId="168" fontId="28" fillId="0" borderId="14" xfId="540" applyNumberFormat="1" applyBorder="1" applyAlignment="1" applyProtection="1">
      <alignment horizontal="center"/>
    </xf>
    <xf numFmtId="168" fontId="28" fillId="0" borderId="41" xfId="540" applyNumberFormat="1" applyBorder="1" applyAlignment="1" applyProtection="1">
      <alignment horizontal="center"/>
    </xf>
    <xf numFmtId="168" fontId="28" fillId="0" borderId="42" xfId="540" applyNumberFormat="1" applyBorder="1" applyAlignment="1" applyProtection="1">
      <alignment horizontal="center"/>
    </xf>
    <xf numFmtId="168" fontId="28" fillId="0" borderId="43" xfId="540" applyNumberFormat="1" applyBorder="1" applyAlignment="1" applyProtection="1">
      <alignment horizontal="center"/>
    </xf>
    <xf numFmtId="168" fontId="28" fillId="0" borderId="44" xfId="540" applyNumberFormat="1" applyBorder="1" applyAlignment="1" applyProtection="1">
      <alignment horizontal="center"/>
    </xf>
    <xf numFmtId="0" fontId="19" fillId="0" borderId="0" xfId="1192"/>
    <xf numFmtId="0" fontId="19" fillId="0" borderId="0" xfId="0" applyFont="1" applyAlignment="1">
      <alignment wrapText="1"/>
    </xf>
    <xf numFmtId="0" fontId="48" fillId="0" borderId="0" xfId="0" applyFont="1" applyAlignment="1">
      <alignment horizontal="left" vertical="top"/>
    </xf>
    <xf numFmtId="0" fontId="48" fillId="0" borderId="0" xfId="0" applyFont="1" applyAlignment="1">
      <alignment vertical="top"/>
    </xf>
    <xf numFmtId="0" fontId="19" fillId="0" borderId="0" xfId="569" applyAlignment="1">
      <alignment horizontal="center"/>
    </xf>
    <xf numFmtId="0" fontId="37" fillId="0" borderId="0" xfId="569" applyFont="1" applyAlignment="1">
      <alignment horizontal="left"/>
    </xf>
    <xf numFmtId="0" fontId="37" fillId="0" borderId="0" xfId="569" applyFont="1" applyAlignment="1">
      <alignment horizontal="center"/>
    </xf>
    <xf numFmtId="49" fontId="26" fillId="0" borderId="0" xfId="569" applyNumberFormat="1" applyFont="1" applyAlignment="1">
      <alignment horizontal="center"/>
    </xf>
    <xf numFmtId="0" fontId="53" fillId="0" borderId="0" xfId="569" applyFont="1" applyAlignment="1">
      <alignment horizontal="center"/>
    </xf>
    <xf numFmtId="0" fontId="19" fillId="5" borderId="6" xfId="569" applyFill="1" applyBorder="1" applyProtection="1">
      <protection locked="0"/>
    </xf>
    <xf numFmtId="0" fontId="20" fillId="0" borderId="0" xfId="244" applyAlignment="1" applyProtection="1">
      <alignment horizontal="center"/>
    </xf>
    <xf numFmtId="49" fontId="19" fillId="0" borderId="0" xfId="569" applyNumberFormat="1" applyAlignment="1">
      <alignment horizontal="center"/>
    </xf>
    <xf numFmtId="0" fontId="19" fillId="0" borderId="0" xfId="569" applyAlignment="1">
      <alignment horizontal="center" vertical="center"/>
    </xf>
    <xf numFmtId="0" fontId="19" fillId="0" borderId="0" xfId="1192" applyAlignment="1">
      <alignment horizontal="center"/>
    </xf>
    <xf numFmtId="0" fontId="26" fillId="0" borderId="0" xfId="569" applyFont="1" applyAlignment="1">
      <alignment horizontal="center"/>
    </xf>
    <xf numFmtId="0" fontId="19" fillId="0" borderId="0" xfId="569" applyAlignment="1">
      <alignment horizontal="left" indent="4"/>
    </xf>
    <xf numFmtId="0" fontId="19" fillId="0" borderId="0" xfId="569" quotePrefix="1" applyAlignment="1">
      <alignment horizontal="left"/>
    </xf>
    <xf numFmtId="0" fontId="37" fillId="0" borderId="0" xfId="569" applyFont="1"/>
    <xf numFmtId="0" fontId="19" fillId="0" borderId="0" xfId="1192" applyAlignment="1" applyProtection="1">
      <alignment horizontal="left"/>
      <protection locked="0"/>
    </xf>
    <xf numFmtId="0" fontId="19" fillId="0" borderId="0" xfId="569" applyAlignment="1" applyProtection="1">
      <alignment horizontal="left"/>
      <protection locked="0"/>
    </xf>
    <xf numFmtId="49" fontId="19" fillId="0" borderId="0" xfId="1192" applyNumberFormat="1" applyAlignment="1">
      <alignment horizontal="center"/>
    </xf>
    <xf numFmtId="0" fontId="53" fillId="0" borderId="0" xfId="1192" applyFont="1" applyAlignment="1">
      <alignment horizontal="center"/>
    </xf>
    <xf numFmtId="0" fontId="26" fillId="0" borderId="0" xfId="1192" applyFont="1" applyAlignment="1">
      <alignment horizontal="left"/>
    </xf>
    <xf numFmtId="4" fontId="19" fillId="0" borderId="0" xfId="1192" applyNumberFormat="1" applyAlignment="1">
      <alignment horizontal="left"/>
    </xf>
    <xf numFmtId="0" fontId="26" fillId="0" borderId="0" xfId="569" quotePrefix="1" applyFont="1" applyAlignment="1">
      <alignment horizontal="center"/>
    </xf>
    <xf numFmtId="49" fontId="19" fillId="0" borderId="0" xfId="569" applyNumberFormat="1"/>
    <xf numFmtId="0" fontId="51" fillId="0" borderId="0" xfId="569" applyFont="1" applyAlignment="1">
      <alignment horizontal="left"/>
    </xf>
    <xf numFmtId="4" fontId="53" fillId="0" borderId="0" xfId="569" applyNumberFormat="1" applyFont="1" applyAlignment="1">
      <alignment horizontal="center"/>
    </xf>
    <xf numFmtId="4" fontId="19" fillId="0" borderId="0" xfId="569" applyNumberFormat="1" applyAlignment="1">
      <alignment horizontal="center"/>
    </xf>
    <xf numFmtId="4" fontId="19" fillId="0" borderId="0" xfId="569" applyNumberFormat="1"/>
    <xf numFmtId="0" fontId="49" fillId="0" borderId="0" xfId="569" applyFont="1" applyAlignment="1">
      <alignment horizontal="left"/>
    </xf>
    <xf numFmtId="0" fontId="20" fillId="0" borderId="0" xfId="244" applyNumberFormat="1" applyFill="1" applyAlignment="1" applyProtection="1">
      <alignment horizontal="left"/>
      <protection locked="0"/>
    </xf>
    <xf numFmtId="0" fontId="55" fillId="0" borderId="11" xfId="0" applyFont="1" applyBorder="1" applyAlignment="1" applyProtection="1">
      <alignment horizontal="right" vertical="top" wrapText="1"/>
      <protection locked="0"/>
    </xf>
    <xf numFmtId="168" fontId="58" fillId="44" borderId="11" xfId="0" applyNumberFormat="1" applyFont="1" applyFill="1" applyBorder="1" applyAlignment="1">
      <alignment vertical="top" wrapText="1"/>
    </xf>
    <xf numFmtId="0" fontId="19" fillId="0" borderId="11" xfId="271" applyFont="1" applyBorder="1" applyAlignment="1">
      <alignment horizontal="right" vertical="top" wrapText="1"/>
    </xf>
    <xf numFmtId="0" fontId="27" fillId="0" borderId="0" xfId="569" applyFont="1" applyAlignment="1">
      <alignment horizontal="left"/>
    </xf>
    <xf numFmtId="0" fontId="106" fillId="0" borderId="0" xfId="0" applyFont="1"/>
    <xf numFmtId="0" fontId="117" fillId="0" borderId="0" xfId="0" applyFont="1" applyAlignment="1">
      <alignment horizontal="left" vertical="top"/>
    </xf>
    <xf numFmtId="0" fontId="118" fillId="0" borderId="0" xfId="0" applyFont="1" applyAlignment="1">
      <alignment horizontal="left" vertical="top"/>
    </xf>
    <xf numFmtId="168" fontId="27" fillId="0" borderId="0" xfId="0" applyNumberFormat="1" applyFont="1" applyAlignment="1">
      <alignment horizontal="left" vertical="top" wrapText="1"/>
    </xf>
    <xf numFmtId="168" fontId="55" fillId="5" borderId="11" xfId="0" applyNumberFormat="1" applyFont="1" applyFill="1" applyBorder="1" applyAlignment="1">
      <alignment vertical="top" wrapText="1"/>
    </xf>
    <xf numFmtId="0" fontId="19" fillId="0" borderId="0" xfId="271" applyFont="1" applyAlignment="1">
      <alignment horizontal="left" vertical="top"/>
    </xf>
    <xf numFmtId="0" fontId="55" fillId="0" borderId="0" xfId="569" applyFont="1"/>
    <xf numFmtId="0" fontId="19" fillId="0" borderId="0" xfId="0" applyFont="1" applyAlignment="1">
      <alignment horizontal="left" vertical="top"/>
    </xf>
    <xf numFmtId="4" fontId="19" fillId="0" borderId="0" xfId="1192" applyNumberFormat="1" applyAlignment="1">
      <alignment vertical="top" wrapText="1"/>
    </xf>
    <xf numFmtId="0" fontId="26" fillId="0" borderId="16" xfId="271" applyFont="1" applyBorder="1"/>
    <xf numFmtId="0" fontId="62" fillId="0" borderId="0" xfId="569" applyFont="1"/>
    <xf numFmtId="0" fontId="43" fillId="0" borderId="0" xfId="569" applyFont="1"/>
    <xf numFmtId="0" fontId="19" fillId="0" borderId="0" xfId="1192" applyAlignment="1">
      <alignment vertical="top" wrapText="1"/>
    </xf>
    <xf numFmtId="49" fontId="19" fillId="0" borderId="0" xfId="1192" applyNumberFormat="1" applyAlignment="1">
      <alignment vertical="top" wrapText="1"/>
    </xf>
    <xf numFmtId="0" fontId="57" fillId="0" borderId="9" xfId="543" applyFont="1" applyBorder="1" applyAlignment="1">
      <alignment vertical="top"/>
    </xf>
    <xf numFmtId="0" fontId="19" fillId="0" borderId="0" xfId="0" applyFont="1" applyAlignment="1">
      <alignment vertical="center"/>
    </xf>
    <xf numFmtId="0" fontId="119" fillId="0" borderId="0" xfId="0" applyFont="1"/>
    <xf numFmtId="3" fontId="106" fillId="0" borderId="0" xfId="0" applyNumberFormat="1" applyFont="1"/>
    <xf numFmtId="0" fontId="106" fillId="0" borderId="0" xfId="0" applyFont="1" applyAlignment="1">
      <alignment horizontal="left"/>
    </xf>
    <xf numFmtId="168" fontId="120" fillId="0" borderId="0" xfId="0" applyNumberFormat="1" applyFont="1" applyAlignment="1">
      <alignment horizontal="left" vertical="top"/>
    </xf>
    <xf numFmtId="0" fontId="106" fillId="0" borderId="0" xfId="0" applyFont="1" applyAlignment="1">
      <alignment horizontal="left" vertical="center"/>
    </xf>
    <xf numFmtId="0" fontId="122" fillId="0" borderId="0" xfId="0" applyFont="1"/>
    <xf numFmtId="172" fontId="19" fillId="0" borderId="8" xfId="543" applyNumberFormat="1" applyBorder="1"/>
    <xf numFmtId="0" fontId="19" fillId="0" borderId="8" xfId="4495" applyFont="1" applyBorder="1"/>
    <xf numFmtId="0" fontId="19" fillId="0" borderId="0" xfId="4495" applyFont="1"/>
    <xf numFmtId="0" fontId="25" fillId="0" borderId="0" xfId="4495" applyFont="1" applyAlignment="1">
      <alignment horizontal="center" vertical="center"/>
    </xf>
    <xf numFmtId="0" fontId="26" fillId="0" borderId="0" xfId="4495" applyFont="1" applyAlignment="1">
      <alignment horizontal="left"/>
    </xf>
    <xf numFmtId="0" fontId="26" fillId="0" borderId="0" xfId="4495" applyFont="1"/>
    <xf numFmtId="0" fontId="29" fillId="0" borderId="0" xfId="4495" applyFont="1" applyAlignment="1">
      <alignment horizontal="center" vertical="center"/>
    </xf>
    <xf numFmtId="0" fontId="29" fillId="0" borderId="27" xfId="4495" applyFont="1" applyBorder="1" applyAlignment="1">
      <alignment horizontal="center" vertical="center"/>
    </xf>
    <xf numFmtId="0" fontId="29" fillId="0" borderId="46" xfId="4495" applyFont="1" applyBorder="1" applyAlignment="1">
      <alignment horizontal="center" vertical="center"/>
    </xf>
    <xf numFmtId="0" fontId="26" fillId="0" borderId="0" xfId="4495" applyFont="1" applyAlignment="1">
      <alignment horizontal="right"/>
    </xf>
    <xf numFmtId="0" fontId="19" fillId="0" borderId="0" xfId="1192" quotePrefix="1" applyAlignment="1">
      <alignment horizontal="center"/>
    </xf>
    <xf numFmtId="49" fontId="27" fillId="0" borderId="0" xfId="4495" applyNumberFormat="1" applyFont="1" applyAlignment="1">
      <alignment horizontal="left" vertical="top"/>
    </xf>
    <xf numFmtId="0" fontId="19" fillId="0" borderId="47" xfId="4495" applyFont="1" applyBorder="1" applyAlignment="1">
      <alignment horizontal="left" vertical="center"/>
    </xf>
    <xf numFmtId="0" fontId="29" fillId="0" borderId="48" xfId="4495" applyFont="1" applyBorder="1" applyAlignment="1">
      <alignment horizontal="center" vertical="center"/>
    </xf>
    <xf numFmtId="0" fontId="27" fillId="0" borderId="0" xfId="4495" applyFont="1"/>
    <xf numFmtId="0" fontId="27" fillId="0" borderId="0" xfId="4495" applyFont="1" applyAlignment="1">
      <alignment horizontal="left" vertical="top"/>
    </xf>
    <xf numFmtId="0" fontId="123" fillId="0" borderId="0" xfId="4496" applyFont="1" applyAlignment="1">
      <alignment horizontal="left" vertical="top" wrapText="1"/>
    </xf>
    <xf numFmtId="0" fontId="123" fillId="0" borderId="54" xfId="4496" applyFont="1" applyBorder="1" applyAlignment="1">
      <alignment horizontal="left" vertical="top" wrapText="1"/>
    </xf>
    <xf numFmtId="0" fontId="19" fillId="0" borderId="0" xfId="4495" applyFont="1" applyAlignment="1">
      <alignment horizontal="left" vertical="center"/>
    </xf>
    <xf numFmtId="0" fontId="124" fillId="0" borderId="0" xfId="4496" applyFont="1" applyAlignment="1">
      <alignment vertical="center"/>
    </xf>
    <xf numFmtId="0" fontId="123" fillId="0" borderId="0" xfId="4496" applyFont="1"/>
    <xf numFmtId="0" fontId="123" fillId="0" borderId="0" xfId="4496" applyFont="1" applyAlignment="1">
      <alignment vertical="center"/>
    </xf>
    <xf numFmtId="0" fontId="125" fillId="0" borderId="0" xfId="4496" applyFont="1" applyAlignment="1">
      <alignment vertical="center"/>
    </xf>
    <xf numFmtId="0" fontId="19" fillId="0" borderId="0" xfId="4496" applyFont="1" applyAlignment="1">
      <alignment vertical="center"/>
    </xf>
    <xf numFmtId="0" fontId="27" fillId="0" borderId="3" xfId="4495" applyFont="1" applyBorder="1" applyAlignment="1">
      <alignment vertical="top" wrapText="1"/>
    </xf>
    <xf numFmtId="0" fontId="27" fillId="0" borderId="4" xfId="4495" applyFont="1" applyBorder="1" applyAlignment="1">
      <alignment vertical="top" wrapText="1"/>
    </xf>
    <xf numFmtId="164" fontId="121" fillId="0" borderId="4" xfId="4495" applyNumberFormat="1" applyBorder="1" applyAlignment="1">
      <alignment horizontal="right"/>
    </xf>
    <xf numFmtId="0" fontId="27" fillId="0" borderId="4" xfId="4495" applyFont="1" applyBorder="1"/>
    <xf numFmtId="0" fontId="26" fillId="0" borderId="5" xfId="4495" applyFont="1" applyBorder="1" applyAlignment="1">
      <alignment horizontal="right"/>
    </xf>
    <xf numFmtId="0" fontId="19" fillId="0" borderId="16" xfId="4495" applyFont="1" applyBorder="1"/>
    <xf numFmtId="0" fontId="19" fillId="0" borderId="16" xfId="4495" applyFont="1" applyBorder="1" applyAlignment="1">
      <alignment horizontal="left" vertical="top"/>
    </xf>
    <xf numFmtId="0" fontId="27" fillId="0" borderId="16" xfId="4495" applyFont="1" applyBorder="1" applyAlignment="1">
      <alignment horizontal="left" vertical="top" wrapText="1"/>
    </xf>
    <xf numFmtId="0" fontId="27" fillId="0" borderId="45" xfId="4495" applyFont="1" applyBorder="1" applyAlignment="1">
      <alignment horizontal="left" vertical="top" wrapText="1"/>
    </xf>
    <xf numFmtId="0" fontId="121" fillId="0" borderId="0" xfId="4495"/>
    <xf numFmtId="0" fontId="20" fillId="0" borderId="0" xfId="244" applyFill="1" applyBorder="1" applyAlignment="1" applyProtection="1">
      <alignment horizontal="left" vertical="top"/>
    </xf>
    <xf numFmtId="0" fontId="20" fillId="0" borderId="0" xfId="244" applyFill="1" applyBorder="1" applyAlignment="1" applyProtection="1">
      <alignment horizontal="left" vertical="top" wrapText="1"/>
    </xf>
    <xf numFmtId="0" fontId="27" fillId="0" borderId="0" xfId="4495" applyFont="1" applyAlignment="1">
      <alignment horizontal="left" vertical="top" wrapText="1"/>
    </xf>
    <xf numFmtId="0" fontId="27" fillId="0" borderId="0" xfId="4495" applyFont="1" applyAlignment="1">
      <alignment horizontal="right" vertical="top"/>
    </xf>
    <xf numFmtId="0" fontId="19" fillId="0" borderId="0" xfId="4495" applyFont="1" applyAlignment="1">
      <alignment vertical="center" wrapText="1"/>
    </xf>
    <xf numFmtId="0" fontId="123" fillId="0" borderId="53" xfId="4496" applyFont="1" applyBorder="1" applyAlignment="1">
      <alignment vertical="top" wrapText="1"/>
    </xf>
    <xf numFmtId="0" fontId="123" fillId="0" borderId="0" xfId="4496" applyFont="1" applyAlignment="1">
      <alignment vertical="top" wrapText="1"/>
    </xf>
    <xf numFmtId="10" fontId="123" fillId="0" borderId="0" xfId="4496" applyNumberFormat="1" applyFont="1" applyAlignment="1">
      <alignment vertical="top" wrapText="1"/>
    </xf>
    <xf numFmtId="0" fontId="123" fillId="0" borderId="54" xfId="4496" applyFont="1" applyBorder="1" applyAlignment="1">
      <alignment vertical="top" wrapText="1"/>
    </xf>
    <xf numFmtId="0" fontId="123" fillId="0" borderId="0" xfId="4496" applyFont="1" applyAlignment="1">
      <alignment vertical="top"/>
    </xf>
    <xf numFmtId="165" fontId="123" fillId="0" borderId="0" xfId="4496" applyNumberFormat="1" applyFont="1" applyAlignment="1">
      <alignment vertical="top" wrapText="1"/>
    </xf>
    <xf numFmtId="0" fontId="26" fillId="0" borderId="57" xfId="4495" applyFont="1" applyBorder="1"/>
    <xf numFmtId="0" fontId="26" fillId="0" borderId="58" xfId="4495" applyFont="1" applyBorder="1"/>
    <xf numFmtId="0" fontId="26" fillId="0" borderId="58" xfId="4495" applyFont="1" applyBorder="1" applyAlignment="1">
      <alignment horizontal="right"/>
    </xf>
    <xf numFmtId="0" fontId="26" fillId="0" borderId="59" xfId="4495" applyFont="1" applyBorder="1" applyAlignment="1">
      <alignment horizontal="right"/>
    </xf>
    <xf numFmtId="0" fontId="123" fillId="0" borderId="53" xfId="4496" applyFont="1" applyBorder="1" applyAlignment="1">
      <alignment horizontal="left" vertical="top" wrapText="1"/>
    </xf>
    <xf numFmtId="0" fontId="123" fillId="0" borderId="0" xfId="4496" applyFont="1" applyAlignment="1">
      <alignment horizontal="left" vertical="top"/>
    </xf>
    <xf numFmtId="0" fontId="29" fillId="0" borderId="57" xfId="4495" applyFont="1" applyBorder="1" applyAlignment="1">
      <alignment horizontal="center" vertical="center"/>
    </xf>
    <xf numFmtId="0" fontId="29" fillId="0" borderId="58" xfId="4495" applyFont="1" applyBorder="1" applyAlignment="1">
      <alignment horizontal="center" vertical="center"/>
    </xf>
    <xf numFmtId="0" fontId="29" fillId="0" borderId="59" xfId="4495" applyFont="1" applyBorder="1" applyAlignment="1">
      <alignment horizontal="center" vertical="center"/>
    </xf>
    <xf numFmtId="0" fontId="26" fillId="0" borderId="0" xfId="4495" applyFont="1" applyAlignment="1">
      <alignment horizontal="center"/>
    </xf>
    <xf numFmtId="0" fontId="26" fillId="0" borderId="8" xfId="4495" applyFont="1" applyBorder="1"/>
    <xf numFmtId="0" fontId="27" fillId="0" borderId="0" xfId="4495" applyFont="1" applyAlignment="1">
      <alignment horizontal="left"/>
    </xf>
    <xf numFmtId="0" fontId="26" fillId="0" borderId="0" xfId="4495" applyFont="1" applyAlignment="1">
      <alignment horizontal="center" vertical="top"/>
    </xf>
    <xf numFmtId="0" fontId="19" fillId="0" borderId="0" xfId="4495" applyFont="1" applyAlignment="1">
      <alignment horizontal="center"/>
    </xf>
    <xf numFmtId="0" fontId="35" fillId="0" borderId="0" xfId="4495" applyFont="1"/>
    <xf numFmtId="0" fontId="27" fillId="0" borderId="8" xfId="4495" applyFont="1" applyBorder="1"/>
    <xf numFmtId="0" fontId="55" fillId="0" borderId="8" xfId="4495" applyFont="1" applyBorder="1"/>
    <xf numFmtId="1" fontId="19" fillId="0" borderId="0" xfId="1192" applyNumberFormat="1"/>
    <xf numFmtId="0" fontId="19" fillId="0" borderId="3" xfId="4495" applyFont="1" applyBorder="1"/>
    <xf numFmtId="0" fontId="19" fillId="0" borderId="4" xfId="4495" applyFont="1" applyBorder="1"/>
    <xf numFmtId="0" fontId="19" fillId="0" borderId="0" xfId="1192" applyAlignment="1">
      <alignment wrapText="1"/>
    </xf>
    <xf numFmtId="0" fontId="27" fillId="0" borderId="0" xfId="4495" applyFont="1" applyAlignment="1">
      <alignment vertical="top" wrapText="1"/>
    </xf>
    <xf numFmtId="0" fontId="27" fillId="0" borderId="0" xfId="1192" applyFont="1"/>
    <xf numFmtId="0" fontId="19" fillId="0" borderId="0" xfId="4495" applyFont="1" applyAlignment="1">
      <alignment horizontal="left"/>
    </xf>
    <xf numFmtId="0" fontId="27" fillId="0" borderId="3" xfId="4495" applyFont="1" applyBorder="1"/>
    <xf numFmtId="0" fontId="19" fillId="0" borderId="4" xfId="4495" applyFont="1" applyBorder="1" applyAlignment="1">
      <alignment horizontal="right"/>
    </xf>
    <xf numFmtId="1" fontId="19" fillId="0" borderId="0" xfId="4495" applyNumberFormat="1" applyFont="1" applyAlignment="1">
      <alignment horizontal="center"/>
    </xf>
    <xf numFmtId="0" fontId="55" fillId="0" borderId="0" xfId="4495" applyFont="1"/>
    <xf numFmtId="0" fontId="19" fillId="0" borderId="0" xfId="4495" applyFont="1" applyAlignment="1">
      <alignment horizontal="right"/>
    </xf>
    <xf numFmtId="0" fontId="27" fillId="0" borderId="0" xfId="4495" applyFont="1" applyAlignment="1">
      <alignment vertical="top"/>
    </xf>
    <xf numFmtId="0" fontId="27" fillId="0" borderId="27" xfId="4495" applyFont="1" applyBorder="1"/>
    <xf numFmtId="0" fontId="26" fillId="0" borderId="0" xfId="4495" applyFont="1" applyAlignment="1">
      <alignment vertical="top"/>
    </xf>
    <xf numFmtId="0" fontId="37" fillId="0" borderId="0" xfId="4495" applyFont="1" applyAlignment="1">
      <alignment vertical="top" wrapText="1"/>
    </xf>
    <xf numFmtId="0" fontId="26" fillId="0" borderId="0" xfId="4495" applyFont="1" applyAlignment="1">
      <alignment horizontal="left" vertical="top" wrapText="1"/>
    </xf>
    <xf numFmtId="0" fontId="19" fillId="0" borderId="0" xfId="4495" applyFont="1" applyAlignment="1">
      <alignment horizontal="left" vertical="top"/>
    </xf>
    <xf numFmtId="0" fontId="37" fillId="0" borderId="0" xfId="4495" applyFont="1" applyAlignment="1">
      <alignment vertical="top"/>
    </xf>
    <xf numFmtId="0" fontId="19" fillId="0" borderId="10" xfId="4495" applyFont="1" applyBorder="1" applyAlignment="1">
      <alignment horizontal="center"/>
    </xf>
    <xf numFmtId="0" fontId="19" fillId="0" borderId="16" xfId="4495" applyFont="1" applyBorder="1" applyAlignment="1">
      <alignment horizontal="center"/>
    </xf>
    <xf numFmtId="0" fontId="35" fillId="0" borderId="16" xfId="4495" applyFont="1" applyBorder="1"/>
    <xf numFmtId="0" fontId="27" fillId="0" borderId="16" xfId="4495" applyFont="1" applyBorder="1"/>
    <xf numFmtId="0" fontId="19" fillId="0" borderId="0" xfId="4496" applyFont="1" applyAlignment="1">
      <alignment vertical="top" wrapText="1"/>
    </xf>
    <xf numFmtId="0" fontId="26" fillId="0" borderId="0" xfId="1192" applyFont="1" applyAlignment="1">
      <alignment horizontal="right"/>
    </xf>
    <xf numFmtId="0" fontId="19" fillId="0" borderId="0" xfId="4496" applyFont="1"/>
    <xf numFmtId="0" fontId="19" fillId="0" borderId="0" xfId="4496" applyFont="1" applyAlignment="1">
      <alignment horizontal="left"/>
    </xf>
    <xf numFmtId="0" fontId="19" fillId="0" borderId="0" xfId="4496" applyFont="1" applyAlignment="1">
      <alignment horizontal="right"/>
    </xf>
    <xf numFmtId="0" fontId="27" fillId="0" borderId="0" xfId="4496" applyFont="1" applyAlignment="1">
      <alignment vertical="top" wrapText="1"/>
    </xf>
    <xf numFmtId="0" fontId="19" fillId="0" borderId="4" xfId="4496" applyFont="1" applyBorder="1"/>
    <xf numFmtId="0" fontId="26" fillId="0" borderId="4" xfId="4496" applyFont="1" applyBorder="1" applyAlignment="1">
      <alignment horizontal="right"/>
    </xf>
    <xf numFmtId="0" fontId="27" fillId="0" borderId="27" xfId="4495" applyFont="1" applyBorder="1" applyAlignment="1">
      <alignment horizontal="left" vertical="top"/>
    </xf>
    <xf numFmtId="0" fontId="19" fillId="0" borderId="27" xfId="4495" applyFont="1" applyBorder="1" applyAlignment="1">
      <alignment horizontal="left" vertical="top"/>
    </xf>
    <xf numFmtId="0" fontId="26" fillId="0" borderId="27" xfId="4495" applyFont="1" applyBorder="1" applyAlignment="1">
      <alignment horizontal="right"/>
    </xf>
    <xf numFmtId="0" fontId="19" fillId="0" borderId="27" xfId="4495" applyFont="1" applyBorder="1" applyAlignment="1">
      <alignment horizontal="center"/>
    </xf>
    <xf numFmtId="0" fontId="19" fillId="0" borderId="46" xfId="4495" applyFont="1" applyBorder="1" applyAlignment="1">
      <alignment horizontal="center"/>
    </xf>
    <xf numFmtId="164" fontId="27" fillId="0" borderId="0" xfId="4495" applyNumberFormat="1" applyFont="1" applyAlignment="1">
      <alignment horizontal="left" vertical="top" wrapText="1"/>
    </xf>
    <xf numFmtId="0" fontId="30" fillId="0" borderId="0" xfId="4495" applyFont="1"/>
    <xf numFmtId="0" fontId="27" fillId="0" borderId="0" xfId="4495" applyFont="1" applyAlignment="1">
      <alignment horizontal="right"/>
    </xf>
    <xf numFmtId="0" fontId="19" fillId="0" borderId="27" xfId="543" applyBorder="1"/>
    <xf numFmtId="0" fontId="19" fillId="0" borderId="46" xfId="543" applyBorder="1"/>
    <xf numFmtId="0" fontId="26" fillId="0" borderId="0" xfId="4495" applyFont="1" applyAlignment="1">
      <alignment horizontal="left" vertical="top"/>
    </xf>
    <xf numFmtId="1" fontId="121" fillId="0" borderId="0" xfId="4495" applyNumberFormat="1"/>
    <xf numFmtId="0" fontId="19" fillId="0" borderId="0" xfId="4495" applyFont="1" applyAlignment="1">
      <alignment vertical="top" wrapText="1"/>
    </xf>
    <xf numFmtId="0" fontId="19" fillId="0" borderId="0" xfId="4495" applyFont="1" applyAlignment="1">
      <alignment horizontal="left" vertical="top" wrapText="1"/>
    </xf>
    <xf numFmtId="0" fontId="19" fillId="0" borderId="50" xfId="4495" applyFont="1" applyBorder="1" applyAlignment="1">
      <alignment vertical="top"/>
    </xf>
    <xf numFmtId="1" fontId="27" fillId="0" borderId="8" xfId="4495" applyNumberFormat="1" applyFont="1" applyBorder="1"/>
    <xf numFmtId="0" fontId="19" fillId="0" borderId="0" xfId="543" applyAlignment="1">
      <alignment vertical="top"/>
    </xf>
    <xf numFmtId="0" fontId="27" fillId="0" borderId="51" xfId="4495" applyFont="1" applyBorder="1" applyAlignment="1">
      <alignment horizontal="left" vertical="top"/>
    </xf>
    <xf numFmtId="0" fontId="27" fillId="0" borderId="52" xfId="4495" applyFont="1" applyBorder="1" applyAlignment="1">
      <alignment horizontal="left" vertical="top"/>
    </xf>
    <xf numFmtId="0" fontId="121" fillId="0" borderId="0" xfId="4495" applyAlignment="1" applyProtection="1">
      <alignment horizontal="center"/>
      <protection locked="0"/>
    </xf>
    <xf numFmtId="0" fontId="19" fillId="0" borderId="53" xfId="4495" applyFont="1" applyBorder="1" applyAlignment="1">
      <alignment vertical="top"/>
    </xf>
    <xf numFmtId="0" fontId="19" fillId="0" borderId="54" xfId="4495" applyFont="1" applyBorder="1" applyAlignment="1">
      <alignment vertical="top" wrapText="1"/>
    </xf>
    <xf numFmtId="0" fontId="63" fillId="0" borderId="53" xfId="4495" applyFont="1" applyBorder="1"/>
    <xf numFmtId="0" fontId="27" fillId="0" borderId="54" xfId="4495" applyFont="1" applyBorder="1" applyAlignment="1">
      <alignment horizontal="left" vertical="top"/>
    </xf>
    <xf numFmtId="0" fontId="19" fillId="0" borderId="53" xfId="4495" applyFont="1" applyBorder="1" applyAlignment="1">
      <alignment vertical="center" wrapText="1"/>
    </xf>
    <xf numFmtId="0" fontId="63" fillId="0" borderId="57" xfId="4495" applyFont="1" applyBorder="1"/>
    <xf numFmtId="0" fontId="27" fillId="0" borderId="58" xfId="4495" applyFont="1" applyBorder="1" applyAlignment="1">
      <alignment horizontal="left" vertical="top"/>
    </xf>
    <xf numFmtId="0" fontId="27" fillId="0" borderId="12" xfId="4495" applyFont="1" applyBorder="1"/>
    <xf numFmtId="0" fontId="19" fillId="0" borderId="57" xfId="4495" applyFont="1" applyBorder="1" applyAlignment="1">
      <alignment vertical="center"/>
    </xf>
    <xf numFmtId="0" fontId="19" fillId="0" borderId="58" xfId="4495" applyFont="1" applyBorder="1" applyAlignment="1">
      <alignment vertical="top"/>
    </xf>
    <xf numFmtId="0" fontId="19" fillId="0" borderId="59" xfId="4495" applyFont="1" applyBorder="1" applyAlignment="1">
      <alignment vertical="top"/>
    </xf>
    <xf numFmtId="0" fontId="19" fillId="0" borderId="0" xfId="4495" applyFont="1" applyAlignment="1">
      <alignment vertical="top"/>
    </xf>
    <xf numFmtId="0" fontId="27" fillId="0" borderId="4" xfId="4495" applyFont="1" applyBorder="1" applyAlignment="1">
      <alignment horizontal="left" vertical="top"/>
    </xf>
    <xf numFmtId="0" fontId="19" fillId="0" borderId="4" xfId="4495" applyFont="1" applyBorder="1" applyAlignment="1">
      <alignment horizontal="left" vertical="top"/>
    </xf>
    <xf numFmtId="0" fontId="19" fillId="0" borderId="2" xfId="4495" applyFont="1" applyBorder="1"/>
    <xf numFmtId="0" fontId="27" fillId="0" borderId="2" xfId="4495" applyFont="1" applyBorder="1"/>
    <xf numFmtId="0" fontId="19" fillId="0" borderId="2" xfId="4495" applyFont="1" applyBorder="1" applyAlignment="1">
      <alignment horizontal="center"/>
    </xf>
    <xf numFmtId="0" fontId="27" fillId="0" borderId="7" xfId="4495" applyFont="1" applyBorder="1"/>
    <xf numFmtId="0" fontId="35" fillId="0" borderId="0" xfId="4495" applyFont="1" applyAlignment="1">
      <alignment horizontal="right"/>
    </xf>
    <xf numFmtId="0" fontId="126" fillId="0" borderId="0" xfId="4495" applyFont="1" applyAlignment="1">
      <alignment horizontal="left" vertical="top" wrapText="1"/>
    </xf>
    <xf numFmtId="0" fontId="35" fillId="0" borderId="0" xfId="4495" applyFont="1" applyAlignment="1">
      <alignment horizontal="left" vertical="top"/>
    </xf>
    <xf numFmtId="0" fontId="27" fillId="0" borderId="0" xfId="4495" quotePrefix="1" applyFont="1" applyAlignment="1">
      <alignment horizontal="right"/>
    </xf>
    <xf numFmtId="0" fontId="19" fillId="0" borderId="0" xfId="4497"/>
    <xf numFmtId="0" fontId="27" fillId="0" borderId="0" xfId="4495" applyFont="1" applyAlignment="1">
      <alignment horizontal="left" vertical="top" wrapText="1" shrinkToFit="1"/>
    </xf>
    <xf numFmtId="0" fontId="121" fillId="0" borderId="0" xfId="4495" applyAlignment="1">
      <alignment vertical="top" wrapText="1"/>
    </xf>
    <xf numFmtId="0" fontId="27" fillId="0" borderId="4" xfId="4495" applyFont="1" applyBorder="1" applyAlignment="1">
      <alignment horizontal="left" vertical="top" wrapText="1" shrinkToFit="1"/>
    </xf>
    <xf numFmtId="0" fontId="35" fillId="0" borderId="8" xfId="4495" applyFont="1" applyBorder="1"/>
    <xf numFmtId="0" fontId="27" fillId="0" borderId="0" xfId="4495" applyFont="1" applyAlignment="1">
      <alignment horizontal="center"/>
    </xf>
    <xf numFmtId="0" fontId="27" fillId="0" borderId="0" xfId="4495" quotePrefix="1" applyFont="1"/>
    <xf numFmtId="0" fontId="27" fillId="0" borderId="0" xfId="4495" applyFont="1" applyAlignment="1">
      <alignment horizontal="left" vertical="top" shrinkToFit="1"/>
    </xf>
    <xf numFmtId="0" fontId="49" fillId="0" borderId="0" xfId="4495" applyFont="1"/>
    <xf numFmtId="0" fontId="27" fillId="0" borderId="3" xfId="4495" applyFont="1" applyBorder="1" applyAlignment="1">
      <alignment horizontal="center"/>
    </xf>
    <xf numFmtId="0" fontId="121" fillId="0" borderId="8" xfId="4495" applyBorder="1"/>
    <xf numFmtId="0" fontId="26" fillId="0" borderId="8" xfId="4495" applyFont="1" applyBorder="1" applyAlignment="1">
      <alignment vertical="top"/>
    </xf>
    <xf numFmtId="0" fontId="121" fillId="0" borderId="0" xfId="4495" applyAlignment="1">
      <alignment vertical="top"/>
    </xf>
    <xf numFmtId="0" fontId="26" fillId="0" borderId="4" xfId="4495" applyFont="1" applyBorder="1" applyAlignment="1">
      <alignment horizontal="center" vertical="top"/>
    </xf>
    <xf numFmtId="0" fontId="126" fillId="0" borderId="0" xfId="4495" applyFont="1" applyAlignment="1">
      <alignment horizontal="left" vertical="top"/>
    </xf>
    <xf numFmtId="0" fontId="126" fillId="0" borderId="4" xfId="4495" applyFont="1" applyBorder="1" applyAlignment="1">
      <alignment horizontal="left" vertical="top"/>
    </xf>
    <xf numFmtId="168" fontId="19" fillId="0" borderId="0" xfId="4497" applyNumberFormat="1"/>
    <xf numFmtId="1" fontId="27" fillId="0" borderId="0" xfId="4495" applyNumberFormat="1" applyFont="1" applyAlignment="1">
      <alignment horizontal="center" vertical="top"/>
    </xf>
    <xf numFmtId="0" fontId="130" fillId="0" borderId="0" xfId="4495" applyFont="1" applyAlignment="1">
      <alignment vertical="top" wrapText="1"/>
    </xf>
    <xf numFmtId="0" fontId="130" fillId="0" borderId="0" xfId="4495" applyFont="1" applyAlignment="1">
      <alignment horizontal="left" vertical="top" wrapText="1"/>
    </xf>
    <xf numFmtId="0" fontId="27" fillId="0" borderId="6" xfId="4495" applyFont="1" applyBorder="1"/>
    <xf numFmtId="1" fontId="27" fillId="0" borderId="8" xfId="4495" applyNumberFormat="1" applyFont="1" applyBorder="1" applyAlignment="1">
      <alignment horizontal="center" vertical="top"/>
    </xf>
    <xf numFmtId="0" fontId="121" fillId="0" borderId="12" xfId="4495" applyBorder="1"/>
    <xf numFmtId="0" fontId="27" fillId="0" borderId="9" xfId="4495" applyFont="1" applyBorder="1"/>
    <xf numFmtId="0" fontId="121" fillId="0" borderId="10" xfId="4495" applyBorder="1"/>
    <xf numFmtId="0" fontId="35" fillId="0" borderId="3" xfId="4495" applyFont="1" applyBorder="1"/>
    <xf numFmtId="0" fontId="26" fillId="0" borderId="4" xfId="4495" applyFont="1" applyBorder="1"/>
    <xf numFmtId="0" fontId="121" fillId="0" borderId="12" xfId="4495" applyBorder="1" applyAlignment="1">
      <alignment vertical="top"/>
    </xf>
    <xf numFmtId="0" fontId="35" fillId="0" borderId="1" xfId="4495" applyFont="1" applyBorder="1"/>
    <xf numFmtId="0" fontId="130" fillId="0" borderId="2" xfId="4495" applyFont="1" applyBorder="1" applyAlignment="1">
      <alignment horizontal="left" wrapText="1"/>
    </xf>
    <xf numFmtId="0" fontId="130" fillId="0" borderId="2" xfId="4495" applyFont="1" applyBorder="1" applyAlignment="1">
      <alignment horizontal="left"/>
    </xf>
    <xf numFmtId="0" fontId="130" fillId="0" borderId="7" xfId="4495" applyFont="1" applyBorder="1" applyAlignment="1">
      <alignment horizontal="left" wrapText="1"/>
    </xf>
    <xf numFmtId="0" fontId="130" fillId="0" borderId="0" xfId="4495" applyFont="1" applyAlignment="1">
      <alignment horizontal="left" wrapText="1"/>
    </xf>
    <xf numFmtId="0" fontId="35" fillId="0" borderId="9" xfId="4495" applyFont="1" applyBorder="1"/>
    <xf numFmtId="0" fontId="27" fillId="0" borderId="10" xfId="4495" applyFont="1" applyBorder="1"/>
    <xf numFmtId="0" fontId="130" fillId="0" borderId="0" xfId="4495" applyFont="1" applyAlignment="1">
      <alignment wrapText="1"/>
    </xf>
    <xf numFmtId="0" fontId="35" fillId="0" borderId="9" xfId="4495" applyFont="1" applyBorder="1" applyAlignment="1">
      <alignment horizontal="center"/>
    </xf>
    <xf numFmtId="0" fontId="26" fillId="0" borderId="10" xfId="4495" applyFont="1" applyBorder="1"/>
    <xf numFmtId="0" fontId="37" fillId="0" borderId="0" xfId="4495" applyFont="1"/>
    <xf numFmtId="0" fontId="27" fillId="0" borderId="50" xfId="4495" applyFont="1" applyBorder="1"/>
    <xf numFmtId="0" fontId="27" fillId="0" borderId="51" xfId="4495" applyFont="1" applyBorder="1"/>
    <xf numFmtId="1" fontId="27" fillId="0" borderId="51" xfId="4495" quotePrefix="1" applyNumberFormat="1" applyFont="1" applyBorder="1" applyAlignment="1">
      <alignment horizontal="center" vertical="top"/>
    </xf>
    <xf numFmtId="0" fontId="26" fillId="0" borderId="51" xfId="4495" applyFont="1" applyBorder="1"/>
    <xf numFmtId="0" fontId="26" fillId="0" borderId="52" xfId="4495" applyFont="1" applyBorder="1" applyAlignment="1">
      <alignment horizontal="center"/>
    </xf>
    <xf numFmtId="0" fontId="19" fillId="0" borderId="53" xfId="4495" applyFont="1" applyBorder="1"/>
    <xf numFmtId="1" fontId="27" fillId="0" borderId="0" xfId="4495" quotePrefix="1" applyNumberFormat="1" applyFont="1" applyAlignment="1">
      <alignment horizontal="center" vertical="top"/>
    </xf>
    <xf numFmtId="0" fontId="26" fillId="0" borderId="54" xfId="4495" applyFont="1" applyBorder="1" applyAlignment="1">
      <alignment horizontal="center"/>
    </xf>
    <xf numFmtId="0" fontId="35" fillId="0" borderId="0" xfId="4495" applyFont="1" applyAlignment="1">
      <alignment vertical="top"/>
    </xf>
    <xf numFmtId="0" fontId="27" fillId="0" borderId="61" xfId="4495" applyFont="1" applyBorder="1"/>
    <xf numFmtId="0" fontId="121" fillId="0" borderId="58" xfId="4495" applyBorder="1" applyAlignment="1">
      <alignment horizontal="center"/>
    </xf>
    <xf numFmtId="1" fontId="27" fillId="0" borderId="58" xfId="4495" quotePrefix="1" applyNumberFormat="1" applyFont="1" applyBorder="1" applyAlignment="1">
      <alignment horizontal="center" vertical="top"/>
    </xf>
    <xf numFmtId="0" fontId="35" fillId="0" borderId="58" xfId="4495" applyFont="1" applyBorder="1" applyAlignment="1">
      <alignment vertical="top"/>
    </xf>
    <xf numFmtId="0" fontId="27" fillId="0" borderId="58" xfId="4495" applyFont="1" applyBorder="1" applyAlignment="1">
      <alignment vertical="top" wrapText="1"/>
    </xf>
    <xf numFmtId="0" fontId="27" fillId="0" borderId="58" xfId="4495" applyFont="1" applyBorder="1"/>
    <xf numFmtId="0" fontId="26" fillId="0" borderId="58" xfId="4495" applyFont="1" applyBorder="1" applyAlignment="1">
      <alignment horizontal="center"/>
    </xf>
    <xf numFmtId="0" fontId="121" fillId="0" borderId="61" xfId="4495" applyBorder="1"/>
    <xf numFmtId="0" fontId="121" fillId="0" borderId="0" xfId="4495" applyAlignment="1">
      <alignment horizontal="center"/>
    </xf>
    <xf numFmtId="0" fontId="19" fillId="0" borderId="53" xfId="543" applyBorder="1"/>
    <xf numFmtId="0" fontId="27" fillId="0" borderId="54" xfId="4495" applyFont="1" applyBorder="1"/>
    <xf numFmtId="0" fontId="19" fillId="0" borderId="58" xfId="543" applyBorder="1"/>
    <xf numFmtId="1" fontId="27" fillId="0" borderId="58" xfId="4495" applyNumberFormat="1" applyFont="1" applyBorder="1" applyAlignment="1">
      <alignment horizontal="center" vertical="top"/>
    </xf>
    <xf numFmtId="0" fontId="35" fillId="0" borderId="58" xfId="4495" applyFont="1" applyBorder="1" applyAlignment="1">
      <alignment vertical="center"/>
    </xf>
    <xf numFmtId="0" fontId="121" fillId="0" borderId="58" xfId="4495" applyBorder="1" applyAlignment="1">
      <alignment vertical="top" wrapText="1"/>
    </xf>
    <xf numFmtId="0" fontId="19" fillId="0" borderId="58" xfId="4495" applyFont="1" applyBorder="1"/>
    <xf numFmtId="0" fontId="35" fillId="0" borderId="0" xfId="4495" applyFont="1" applyAlignment="1">
      <alignment vertical="center"/>
    </xf>
    <xf numFmtId="0" fontId="27" fillId="0" borderId="53" xfId="4495" applyFont="1" applyBorder="1"/>
    <xf numFmtId="0" fontId="19" fillId="0" borderId="57" xfId="543" applyBorder="1"/>
    <xf numFmtId="0" fontId="27" fillId="0" borderId="58" xfId="4495" applyFont="1" applyBorder="1" applyAlignment="1">
      <alignment vertical="top"/>
    </xf>
    <xf numFmtId="0" fontId="27" fillId="0" borderId="59" xfId="4495" applyFont="1" applyBorder="1"/>
    <xf numFmtId="0" fontId="27" fillId="0" borderId="57" xfId="4495" applyFont="1" applyBorder="1"/>
    <xf numFmtId="0" fontId="19" fillId="0" borderId="51" xfId="4495" applyFont="1" applyBorder="1"/>
    <xf numFmtId="0" fontId="27" fillId="0" borderId="52" xfId="4495" applyFont="1" applyBorder="1"/>
    <xf numFmtId="0" fontId="19" fillId="0" borderId="50" xfId="543" applyBorder="1"/>
    <xf numFmtId="0" fontId="19" fillId="0" borderId="51" xfId="543" applyBorder="1"/>
    <xf numFmtId="0" fontId="19" fillId="0" borderId="52" xfId="543" applyBorder="1"/>
    <xf numFmtId="0" fontId="27" fillId="0" borderId="0" xfId="4495" applyFont="1" applyAlignment="1">
      <alignment wrapText="1"/>
    </xf>
    <xf numFmtId="0" fontId="26" fillId="0" borderId="54" xfId="4495" applyFont="1" applyBorder="1" applyAlignment="1">
      <alignment horizontal="center" vertical="top"/>
    </xf>
    <xf numFmtId="0" fontId="121" fillId="0" borderId="53" xfId="4495" applyBorder="1" applyAlignment="1">
      <alignment horizontal="center"/>
    </xf>
    <xf numFmtId="2" fontId="27" fillId="0" borderId="0" xfId="4495" applyNumberFormat="1" applyFont="1" applyAlignment="1">
      <alignment horizontal="right"/>
    </xf>
    <xf numFmtId="2" fontId="27" fillId="0" borderId="8" xfId="4495" applyNumberFormat="1" applyFont="1" applyBorder="1" applyAlignment="1">
      <alignment horizontal="left"/>
    </xf>
    <xf numFmtId="0" fontId="27" fillId="0" borderId="8" xfId="4495" applyFont="1" applyBorder="1" applyAlignment="1">
      <alignment horizontal="right"/>
    </xf>
    <xf numFmtId="0" fontId="129" fillId="0" borderId="0" xfId="4495" applyFont="1"/>
    <xf numFmtId="0" fontId="121" fillId="0" borderId="57" xfId="4495" applyBorder="1" applyAlignment="1">
      <alignment horizontal="center"/>
    </xf>
    <xf numFmtId="0" fontId="26" fillId="0" borderId="59" xfId="4495" applyFont="1" applyBorder="1" applyAlignment="1">
      <alignment horizontal="center"/>
    </xf>
    <xf numFmtId="9" fontId="27" fillId="0" borderId="0" xfId="4495" applyNumberFormat="1" applyFont="1" applyAlignment="1">
      <alignment horizontal="left"/>
    </xf>
    <xf numFmtId="0" fontId="19" fillId="0" borderId="17" xfId="543" applyBorder="1"/>
    <xf numFmtId="0" fontId="19" fillId="0" borderId="16" xfId="543" applyBorder="1"/>
    <xf numFmtId="0" fontId="19" fillId="0" borderId="51" xfId="4495" quotePrefix="1" applyFont="1" applyBorder="1" applyAlignment="1">
      <alignment horizontal="center" vertical="top"/>
    </xf>
    <xf numFmtId="0" fontId="27" fillId="0" borderId="53" xfId="4495" applyFont="1" applyBorder="1" applyAlignment="1">
      <alignment horizontal="left" vertical="top"/>
    </xf>
    <xf numFmtId="0" fontId="27" fillId="0" borderId="0" xfId="4495" applyFont="1" applyAlignment="1">
      <alignment horizontal="center" vertical="top"/>
    </xf>
    <xf numFmtId="0" fontId="27" fillId="0" borderId="57" xfId="4495" applyFont="1" applyBorder="1" applyAlignment="1">
      <alignment horizontal="left" vertical="top"/>
    </xf>
    <xf numFmtId="0" fontId="27" fillId="0" borderId="58" xfId="4495" applyFont="1" applyBorder="1" applyAlignment="1">
      <alignment horizontal="center" vertical="top"/>
    </xf>
    <xf numFmtId="0" fontId="121" fillId="0" borderId="58" xfId="4495" applyBorder="1"/>
    <xf numFmtId="0" fontId="26" fillId="0" borderId="58" xfId="4495" applyFont="1" applyBorder="1" applyAlignment="1">
      <alignment vertical="top"/>
    </xf>
    <xf numFmtId="0" fontId="26" fillId="0" borderId="58" xfId="4495" applyFont="1" applyBorder="1" applyAlignment="1">
      <alignment horizontal="left" vertical="top"/>
    </xf>
    <xf numFmtId="0" fontId="26" fillId="0" borderId="51" xfId="4495" applyFont="1" applyBorder="1" applyAlignment="1">
      <alignment horizontal="left" vertical="top"/>
    </xf>
    <xf numFmtId="0" fontId="26" fillId="0" borderId="53" xfId="4495" applyFont="1" applyBorder="1" applyAlignment="1">
      <alignment horizontal="left" vertical="top"/>
    </xf>
    <xf numFmtId="0" fontId="55" fillId="0" borderId="0" xfId="4495" applyFont="1" applyAlignment="1">
      <alignment horizontal="left" vertical="top"/>
    </xf>
    <xf numFmtId="0" fontId="27" fillId="0" borderId="0" xfId="4495" quotePrefix="1" applyFont="1" applyAlignment="1">
      <alignment horizontal="center" vertical="top"/>
    </xf>
    <xf numFmtId="0" fontId="56" fillId="0" borderId="0" xfId="4495" applyFont="1" applyAlignment="1">
      <alignment horizontal="center"/>
    </xf>
    <xf numFmtId="0" fontId="56" fillId="0" borderId="0" xfId="4495" applyFont="1" applyAlignment="1">
      <alignment vertical="top"/>
    </xf>
    <xf numFmtId="0" fontId="108" fillId="0" borderId="0" xfId="4495" applyFont="1"/>
    <xf numFmtId="0" fontId="55" fillId="0" borderId="0" xfId="4495" applyFont="1" applyAlignment="1">
      <alignment vertical="top"/>
    </xf>
    <xf numFmtId="0" fontId="35" fillId="0" borderId="53" xfId="4495" applyFont="1" applyBorder="1"/>
    <xf numFmtId="2" fontId="27" fillId="0" borderId="8" xfId="4495" applyNumberFormat="1" applyFont="1" applyBorder="1" applyAlignment="1">
      <alignment horizontal="right"/>
    </xf>
    <xf numFmtId="0" fontId="26" fillId="0" borderId="50" xfId="4495" applyFont="1" applyBorder="1" applyAlignment="1">
      <alignment horizontal="left" vertical="top"/>
    </xf>
    <xf numFmtId="0" fontId="55" fillId="0" borderId="51" xfId="4495" applyFont="1" applyBorder="1" applyAlignment="1">
      <alignment horizontal="left" vertical="top"/>
    </xf>
    <xf numFmtId="0" fontId="121" fillId="0" borderId="53" xfId="4495" applyBorder="1"/>
    <xf numFmtId="0" fontId="108" fillId="0" borderId="0" xfId="4495" applyFont="1" applyAlignment="1">
      <alignment horizontal="left" vertical="top"/>
    </xf>
    <xf numFmtId="1" fontId="26" fillId="0" borderId="58" xfId="4495" applyNumberFormat="1" applyFont="1" applyBorder="1" applyAlignment="1">
      <alignment vertical="top"/>
    </xf>
    <xf numFmtId="172" fontId="26" fillId="0" borderId="8" xfId="543" applyNumberFormat="1" applyFont="1" applyBorder="1"/>
    <xf numFmtId="172" fontId="26" fillId="0" borderId="0" xfId="543" applyNumberFormat="1" applyFont="1"/>
    <xf numFmtId="0" fontId="35" fillId="0" borderId="0" xfId="4495" applyFont="1" applyAlignment="1">
      <alignment wrapText="1"/>
    </xf>
    <xf numFmtId="0" fontId="35" fillId="0" borderId="0" xfId="4495" applyFont="1" applyAlignment="1">
      <alignment horizontal="center"/>
    </xf>
    <xf numFmtId="0" fontId="35" fillId="0" borderId="0" xfId="4495" applyFont="1" applyAlignment="1">
      <alignment vertical="center" wrapText="1"/>
    </xf>
    <xf numFmtId="180" fontId="27" fillId="0" borderId="0" xfId="4495" applyNumberFormat="1" applyFont="1" applyAlignment="1">
      <alignment horizontal="center"/>
    </xf>
    <xf numFmtId="1" fontId="27" fillId="0" borderId="0" xfId="4495" applyNumberFormat="1" applyFont="1" applyAlignment="1">
      <alignment horizontal="center"/>
    </xf>
    <xf numFmtId="0" fontId="26" fillId="0" borderId="51" xfId="4495" applyFont="1" applyBorder="1" applyAlignment="1">
      <alignment horizontal="center"/>
    </xf>
    <xf numFmtId="0" fontId="26" fillId="0" borderId="51" xfId="4495" applyFont="1" applyBorder="1" applyAlignment="1">
      <alignment vertical="top"/>
    </xf>
    <xf numFmtId="0" fontId="26" fillId="0" borderId="53" xfId="4495" applyFont="1" applyBorder="1"/>
    <xf numFmtId="0" fontId="19" fillId="0" borderId="54" xfId="543" applyBorder="1"/>
    <xf numFmtId="49" fontId="27" fillId="0" borderId="0" xfId="4495" applyNumberFormat="1" applyFont="1" applyAlignment="1">
      <alignment horizontal="left" vertical="center" wrapText="1"/>
    </xf>
    <xf numFmtId="0" fontId="19" fillId="0" borderId="57" xfId="4495" applyFont="1" applyBorder="1"/>
    <xf numFmtId="1" fontId="19" fillId="0" borderId="0" xfId="4495" applyNumberFormat="1" applyFont="1" applyAlignment="1">
      <alignment vertical="center"/>
    </xf>
    <xf numFmtId="0" fontId="37" fillId="0" borderId="50" xfId="4495" applyFont="1" applyBorder="1"/>
    <xf numFmtId="0" fontId="27" fillId="0" borderId="51" xfId="4495" applyFont="1" applyBorder="1" applyAlignment="1">
      <alignment horizontal="center" vertical="top"/>
    </xf>
    <xf numFmtId="0" fontId="27" fillId="0" borderId="51" xfId="4495" applyFont="1" applyBorder="1" applyAlignment="1">
      <alignment vertical="top" wrapText="1"/>
    </xf>
    <xf numFmtId="0" fontId="27" fillId="0" borderId="51" xfId="4495" applyFont="1" applyBorder="1" applyAlignment="1">
      <alignment horizontal="left" vertical="top" wrapText="1"/>
    </xf>
    <xf numFmtId="0" fontId="19" fillId="0" borderId="0" xfId="4495" quotePrefix="1" applyFont="1" applyAlignment="1">
      <alignment horizontal="center" vertical="top"/>
    </xf>
    <xf numFmtId="1" fontId="27" fillId="0" borderId="0" xfId="4495" quotePrefix="1" applyNumberFormat="1" applyFont="1" applyAlignment="1">
      <alignment wrapText="1"/>
    </xf>
    <xf numFmtId="0" fontId="27" fillId="0" borderId="6" xfId="4495" applyFont="1" applyBorder="1" applyAlignment="1">
      <alignment horizontal="right"/>
    </xf>
    <xf numFmtId="0" fontId="123" fillId="0" borderId="0" xfId="4496" applyFont="1" applyAlignment="1">
      <alignment wrapText="1"/>
    </xf>
    <xf numFmtId="0" fontId="19" fillId="0" borderId="0" xfId="4496" applyFont="1" applyAlignment="1">
      <alignment wrapText="1"/>
    </xf>
    <xf numFmtId="0" fontId="35" fillId="0" borderId="51" xfId="4495" applyFont="1" applyBorder="1" applyAlignment="1">
      <alignment vertical="top"/>
    </xf>
    <xf numFmtId="0" fontId="19" fillId="0" borderId="51" xfId="4496" applyFont="1" applyBorder="1" applyAlignment="1">
      <alignment wrapText="1"/>
    </xf>
    <xf numFmtId="0" fontId="26" fillId="0" borderId="51" xfId="4495" applyFont="1" applyBorder="1" applyAlignment="1">
      <alignment horizontal="right"/>
    </xf>
    <xf numFmtId="0" fontId="19" fillId="0" borderId="52" xfId="4495" applyFont="1" applyBorder="1" applyAlignment="1">
      <alignment horizontal="center"/>
    </xf>
    <xf numFmtId="0" fontId="19" fillId="0" borderId="53" xfId="4495" applyFont="1" applyBorder="1" applyAlignment="1">
      <alignment horizontal="left" vertical="top"/>
    </xf>
    <xf numFmtId="0" fontId="19" fillId="0" borderId="54" xfId="4495" applyFont="1" applyBorder="1" applyAlignment="1">
      <alignment horizontal="left" vertical="top"/>
    </xf>
    <xf numFmtId="0" fontId="19" fillId="0" borderId="54" xfId="4495" applyFont="1" applyBorder="1" applyAlignment="1">
      <alignment horizontal="center"/>
    </xf>
    <xf numFmtId="0" fontId="19" fillId="0" borderId="59" xfId="4495" applyFont="1" applyBorder="1" applyAlignment="1">
      <alignment horizontal="center"/>
    </xf>
    <xf numFmtId="9" fontId="19" fillId="0" borderId="0" xfId="4496" applyNumberFormat="1" applyFont="1" applyAlignment="1">
      <alignment horizontal="center"/>
    </xf>
    <xf numFmtId="1" fontId="19" fillId="0" borderId="0" xfId="543" applyNumberFormat="1"/>
    <xf numFmtId="0" fontId="27" fillId="0" borderId="1" xfId="4495" applyFont="1" applyBorder="1"/>
    <xf numFmtId="0" fontId="26" fillId="0" borderId="0" xfId="4495" applyFont="1" applyAlignment="1">
      <alignment horizontal="center" wrapText="1"/>
    </xf>
    <xf numFmtId="0" fontId="26" fillId="0" borderId="9" xfId="4495" applyFont="1" applyBorder="1" applyAlignment="1">
      <alignment horizontal="left"/>
    </xf>
    <xf numFmtId="0" fontId="26" fillId="0" borderId="3" xfId="4495" applyFont="1" applyBorder="1" applyAlignment="1">
      <alignment horizontal="left"/>
    </xf>
    <xf numFmtId="0" fontId="26" fillId="0" borderId="4" xfId="4495" applyFont="1" applyBorder="1" applyAlignment="1">
      <alignment horizontal="left"/>
    </xf>
    <xf numFmtId="0" fontId="19" fillId="0" borderId="2" xfId="4495" applyFont="1" applyBorder="1" applyAlignment="1">
      <alignment horizontal="left"/>
    </xf>
    <xf numFmtId="0" fontId="26" fillId="0" borderId="2" xfId="4495" applyFont="1" applyBorder="1" applyAlignment="1">
      <alignment horizontal="left"/>
    </xf>
    <xf numFmtId="0" fontId="26" fillId="0" borderId="5" xfId="4495" applyFont="1" applyBorder="1" applyAlignment="1">
      <alignment horizontal="left"/>
    </xf>
    <xf numFmtId="180" fontId="66" fillId="0" borderId="0" xfId="4495" applyNumberFormat="1" applyFont="1" applyAlignment="1">
      <alignment horizontal="center" vertical="center"/>
    </xf>
    <xf numFmtId="0" fontId="19" fillId="0" borderId="12" xfId="4495" applyFont="1" applyBorder="1" applyAlignment="1">
      <alignment vertical="top"/>
    </xf>
    <xf numFmtId="0" fontId="49" fillId="0" borderId="0" xfId="4495" applyFont="1" applyAlignment="1">
      <alignment vertical="top" wrapText="1"/>
    </xf>
    <xf numFmtId="0" fontId="19" fillId="0" borderId="51" xfId="4495" applyFont="1" applyBorder="1" applyAlignment="1">
      <alignment horizontal="left" vertical="top" wrapText="1"/>
    </xf>
    <xf numFmtId="0" fontId="19" fillId="0" borderId="51" xfId="4495" applyFont="1" applyBorder="1" applyAlignment="1">
      <alignment horizontal="right"/>
    </xf>
    <xf numFmtId="0" fontId="19" fillId="0" borderId="52" xfId="4495" applyFont="1" applyBorder="1" applyAlignment="1">
      <alignment horizontal="right"/>
    </xf>
    <xf numFmtId="0" fontId="19" fillId="0" borderId="54" xfId="4495" applyFont="1" applyBorder="1" applyAlignment="1">
      <alignment horizontal="right"/>
    </xf>
    <xf numFmtId="0" fontId="19" fillId="0" borderId="58" xfId="4495" applyFont="1" applyBorder="1" applyAlignment="1">
      <alignment horizontal="left" vertical="top" wrapText="1"/>
    </xf>
    <xf numFmtId="0" fontId="19" fillId="0" borderId="58" xfId="4495" applyFont="1" applyBorder="1" applyAlignment="1">
      <alignment horizontal="right"/>
    </xf>
    <xf numFmtId="0" fontId="19" fillId="0" borderId="59" xfId="4495" applyFont="1" applyBorder="1" applyAlignment="1">
      <alignment horizontal="right"/>
    </xf>
    <xf numFmtId="0" fontId="49" fillId="0" borderId="0" xfId="4495" applyFont="1" applyAlignment="1">
      <alignment horizontal="left" vertical="top" wrapText="1"/>
    </xf>
    <xf numFmtId="0" fontId="19" fillId="0" borderId="0" xfId="1192" applyAlignment="1">
      <alignment horizontal="left" vertical="top"/>
    </xf>
    <xf numFmtId="0" fontId="37" fillId="0" borderId="0" xfId="1192" applyFont="1" applyAlignment="1">
      <alignment horizontal="left" vertical="top"/>
    </xf>
    <xf numFmtId="0" fontId="19" fillId="0" borderId="0" xfId="1192" applyAlignment="1">
      <alignment vertical="top"/>
    </xf>
    <xf numFmtId="168" fontId="19" fillId="0" borderId="0" xfId="1192" applyNumberFormat="1"/>
    <xf numFmtId="165" fontId="19" fillId="0" borderId="0" xfId="1192" applyNumberFormat="1"/>
    <xf numFmtId="165" fontId="19" fillId="0" borderId="0" xfId="1192" applyNumberFormat="1" applyAlignment="1">
      <alignment horizontal="right"/>
    </xf>
    <xf numFmtId="2" fontId="19" fillId="0" borderId="0" xfId="1192" applyNumberFormat="1"/>
    <xf numFmtId="6" fontId="19" fillId="0" borderId="0" xfId="1192" applyNumberFormat="1"/>
    <xf numFmtId="0" fontId="26" fillId="0" borderId="0" xfId="1192" applyFont="1"/>
    <xf numFmtId="0" fontId="49" fillId="0" borderId="0" xfId="1192" applyFont="1"/>
    <xf numFmtId="168" fontId="19" fillId="0" borderId="0" xfId="4495" applyNumberFormat="1" applyFont="1"/>
    <xf numFmtId="0" fontId="26" fillId="0" borderId="0" xfId="1192" applyFont="1" applyAlignment="1">
      <alignment vertical="center"/>
    </xf>
    <xf numFmtId="0" fontId="119" fillId="0" borderId="0" xfId="1192" applyFont="1" applyAlignment="1">
      <alignment horizontal="left"/>
    </xf>
    <xf numFmtId="0" fontId="116" fillId="0" borderId="0" xfId="1192" applyFont="1" applyAlignment="1">
      <alignment horizontal="left"/>
    </xf>
    <xf numFmtId="0" fontId="116" fillId="0" borderId="0" xfId="1192" applyFont="1" applyAlignment="1">
      <alignment horizontal="center"/>
    </xf>
    <xf numFmtId="168" fontId="19" fillId="0" borderId="0" xfId="1192" applyNumberFormat="1" applyAlignment="1">
      <alignment horizontal="center"/>
    </xf>
    <xf numFmtId="9" fontId="19" fillId="0" borderId="0" xfId="1192" applyNumberFormat="1"/>
    <xf numFmtId="0" fontId="19" fillId="0" borderId="0" xfId="1192" applyAlignment="1">
      <alignment horizontal="right"/>
    </xf>
    <xf numFmtId="0" fontId="19" fillId="0" borderId="53" xfId="4495" applyFont="1" applyBorder="1" applyAlignment="1">
      <alignment horizontal="left"/>
    </xf>
    <xf numFmtId="6" fontId="26" fillId="0" borderId="0" xfId="1192" applyNumberFormat="1" applyFont="1" applyAlignment="1">
      <alignment horizontal="right"/>
    </xf>
    <xf numFmtId="165" fontId="19" fillId="0" borderId="0" xfId="4495" applyNumberFormat="1" applyFont="1"/>
    <xf numFmtId="0" fontId="56" fillId="0" borderId="4" xfId="4495" applyFont="1" applyBorder="1"/>
    <xf numFmtId="0" fontId="39" fillId="0" borderId="0" xfId="543" applyFont="1" applyAlignment="1">
      <alignment vertical="center" wrapText="1"/>
    </xf>
    <xf numFmtId="1" fontId="26" fillId="0" borderId="13" xfId="271" applyNumberFormat="1" applyFont="1" applyBorder="1"/>
    <xf numFmtId="1" fontId="28" fillId="0" borderId="13" xfId="271" applyNumberFormat="1" applyBorder="1"/>
    <xf numFmtId="0" fontId="19" fillId="0" borderId="11" xfId="0" applyFont="1" applyBorder="1"/>
    <xf numFmtId="9" fontId="19" fillId="0" borderId="0" xfId="4495" applyNumberFormat="1" applyFont="1"/>
    <xf numFmtId="165" fontId="123" fillId="0" borderId="0" xfId="4496" applyNumberFormat="1" applyFont="1" applyAlignment="1">
      <alignment horizontal="center" vertical="top" wrapText="1"/>
    </xf>
    <xf numFmtId="168" fontId="123" fillId="0" borderId="0" xfId="4496" applyNumberFormat="1" applyFont="1" applyAlignment="1">
      <alignment vertical="top" wrapText="1"/>
    </xf>
    <xf numFmtId="165" fontId="123" fillId="0" borderId="64" xfId="4496" applyNumberFormat="1" applyFont="1" applyBorder="1" applyAlignment="1">
      <alignment horizontal="center" vertical="top" wrapText="1"/>
    </xf>
    <xf numFmtId="165" fontId="123" fillId="0" borderId="53" xfId="4496" applyNumberFormat="1" applyFont="1" applyBorder="1" applyAlignment="1">
      <alignment horizontal="left" vertical="top"/>
    </xf>
    <xf numFmtId="165" fontId="123" fillId="0" borderId="53" xfId="4496" applyNumberFormat="1" applyFont="1" applyBorder="1" applyAlignment="1">
      <alignment horizontal="center" vertical="top" wrapText="1"/>
    </xf>
    <xf numFmtId="168" fontId="123" fillId="0" borderId="0" xfId="4496" applyNumberFormat="1" applyFont="1" applyAlignment="1">
      <alignment vertical="top"/>
    </xf>
    <xf numFmtId="1" fontId="123" fillId="0" borderId="0" xfId="4496" applyNumberFormat="1" applyFont="1" applyAlignment="1">
      <alignment vertical="top" wrapText="1"/>
    </xf>
    <xf numFmtId="164" fontId="27" fillId="0" borderId="0" xfId="4495" applyNumberFormat="1" applyFont="1"/>
    <xf numFmtId="0" fontId="26" fillId="0" borderId="8" xfId="0" applyFont="1" applyBorder="1" applyAlignment="1">
      <alignment horizontal="center" vertical="center" wrapText="1"/>
    </xf>
    <xf numFmtId="0" fontId="26"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1" fillId="0" borderId="50" xfId="1192" applyFont="1" applyBorder="1" applyAlignment="1">
      <alignment horizontal="left"/>
    </xf>
    <xf numFmtId="0" fontId="142" fillId="0" borderId="51" xfId="4495" applyFont="1" applyBorder="1" applyAlignment="1">
      <alignment vertical="top"/>
    </xf>
    <xf numFmtId="0" fontId="141" fillId="0" borderId="51" xfId="4495" applyFont="1" applyBorder="1" applyAlignment="1">
      <alignment vertical="top" wrapText="1"/>
    </xf>
    <xf numFmtId="0" fontId="142" fillId="0" borderId="51" xfId="4495" applyFont="1" applyBorder="1"/>
    <xf numFmtId="0" fontId="142" fillId="0" borderId="53" xfId="1192" applyFont="1" applyBorder="1" applyAlignment="1">
      <alignment horizontal="left"/>
    </xf>
    <xf numFmtId="0" fontId="142" fillId="0" borderId="0" xfId="4495" applyFont="1" applyAlignment="1">
      <alignment vertical="top"/>
    </xf>
    <xf numFmtId="0" fontId="141" fillId="0" borderId="0" xfId="4495" applyFont="1" applyAlignment="1">
      <alignment vertical="top" wrapText="1"/>
    </xf>
    <xf numFmtId="0" fontId="142" fillId="0" borderId="0" xfId="4495" applyFont="1"/>
    <xf numFmtId="0" fontId="141" fillId="0" borderId="53" xfId="1192" applyFont="1" applyBorder="1" applyAlignment="1">
      <alignment horizontal="left"/>
    </xf>
    <xf numFmtId="0" fontId="141" fillId="0" borderId="57" xfId="1192" applyFont="1" applyBorder="1" applyAlignment="1">
      <alignment horizontal="left"/>
    </xf>
    <xf numFmtId="0" fontId="142" fillId="0" borderId="58" xfId="4495" applyFont="1" applyBorder="1" applyAlignment="1">
      <alignment vertical="top"/>
    </xf>
    <xf numFmtId="0" fontId="141" fillId="0" borderId="58" xfId="4495" applyFont="1" applyBorder="1" applyAlignment="1">
      <alignment vertical="top" wrapText="1"/>
    </xf>
    <xf numFmtId="0" fontId="142" fillId="0" borderId="58" xfId="4495" applyFont="1" applyBorder="1"/>
    <xf numFmtId="0" fontId="28" fillId="0" borderId="3"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6" fillId="0" borderId="7" xfId="0" applyFont="1" applyBorder="1" applyAlignment="1">
      <alignment horizontal="right"/>
    </xf>
    <xf numFmtId="0" fontId="0" fillId="0" borderId="0" xfId="0" applyAlignment="1" applyProtection="1">
      <alignment horizontal="left" vertical="top" wrapText="1"/>
      <protection locked="0"/>
    </xf>
    <xf numFmtId="0" fontId="19" fillId="0" borderId="9" xfId="0" applyFont="1" applyBorder="1" applyAlignment="1">
      <alignment horizontal="left"/>
    </xf>
    <xf numFmtId="0" fontId="19" fillId="0" borderId="6" xfId="0" applyFont="1" applyBorder="1"/>
    <xf numFmtId="0" fontId="19" fillId="0" borderId="9" xfId="0" applyFont="1" applyBorder="1"/>
    <xf numFmtId="0" fontId="52" fillId="0" borderId="0" xfId="0" applyFont="1" applyAlignment="1">
      <alignment horizontal="center"/>
    </xf>
    <xf numFmtId="0" fontId="25" fillId="0" borderId="0" xfId="0" applyFont="1" applyAlignment="1">
      <alignment horizontal="center" vertical="center" wrapText="1"/>
    </xf>
    <xf numFmtId="0" fontId="34" fillId="0" borderId="0" xfId="0" applyFont="1" applyAlignment="1">
      <alignment horizontal="center"/>
    </xf>
    <xf numFmtId="0" fontId="27" fillId="0" borderId="0" xfId="0" applyFont="1" applyAlignment="1">
      <alignment horizontal="center"/>
    </xf>
    <xf numFmtId="0" fontId="26" fillId="0" borderId="3" xfId="0" applyFont="1" applyBorder="1"/>
    <xf numFmtId="0" fontId="26" fillId="0" borderId="4" xfId="271" applyFont="1" applyBorder="1"/>
    <xf numFmtId="0" fontId="26" fillId="0" borderId="3" xfId="271" applyFont="1" applyBorder="1"/>
    <xf numFmtId="0" fontId="26" fillId="0" borderId="5" xfId="271" applyFont="1" applyBorder="1"/>
    <xf numFmtId="0" fontId="19" fillId="0" borderId="58" xfId="4495" applyFont="1" applyBorder="1" applyAlignment="1">
      <alignment vertical="center" wrapText="1"/>
    </xf>
    <xf numFmtId="0" fontId="19" fillId="0" borderId="59" xfId="4495" applyFont="1" applyBorder="1" applyAlignment="1">
      <alignment vertical="center" wrapText="1"/>
    </xf>
    <xf numFmtId="0" fontId="19" fillId="0" borderId="0" xfId="4495" applyFont="1" applyAlignment="1">
      <alignment horizontal="left" vertical="center" wrapText="1"/>
    </xf>
    <xf numFmtId="0" fontId="26" fillId="0" borderId="5" xfId="0" applyFont="1" applyBorder="1"/>
    <xf numFmtId="168" fontId="24" fillId="43" borderId="0" xfId="0" applyNumberFormat="1" applyFont="1" applyFill="1"/>
    <xf numFmtId="9" fontId="27" fillId="0" borderId="0" xfId="543" applyNumberFormat="1" applyFont="1" applyAlignment="1">
      <alignment horizontal="center"/>
    </xf>
    <xf numFmtId="171" fontId="19" fillId="0" borderId="0" xfId="543" applyNumberFormat="1"/>
    <xf numFmtId="171" fontId="19" fillId="0" borderId="11" xfId="543" applyNumberFormat="1" applyBorder="1"/>
    <xf numFmtId="1" fontId="19" fillId="0" borderId="11" xfId="543" applyNumberFormat="1" applyBorder="1" applyAlignment="1">
      <alignment horizontal="center"/>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46" fillId="0" borderId="8" xfId="543" applyFont="1" applyBorder="1" applyAlignment="1">
      <alignment vertical="center" wrapText="1"/>
    </xf>
    <xf numFmtId="0" fontId="46" fillId="0" borderId="0" xfId="543" applyFont="1" applyAlignment="1">
      <alignment vertical="center" wrapText="1"/>
    </xf>
    <xf numFmtId="0" fontId="46" fillId="0" borderId="12" xfId="543" applyFont="1" applyBorder="1" applyAlignment="1">
      <alignment vertical="center" wrapText="1"/>
    </xf>
    <xf numFmtId="0" fontId="46" fillId="0" borderId="9" xfId="543" applyFont="1" applyBorder="1" applyAlignment="1">
      <alignment vertical="center" wrapText="1"/>
    </xf>
    <xf numFmtId="0" fontId="46" fillId="0" borderId="6" xfId="543" applyFont="1" applyBorder="1" applyAlignment="1">
      <alignment vertical="center" wrapText="1"/>
    </xf>
    <xf numFmtId="0" fontId="46" fillId="0" borderId="10" xfId="543" applyFont="1" applyBorder="1" applyAlignment="1">
      <alignment vertical="center" wrapText="1"/>
    </xf>
    <xf numFmtId="0" fontId="39" fillId="0" borderId="12" xfId="543" applyFont="1" applyBorder="1" applyAlignment="1">
      <alignment horizontal="center" vertical="top"/>
    </xf>
    <xf numFmtId="0" fontId="40" fillId="0" borderId="7" xfId="543" applyFont="1" applyBorder="1"/>
    <xf numFmtId="0" fontId="19" fillId="0" borderId="12" xfId="543" quotePrefix="1" applyBorder="1"/>
    <xf numFmtId="0" fontId="55" fillId="0" borderId="2" xfId="569" applyFont="1" applyBorder="1" applyAlignment="1">
      <alignment vertical="top"/>
    </xf>
    <xf numFmtId="0" fontId="29" fillId="0" borderId="0" xfId="4495" applyFont="1"/>
    <xf numFmtId="0" fontId="19" fillId="0" borderId="0" xfId="4495" applyFont="1" applyAlignment="1">
      <alignment vertical="top" wrapText="1" shrinkToFit="1"/>
    </xf>
    <xf numFmtId="0" fontId="146" fillId="0" borderId="0" xfId="4495" applyFont="1"/>
    <xf numFmtId="164" fontId="19" fillId="0" borderId="0" xfId="1192" applyNumberFormat="1" applyAlignment="1">
      <alignment horizontal="right"/>
    </xf>
    <xf numFmtId="164" fontId="19" fillId="0" borderId="0" xfId="4495" applyNumberFormat="1" applyFont="1" applyAlignment="1">
      <alignment horizontal="right"/>
    </xf>
    <xf numFmtId="0" fontId="19" fillId="0" borderId="0" xfId="4495" applyFont="1" applyAlignment="1">
      <alignment horizontal="left" vertical="top" wrapText="1" shrinkToFit="1"/>
    </xf>
    <xf numFmtId="0" fontId="19" fillId="0" borderId="6" xfId="4495" applyFont="1" applyBorder="1" applyAlignment="1">
      <alignment vertical="top" wrapText="1"/>
    </xf>
    <xf numFmtId="0" fontId="146" fillId="0" borderId="4" xfId="4495" applyFont="1" applyBorder="1"/>
    <xf numFmtId="0" fontId="19" fillId="0" borderId="4" xfId="4495" applyFont="1" applyBorder="1" applyAlignment="1">
      <alignment horizontal="left" vertical="top" wrapText="1" shrinkToFit="1"/>
    </xf>
    <xf numFmtId="0" fontId="29" fillId="0" borderId="0" xfId="4495" applyFont="1" applyAlignment="1">
      <alignment horizontal="left" vertical="top"/>
    </xf>
    <xf numFmtId="0" fontId="19" fillId="0" borderId="0" xfId="4495" applyFont="1" applyAlignment="1">
      <alignment vertical="center" wrapText="1" shrinkToFit="1"/>
    </xf>
    <xf numFmtId="0" fontId="19" fillId="0" borderId="0" xfId="4495" applyFont="1" applyAlignment="1">
      <alignment horizontal="left" vertical="top" shrinkToFit="1"/>
    </xf>
    <xf numFmtId="0" fontId="19" fillId="0" borderId="0" xfId="4495" applyFont="1" applyAlignment="1">
      <alignment horizontal="left" vertical="center" shrinkToFit="1"/>
    </xf>
    <xf numFmtId="0" fontId="29" fillId="0" borderId="4" xfId="4495" applyFont="1" applyBorder="1"/>
    <xf numFmtId="0" fontId="19" fillId="0" borderId="4" xfId="4495" applyFont="1" applyBorder="1" applyAlignment="1">
      <alignment horizontal="left" vertical="top" shrinkToFit="1"/>
    </xf>
    <xf numFmtId="0" fontId="19" fillId="0" borderId="0" xfId="4495" applyFont="1" applyAlignment="1">
      <alignment vertical="center"/>
    </xf>
    <xf numFmtId="0" fontId="25" fillId="0" borderId="0" xfId="4495" applyFont="1"/>
    <xf numFmtId="0" fontId="29" fillId="0" borderId="0" xfId="4495" applyFont="1" applyAlignment="1">
      <alignment horizontal="center"/>
    </xf>
    <xf numFmtId="0" fontId="19" fillId="0" borderId="4" xfId="4495" applyFont="1" applyBorder="1" applyAlignment="1">
      <alignment horizontal="left" vertical="top" wrapText="1"/>
    </xf>
    <xf numFmtId="44" fontId="19" fillId="0" borderId="0" xfId="707" applyFont="1" applyFill="1" applyBorder="1" applyAlignment="1" applyProtection="1">
      <alignment horizontal="left" vertical="top" wrapText="1"/>
    </xf>
    <xf numFmtId="44" fontId="19" fillId="0" borderId="4" xfId="707" applyFont="1" applyFill="1" applyBorder="1" applyAlignment="1" applyProtection="1">
      <alignment horizontal="left" vertical="top" wrapText="1"/>
    </xf>
    <xf numFmtId="164" fontId="37" fillId="0" borderId="0" xfId="4495" applyNumberFormat="1" applyFont="1" applyAlignment="1">
      <alignment horizontal="left"/>
    </xf>
    <xf numFmtId="0" fontId="29" fillId="0" borderId="0" xfId="4495" applyFont="1" applyAlignment="1">
      <alignment horizontal="left"/>
    </xf>
    <xf numFmtId="0" fontId="19" fillId="0" borderId="4" xfId="4495" applyFont="1" applyBorder="1" applyAlignment="1">
      <alignment vertical="top" wrapText="1"/>
    </xf>
    <xf numFmtId="0" fontId="29" fillId="0" borderId="4" xfId="4495" applyFont="1" applyBorder="1" applyAlignment="1">
      <alignment horizontal="left" vertical="top"/>
    </xf>
    <xf numFmtId="0" fontId="19" fillId="0" borderId="0" xfId="4495" applyFont="1" applyAlignment="1">
      <alignment horizontal="left" vertical="center" wrapText="1" shrinkToFit="1"/>
    </xf>
    <xf numFmtId="0" fontId="19" fillId="0" borderId="6" xfId="4495" applyFont="1" applyBorder="1" applyAlignment="1">
      <alignment horizontal="left" vertical="top" wrapText="1"/>
    </xf>
    <xf numFmtId="2" fontId="119" fillId="0" borderId="0" xfId="0" applyNumberFormat="1" applyFont="1" applyAlignment="1">
      <alignment horizontal="center"/>
    </xf>
    <xf numFmtId="9" fontId="19" fillId="0" borderId="0" xfId="4494" applyFont="1" applyAlignment="1">
      <alignment horizontal="center"/>
    </xf>
    <xf numFmtId="3" fontId="19" fillId="0" borderId="0" xfId="0" applyNumberFormat="1" applyFont="1"/>
    <xf numFmtId="10" fontId="19" fillId="0" borderId="0" xfId="0" applyNumberFormat="1" applyFont="1" applyAlignment="1">
      <alignment horizontal="center"/>
    </xf>
    <xf numFmtId="168" fontId="19" fillId="0" borderId="0" xfId="0" applyNumberFormat="1" applyFont="1"/>
    <xf numFmtId="172" fontId="19" fillId="0" borderId="11" xfId="0" applyNumberFormat="1" applyFont="1" applyBorder="1" applyAlignment="1">
      <alignment horizontal="center"/>
    </xf>
    <xf numFmtId="168" fontId="19" fillId="5" borderId="0" xfId="0" applyNumberFormat="1" applyFont="1" applyFill="1"/>
    <xf numFmtId="3" fontId="19" fillId="5" borderId="0" xfId="0" applyNumberFormat="1" applyFont="1" applyFill="1"/>
    <xf numFmtId="0" fontId="19" fillId="5" borderId="0" xfId="0" applyFont="1" applyFill="1"/>
    <xf numFmtId="3" fontId="19" fillId="5" borderId="6" xfId="0" applyNumberFormat="1" applyFont="1" applyFill="1" applyBorder="1"/>
    <xf numFmtId="3" fontId="19" fillId="0" borderId="6" xfId="0" applyNumberFormat="1" applyFont="1" applyBorder="1"/>
    <xf numFmtId="168" fontId="19" fillId="0" borderId="0" xfId="0" applyNumberFormat="1" applyFont="1" applyAlignment="1">
      <alignment horizontal="center"/>
    </xf>
    <xf numFmtId="3" fontId="19" fillId="0" borderId="0" xfId="0" applyNumberFormat="1" applyFont="1" applyAlignment="1">
      <alignment horizontal="center"/>
    </xf>
    <xf numFmtId="0" fontId="19" fillId="0" borderId="50" xfId="4495" applyFont="1" applyBorder="1" applyAlignment="1">
      <alignment vertical="center"/>
    </xf>
    <xf numFmtId="0" fontId="19" fillId="0" borderId="51" xfId="4495" applyFont="1" applyBorder="1" applyAlignment="1">
      <alignment vertical="center"/>
    </xf>
    <xf numFmtId="0" fontId="19" fillId="0" borderId="52" xfId="4495" applyFont="1" applyBorder="1" applyAlignment="1">
      <alignment vertical="center"/>
    </xf>
    <xf numFmtId="0" fontId="19" fillId="0" borderId="54" xfId="4495" applyFont="1" applyBorder="1" applyAlignment="1">
      <alignment vertical="center" wrapText="1"/>
    </xf>
    <xf numFmtId="0" fontId="19" fillId="0" borderId="53" xfId="4495" applyFont="1" applyBorder="1" applyAlignment="1">
      <alignment vertical="top" wrapText="1"/>
    </xf>
    <xf numFmtId="9" fontId="19" fillId="0" borderId="0" xfId="543" applyNumberFormat="1" applyAlignment="1">
      <alignment horizontal="center"/>
    </xf>
    <xf numFmtId="0" fontId="51" fillId="0" borderId="0" xfId="4496" applyFont="1"/>
    <xf numFmtId="168" fontId="55" fillId="5" borderId="11" xfId="0" applyNumberFormat="1" applyFont="1" applyFill="1" applyBorder="1" applyAlignment="1" applyProtection="1">
      <alignment vertical="top" wrapText="1"/>
      <protection locked="0"/>
    </xf>
    <xf numFmtId="0" fontId="19" fillId="0" borderId="0" xfId="0" applyFont="1" applyAlignment="1">
      <alignment horizontal="left" wrapText="1"/>
    </xf>
    <xf numFmtId="4" fontId="37" fillId="0" borderId="0" xfId="0" applyNumberFormat="1" applyFont="1" applyAlignment="1">
      <alignment horizontal="left"/>
    </xf>
    <xf numFmtId="4" fontId="19" fillId="0" borderId="0" xfId="0" applyNumberFormat="1" applyFont="1" applyAlignment="1">
      <alignment horizontal="left" vertical="top" wrapText="1"/>
    </xf>
    <xf numFmtId="0" fontId="26" fillId="0" borderId="4" xfId="0" applyFont="1" applyBorder="1" applyAlignment="1">
      <alignment horizontal="left"/>
    </xf>
    <xf numFmtId="4" fontId="19" fillId="0" borderId="0" xfId="0" applyNumberFormat="1" applyFont="1" applyAlignment="1">
      <alignment horizontal="left"/>
    </xf>
    <xf numFmtId="43" fontId="53" fillId="0" borderId="0" xfId="4503" applyFont="1" applyAlignment="1" applyProtection="1">
      <alignment horizontal="center"/>
    </xf>
    <xf numFmtId="43" fontId="19" fillId="0" borderId="0" xfId="4503" applyFont="1" applyAlignment="1" applyProtection="1">
      <alignment horizontal="center"/>
    </xf>
    <xf numFmtId="43" fontId="19" fillId="0" borderId="0" xfId="4503" applyFont="1" applyProtection="1"/>
    <xf numFmtId="49" fontId="19" fillId="0" borderId="0" xfId="0" applyNumberFormat="1" applyFont="1"/>
    <xf numFmtId="49" fontId="19" fillId="0" borderId="0" xfId="0" applyNumberFormat="1" applyFont="1" applyAlignment="1">
      <alignment horizontal="center"/>
    </xf>
    <xf numFmtId="4" fontId="19" fillId="0" borderId="0" xfId="0" applyNumberFormat="1" applyFont="1" applyAlignment="1">
      <alignment vertical="top" wrapText="1"/>
    </xf>
    <xf numFmtId="0" fontId="19" fillId="0" borderId="0" xfId="0" quotePrefix="1" applyFont="1"/>
    <xf numFmtId="0" fontId="49" fillId="0" borderId="0" xfId="0" applyFont="1" applyAlignment="1">
      <alignment horizontal="left"/>
    </xf>
    <xf numFmtId="0" fontId="19" fillId="0" borderId="4" xfId="0" applyFont="1" applyBorder="1" applyAlignment="1">
      <alignment horizontal="left"/>
    </xf>
    <xf numFmtId="0" fontId="19" fillId="0" borderId="0" xfId="0" quotePrefix="1" applyFont="1" applyAlignment="1">
      <alignment horizontal="left"/>
    </xf>
    <xf numFmtId="0" fontId="19" fillId="0" borderId="0" xfId="0" quotePrefix="1" applyFont="1" applyAlignment="1">
      <alignment horizontal="left" vertical="top"/>
    </xf>
    <xf numFmtId="0" fontId="49" fillId="0" borderId="0" xfId="1192" applyFont="1" applyAlignment="1">
      <alignment horizontal="left"/>
    </xf>
    <xf numFmtId="0" fontId="53" fillId="0" borderId="0" xfId="0" applyFont="1" applyAlignment="1">
      <alignment horizontal="center" vertical="center"/>
    </xf>
    <xf numFmtId="49" fontId="26" fillId="0" borderId="0" xfId="0" applyNumberFormat="1" applyFont="1" applyAlignment="1">
      <alignment horizontal="center" vertical="center"/>
    </xf>
    <xf numFmtId="49" fontId="19" fillId="0" borderId="0" xfId="0" applyNumberFormat="1" applyFont="1" applyAlignment="1">
      <alignment vertical="center"/>
    </xf>
    <xf numFmtId="4" fontId="19" fillId="0" borderId="0" xfId="0" applyNumberFormat="1" applyFont="1" applyAlignment="1">
      <alignment horizontal="center"/>
    </xf>
    <xf numFmtId="4" fontId="19" fillId="0" borderId="0" xfId="0" applyNumberFormat="1" applyFont="1"/>
    <xf numFmtId="10" fontId="19" fillId="0" borderId="0" xfId="4495" applyNumberFormat="1" applyFont="1"/>
    <xf numFmtId="10" fontId="123" fillId="0" borderId="0" xfId="4496" applyNumberFormat="1" applyFont="1" applyAlignment="1">
      <alignment horizontal="center" vertical="top" wrapText="1"/>
    </xf>
    <xf numFmtId="10" fontId="123" fillId="0" borderId="64" xfId="4496" applyNumberFormat="1" applyFont="1" applyBorder="1" applyAlignment="1">
      <alignment horizontal="center" vertical="top" wrapText="1"/>
    </xf>
    <xf numFmtId="10" fontId="123"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9" fillId="0" borderId="0" xfId="1192" quotePrefix="1" applyNumberFormat="1" applyAlignment="1">
      <alignment horizontal="center"/>
    </xf>
    <xf numFmtId="0" fontId="123" fillId="0" borderId="0" xfId="4495" applyFont="1"/>
    <xf numFmtId="10" fontId="123" fillId="0" borderId="0" xfId="4495" applyNumberFormat="1" applyFont="1"/>
    <xf numFmtId="172" fontId="19" fillId="0" borderId="0" xfId="4495" applyNumberFormat="1" applyFont="1"/>
    <xf numFmtId="0" fontId="42" fillId="0" borderId="0" xfId="0" applyFont="1" applyAlignment="1">
      <alignment horizontal="center"/>
    </xf>
    <xf numFmtId="0" fontId="38" fillId="0" borderId="0" xfId="0" applyFont="1" applyAlignment="1">
      <alignment horizontal="left"/>
    </xf>
    <xf numFmtId="0" fontId="0" fillId="0" borderId="10" xfId="0" applyBorder="1" applyAlignment="1">
      <alignment horizontal="left"/>
    </xf>
    <xf numFmtId="1" fontId="19" fillId="0" borderId="0" xfId="1192" applyNumberFormat="1" applyAlignment="1">
      <alignment horizontal="center"/>
    </xf>
    <xf numFmtId="0" fontId="121" fillId="0" borderId="63" xfId="4495" applyBorder="1"/>
    <xf numFmtId="0" fontId="55" fillId="0" borderId="0" xfId="271" applyFont="1" applyAlignment="1">
      <alignment vertical="top"/>
    </xf>
    <xf numFmtId="0" fontId="26" fillId="0" borderId="11" xfId="0" applyFont="1" applyBorder="1" applyAlignment="1">
      <alignment horizontal="right" vertical="top" wrapText="1"/>
    </xf>
    <xf numFmtId="0" fontId="28" fillId="0" borderId="11" xfId="271" applyBorder="1" applyAlignment="1" applyProtection="1">
      <alignment horizontal="right" vertical="top" wrapText="1"/>
      <protection locked="0"/>
    </xf>
    <xf numFmtId="0" fontId="19" fillId="0" borderId="54" xfId="4495" applyFont="1" applyBorder="1" applyAlignment="1">
      <alignment vertical="top"/>
    </xf>
    <xf numFmtId="9" fontId="28" fillId="0" borderId="0" xfId="0" applyNumberFormat="1" applyFont="1"/>
    <xf numFmtId="0" fontId="19" fillId="0" borderId="16" xfId="569" applyBorder="1" applyAlignment="1">
      <alignment horizontal="center"/>
    </xf>
    <xf numFmtId="164" fontId="19" fillId="0" borderId="57" xfId="4495" applyNumberFormat="1" applyFont="1" applyBorder="1" applyAlignment="1">
      <alignment vertical="top" wrapText="1"/>
    </xf>
    <xf numFmtId="164" fontId="19" fillId="0" borderId="58" xfId="4495" applyNumberFormat="1" applyFont="1" applyBorder="1" applyAlignment="1">
      <alignment vertical="top" wrapText="1"/>
    </xf>
    <xf numFmtId="164" fontId="19" fillId="0" borderId="59" xfId="4495" applyNumberFormat="1" applyFont="1" applyBorder="1" applyAlignment="1">
      <alignment vertical="top" wrapText="1"/>
    </xf>
    <xf numFmtId="0" fontId="26" fillId="0" borderId="0" xfId="1192" applyFont="1" applyAlignment="1">
      <alignment horizontal="left" vertical="top" wrapText="1"/>
    </xf>
    <xf numFmtId="0" fontId="19" fillId="0" borderId="16" xfId="569" applyBorder="1"/>
    <xf numFmtId="0" fontId="19" fillId="0" borderId="4" xfId="569" applyBorder="1"/>
    <xf numFmtId="0" fontId="26" fillId="0" borderId="4" xfId="569" applyFont="1" applyBorder="1"/>
    <xf numFmtId="49" fontId="19" fillId="0" borderId="4" xfId="569" applyNumberFormat="1" applyBorder="1"/>
    <xf numFmtId="0" fontId="149" fillId="0" borderId="0" xfId="0" applyFont="1"/>
    <xf numFmtId="0" fontId="19" fillId="0" borderId="0" xfId="0" applyFont="1" applyAlignment="1">
      <alignment horizontal="right"/>
    </xf>
    <xf numFmtId="1" fontId="19" fillId="0" borderId="0" xfId="0" applyNumberFormat="1" applyFont="1" applyAlignment="1">
      <alignment horizontal="center"/>
    </xf>
    <xf numFmtId="0" fontId="26" fillId="0" borderId="0" xfId="0" applyFont="1" applyAlignment="1">
      <alignment horizontal="left" vertical="center"/>
    </xf>
    <xf numFmtId="0" fontId="19" fillId="0" borderId="0" xfId="0" applyFont="1" applyAlignment="1">
      <alignment horizontal="left" vertical="center"/>
    </xf>
    <xf numFmtId="0" fontId="26" fillId="0" borderId="0" xfId="569" applyFont="1" applyAlignment="1">
      <alignment vertical="top"/>
    </xf>
    <xf numFmtId="0" fontId="20" fillId="0" borderId="0" xfId="244" applyAlignment="1"/>
    <xf numFmtId="0" fontId="26" fillId="0" borderId="0" xfId="0" applyFont="1" applyAlignment="1">
      <alignment vertical="top" wrapText="1"/>
    </xf>
    <xf numFmtId="49" fontId="26" fillId="0" borderId="0" xfId="0" applyNumberFormat="1" applyFont="1"/>
    <xf numFmtId="49" fontId="26" fillId="0" borderId="0" xfId="0" applyNumberFormat="1" applyFont="1" applyAlignment="1">
      <alignment vertical="top"/>
    </xf>
    <xf numFmtId="0" fontId="42" fillId="0" borderId="11" xfId="0" applyFont="1" applyBorder="1"/>
    <xf numFmtId="175" fontId="19" fillId="0" borderId="0" xfId="543" applyNumberFormat="1" applyAlignment="1">
      <alignment vertical="center"/>
    </xf>
    <xf numFmtId="0" fontId="99" fillId="43" borderId="6" xfId="4496" applyFont="1" applyFill="1" applyBorder="1" applyAlignment="1" applyProtection="1">
      <alignment horizontal="center"/>
      <protection locked="0"/>
    </xf>
    <xf numFmtId="0" fontId="99" fillId="0" borderId="0" xfId="4496" applyFont="1"/>
    <xf numFmtId="0" fontId="99" fillId="0" borderId="0" xfId="4496" applyFont="1" applyAlignment="1">
      <alignment wrapText="1"/>
    </xf>
    <xf numFmtId="0" fontId="137" fillId="0" borderId="0" xfId="4496" applyFont="1"/>
    <xf numFmtId="181" fontId="138" fillId="0" borderId="0" xfId="4498" applyNumberFormat="1" applyFont="1" applyBorder="1" applyProtection="1"/>
    <xf numFmtId="0" fontId="139" fillId="0" borderId="0" xfId="4496" applyFont="1" applyAlignment="1">
      <alignment vertical="center" wrapText="1"/>
    </xf>
    <xf numFmtId="49" fontId="99" fillId="0" borderId="0" xfId="4496" applyNumberFormat="1" applyFont="1" applyAlignment="1">
      <alignment horizontal="center"/>
    </xf>
    <xf numFmtId="182" fontId="99" fillId="0" borderId="6" xfId="4496" applyNumberFormat="1" applyFont="1" applyBorder="1"/>
    <xf numFmtId="0" fontId="99" fillId="0" borderId="0" xfId="4496" applyFont="1" applyAlignment="1">
      <alignment vertical="center"/>
    </xf>
    <xf numFmtId="182" fontId="99" fillId="0" borderId="0" xfId="4496" applyNumberFormat="1" applyFont="1" applyAlignment="1">
      <alignment vertical="center"/>
    </xf>
    <xf numFmtId="175" fontId="99" fillId="0" borderId="0" xfId="4499" applyNumberFormat="1" applyFont="1" applyFill="1" applyBorder="1" applyAlignment="1" applyProtection="1">
      <alignment horizontal="left" vertical="center"/>
    </xf>
    <xf numFmtId="9" fontId="99" fillId="0" borderId="0" xfId="4499" applyFont="1" applyFill="1" applyBorder="1" applyAlignment="1" applyProtection="1">
      <alignment vertical="center"/>
    </xf>
    <xf numFmtId="183" fontId="99" fillId="0" borderId="0" xfId="4496" applyNumberFormat="1" applyFont="1" applyAlignment="1">
      <alignment vertical="center" wrapText="1"/>
    </xf>
    <xf numFmtId="9" fontId="99" fillId="0" borderId="0" xfId="4499" applyFont="1" applyBorder="1" applyAlignment="1" applyProtection="1">
      <alignment vertical="center"/>
    </xf>
    <xf numFmtId="164" fontId="99" fillId="0" borderId="0" xfId="4496" applyNumberFormat="1" applyFont="1" applyAlignment="1">
      <alignment vertical="center" wrapText="1"/>
    </xf>
    <xf numFmtId="0" fontId="99" fillId="0" borderId="0" xfId="4496" applyFont="1" applyAlignment="1">
      <alignment horizontal="center" vertical="center"/>
    </xf>
    <xf numFmtId="182" fontId="99" fillId="0" borderId="11" xfId="8721" applyNumberFormat="1" applyFont="1" applyBorder="1" applyProtection="1"/>
    <xf numFmtId="182" fontId="99" fillId="0" borderId="11" xfId="4496" applyNumberFormat="1" applyFont="1" applyBorder="1"/>
    <xf numFmtId="164" fontId="99" fillId="0" borderId="0" xfId="4496" applyNumberFormat="1" applyFont="1" applyAlignment="1">
      <alignment wrapText="1"/>
    </xf>
    <xf numFmtId="49" fontId="99" fillId="0" borderId="0" xfId="4496" applyNumberFormat="1" applyFont="1" applyAlignment="1">
      <alignment horizontal="left"/>
    </xf>
    <xf numFmtId="0" fontId="140" fillId="0" borderId="0" xfId="4496" applyFont="1"/>
    <xf numFmtId="9" fontId="99" fillId="0" borderId="11" xfId="4494" applyFont="1" applyFill="1" applyBorder="1" applyAlignment="1" applyProtection="1">
      <alignment horizontal="right"/>
    </xf>
    <xf numFmtId="1" fontId="99" fillId="0" borderId="0" xfId="4496" applyNumberFormat="1" applyFont="1"/>
    <xf numFmtId="0" fontId="137" fillId="45" borderId="3" xfId="4496" applyFont="1" applyFill="1" applyBorder="1" applyAlignment="1">
      <alignment horizontal="left" indent="1"/>
    </xf>
    <xf numFmtId="0" fontId="99" fillId="45" borderId="4" xfId="4496" applyFont="1" applyFill="1" applyBorder="1"/>
    <xf numFmtId="2" fontId="99" fillId="45" borderId="5" xfId="4496" applyNumberFormat="1" applyFont="1" applyFill="1" applyBorder="1"/>
    <xf numFmtId="181" fontId="99" fillId="0" borderId="0" xfId="4496" applyNumberFormat="1" applyFont="1"/>
    <xf numFmtId="165" fontId="138" fillId="0" borderId="0" xfId="4499" applyNumberFormat="1" applyFont="1" applyFill="1" applyBorder="1" applyProtection="1"/>
    <xf numFmtId="9" fontId="99" fillId="0" borderId="0" xfId="4494" applyFont="1" applyFill="1" applyProtection="1"/>
    <xf numFmtId="0" fontId="99" fillId="0" borderId="11" xfId="4496" applyFont="1" applyBorder="1" applyAlignment="1">
      <alignment horizontal="center"/>
    </xf>
    <xf numFmtId="2" fontId="99" fillId="0" borderId="11" xfId="4496" applyNumberFormat="1" applyFont="1" applyBorder="1" applyAlignment="1">
      <alignment horizontal="center"/>
    </xf>
    <xf numFmtId="0" fontId="99" fillId="0" borderId="0" xfId="4496" applyFont="1" applyAlignment="1">
      <alignment vertical="top" wrapText="1"/>
    </xf>
    <xf numFmtId="0" fontId="99" fillId="0" borderId="11" xfId="4496" applyFont="1" applyBorder="1" applyAlignment="1">
      <alignment horizontal="center" vertical="top" wrapText="1"/>
    </xf>
    <xf numFmtId="182" fontId="99" fillId="0" borderId="0" xfId="8721" applyNumberFormat="1" applyFont="1" applyBorder="1" applyProtection="1"/>
    <xf numFmtId="0" fontId="99" fillId="0" borderId="0" xfId="4496" applyFont="1" applyAlignment="1">
      <alignment horizontal="left" indent="1"/>
    </xf>
    <xf numFmtId="182" fontId="99" fillId="0" borderId="0" xfId="4496" applyNumberFormat="1" applyFont="1"/>
    <xf numFmtId="184" fontId="99" fillId="0" borderId="0" xfId="4496" applyNumberFormat="1" applyFont="1"/>
    <xf numFmtId="0" fontId="99" fillId="0" borderId="0" xfId="4496" applyFont="1" applyAlignment="1">
      <alignment horizontal="left"/>
    </xf>
    <xf numFmtId="0" fontId="99" fillId="0" borderId="0" xfId="4496" applyFont="1" applyAlignment="1">
      <alignment horizontal="center"/>
    </xf>
    <xf numFmtId="3" fontId="24" fillId="0" borderId="11" xfId="271" applyNumberFormat="1" applyFont="1" applyBorder="1" applyAlignment="1">
      <alignment horizontal="center"/>
    </xf>
    <xf numFmtId="3" fontId="24" fillId="43" borderId="11" xfId="271" applyNumberFormat="1" applyFont="1" applyFill="1" applyBorder="1" applyProtection="1">
      <protection locked="0"/>
    </xf>
    <xf numFmtId="0" fontId="99" fillId="0" borderId="0" xfId="4496" applyFont="1" applyAlignment="1">
      <alignment horizontal="right"/>
    </xf>
    <xf numFmtId="168" fontId="28" fillId="0" borderId="0" xfId="0" applyNumberFormat="1" applyFont="1"/>
    <xf numFmtId="0" fontId="99" fillId="0" borderId="15" xfId="4496" applyFont="1" applyBorder="1" applyAlignment="1">
      <alignment horizontal="center" vertical="top" wrapText="1"/>
    </xf>
    <xf numFmtId="2" fontId="99" fillId="0" borderId="15" xfId="4496" applyNumberFormat="1" applyFont="1" applyBorder="1" applyAlignment="1">
      <alignment horizontal="center"/>
    </xf>
    <xf numFmtId="0" fontId="99" fillId="0" borderId="15" xfId="4496" applyFont="1" applyBorder="1" applyAlignment="1">
      <alignment horizontal="center"/>
    </xf>
    <xf numFmtId="0" fontId="137" fillId="0" borderId="68" xfId="4496" applyFont="1" applyBorder="1" applyAlignment="1">
      <alignment horizontal="center" vertical="top" wrapText="1"/>
    </xf>
    <xf numFmtId="0" fontId="137" fillId="0" borderId="68" xfId="4496" applyFont="1" applyBorder="1" applyAlignment="1">
      <alignment horizontal="center"/>
    </xf>
    <xf numFmtId="0" fontId="151" fillId="0" borderId="0" xfId="4496" applyFont="1" applyAlignment="1">
      <alignment horizontal="right" vertical="center"/>
    </xf>
    <xf numFmtId="175" fontId="99" fillId="0" borderId="0" xfId="4499" applyNumberFormat="1" applyFont="1" applyFill="1" applyBorder="1" applyAlignment="1" applyProtection="1">
      <alignment horizontal="right" vertical="center"/>
    </xf>
    <xf numFmtId="0" fontId="99" fillId="0" borderId="66" xfId="4496" applyFont="1" applyBorder="1" applyAlignment="1">
      <alignment vertical="center"/>
    </xf>
    <xf numFmtId="0" fontId="99" fillId="0" borderId="41" xfId="4496" applyFont="1" applyBorder="1" applyAlignment="1">
      <alignment vertical="center"/>
    </xf>
    <xf numFmtId="182" fontId="99" fillId="0" borderId="73" xfId="4496" applyNumberFormat="1" applyFont="1" applyBorder="1" applyAlignment="1">
      <alignment vertical="center"/>
    </xf>
    <xf numFmtId="175" fontId="99" fillId="0" borderId="42" xfId="4499" applyNumberFormat="1" applyFont="1" applyFill="1" applyBorder="1" applyAlignment="1" applyProtection="1">
      <alignment horizontal="left" vertical="center"/>
    </xf>
    <xf numFmtId="0" fontId="99" fillId="0" borderId="42" xfId="4496" applyFont="1" applyBorder="1" applyAlignment="1">
      <alignment vertical="center"/>
    </xf>
    <xf numFmtId="0" fontId="99" fillId="0" borderId="44" xfId="4496" applyFont="1" applyBorder="1" applyAlignment="1">
      <alignment vertical="center"/>
    </xf>
    <xf numFmtId="49" fontId="99" fillId="0" borderId="0" xfId="4496" applyNumberFormat="1" applyFont="1" applyAlignment="1">
      <alignment horizontal="center" vertical="center"/>
    </xf>
    <xf numFmtId="0" fontId="99" fillId="0" borderId="65" xfId="4496" applyFont="1" applyBorder="1" applyAlignment="1">
      <alignment vertical="center"/>
    </xf>
    <xf numFmtId="0" fontId="99" fillId="0" borderId="29" xfId="4496" applyFont="1" applyBorder="1" applyAlignment="1">
      <alignment vertical="center"/>
    </xf>
    <xf numFmtId="0" fontId="99" fillId="0" borderId="29" xfId="4496" applyFont="1" applyBorder="1" applyAlignment="1">
      <alignment horizontal="right" vertical="center"/>
    </xf>
    <xf numFmtId="5" fontId="99" fillId="0" borderId="29" xfId="4496" applyNumberFormat="1" applyFont="1" applyBorder="1" applyAlignment="1">
      <alignment vertical="center"/>
    </xf>
    <xf numFmtId="0" fontId="99" fillId="0" borderId="31" xfId="4496" applyFont="1" applyBorder="1" applyAlignment="1">
      <alignment vertical="center"/>
    </xf>
    <xf numFmtId="175" fontId="137" fillId="0" borderId="42" xfId="4494" applyNumberFormat="1" applyFont="1" applyFill="1" applyBorder="1" applyAlignment="1" applyProtection="1">
      <alignment horizontal="center" vertical="center"/>
    </xf>
    <xf numFmtId="0" fontId="137" fillId="0" borderId="29" xfId="4496" applyFont="1" applyBorder="1" applyAlignment="1">
      <alignment vertical="center"/>
    </xf>
    <xf numFmtId="0" fontId="137" fillId="0" borderId="0" xfId="4496" applyFont="1" applyAlignment="1">
      <alignment vertical="center"/>
    </xf>
    <xf numFmtId="0" fontId="137" fillId="0" borderId="42" xfId="4496" applyFont="1" applyBorder="1" applyAlignment="1">
      <alignment vertical="center"/>
    </xf>
    <xf numFmtId="9" fontId="137" fillId="0" borderId="42" xfId="4499" applyFont="1" applyFill="1" applyBorder="1" applyAlignment="1" applyProtection="1">
      <alignment vertical="center"/>
    </xf>
    <xf numFmtId="182" fontId="137" fillId="0" borderId="68" xfId="8721" applyNumberFormat="1" applyFont="1" applyBorder="1" applyProtection="1"/>
    <xf numFmtId="182" fontId="137" fillId="0" borderId="68" xfId="4496" applyNumberFormat="1" applyFont="1" applyBorder="1"/>
    <xf numFmtId="0" fontId="151" fillId="0" borderId="0" xfId="4496" applyFont="1" applyAlignment="1">
      <alignment horizontal="right"/>
    </xf>
    <xf numFmtId="0" fontId="99" fillId="0" borderId="0" xfId="4496" applyFont="1" applyAlignment="1">
      <alignment horizontal="right" vertical="top" wrapText="1" indent="1"/>
    </xf>
    <xf numFmtId="182" fontId="99" fillId="0" borderId="6" xfId="8721" applyNumberFormat="1" applyFont="1" applyBorder="1" applyAlignment="1" applyProtection="1">
      <alignment horizontal="center"/>
    </xf>
    <xf numFmtId="0" fontId="99" fillId="0" borderId="0" xfId="4496" applyFont="1" applyAlignment="1">
      <alignment horizontal="right" indent="1"/>
    </xf>
    <xf numFmtId="0" fontId="99" fillId="0" borderId="0" xfId="4496" applyFont="1" applyAlignment="1">
      <alignment horizontal="right" vertical="top"/>
    </xf>
    <xf numFmtId="0" fontId="137" fillId="0" borderId="0" xfId="4496" applyFont="1" applyAlignment="1">
      <alignment horizontal="right"/>
    </xf>
    <xf numFmtId="182" fontId="137" fillId="0" borderId="0" xfId="8721" applyNumberFormat="1" applyFont="1" applyBorder="1" applyAlignment="1" applyProtection="1">
      <alignment horizontal="center"/>
    </xf>
    <xf numFmtId="10" fontId="99" fillId="0" borderId="0" xfId="4494" applyNumberFormat="1" applyFont="1" applyBorder="1" applyAlignment="1" applyProtection="1">
      <alignment horizontal="center"/>
    </xf>
    <xf numFmtId="184" fontId="99" fillId="0" borderId="6" xfId="4496" applyNumberFormat="1" applyFont="1" applyBorder="1"/>
    <xf numFmtId="0" fontId="137" fillId="0" borderId="0" xfId="4496" applyFont="1" applyAlignment="1">
      <alignment horizontal="right" vertical="top"/>
    </xf>
    <xf numFmtId="182" fontId="137" fillId="0" borderId="0" xfId="4496" applyNumberFormat="1" applyFont="1"/>
    <xf numFmtId="182" fontId="99" fillId="0" borderId="6" xfId="8721" applyNumberFormat="1" applyFont="1" applyBorder="1" applyProtection="1"/>
    <xf numFmtId="184" fontId="99" fillId="0" borderId="0" xfId="4496" applyNumberFormat="1" applyFont="1" applyAlignment="1">
      <alignment horizontal="center"/>
    </xf>
    <xf numFmtId="0" fontId="99" fillId="0" borderId="6" xfId="4496" applyFont="1" applyBorder="1" applyAlignment="1">
      <alignment horizontal="right" vertical="top" wrapText="1" indent="1"/>
    </xf>
    <xf numFmtId="0" fontId="99" fillId="0" borderId="67" xfId="4496" applyFont="1" applyBorder="1" applyAlignment="1">
      <alignment horizontal="right" indent="1"/>
    </xf>
    <xf numFmtId="0" fontId="99" fillId="0" borderId="72" xfId="4496" applyFont="1" applyBorder="1" applyAlignment="1">
      <alignment horizontal="right" indent="1"/>
    </xf>
    <xf numFmtId="0" fontId="99" fillId="0" borderId="72" xfId="4496" quotePrefix="1" applyFont="1" applyBorder="1" applyAlignment="1">
      <alignment horizontal="right" indent="1"/>
    </xf>
    <xf numFmtId="0" fontId="99" fillId="0" borderId="69" xfId="4496" applyFont="1" applyBorder="1" applyAlignment="1">
      <alignment horizontal="right" indent="1"/>
    </xf>
    <xf numFmtId="182" fontId="99" fillId="0" borderId="71" xfId="4496" applyNumberFormat="1" applyFont="1" applyBorder="1"/>
    <xf numFmtId="182" fontId="99" fillId="0" borderId="76" xfId="4496" applyNumberFormat="1" applyFont="1" applyBorder="1"/>
    <xf numFmtId="182" fontId="99" fillId="0" borderId="77" xfId="4496" applyNumberFormat="1" applyFont="1" applyBorder="1"/>
    <xf numFmtId="175" fontId="26" fillId="0" borderId="0" xfId="543" applyNumberFormat="1" applyFont="1" applyAlignment="1">
      <alignment vertical="center"/>
    </xf>
    <xf numFmtId="10" fontId="137" fillId="0" borderId="0" xfId="4494" applyNumberFormat="1" applyFont="1" applyProtection="1"/>
    <xf numFmtId="0" fontId="26" fillId="0" borderId="0" xfId="1192" applyFont="1" applyAlignment="1">
      <alignment horizontal="left" indent="1"/>
    </xf>
    <xf numFmtId="168" fontId="99" fillId="0" borderId="11" xfId="4499" applyNumberFormat="1" applyFont="1" applyFill="1" applyBorder="1" applyAlignment="1" applyProtection="1">
      <alignment horizontal="left" vertical="center" indent="1"/>
    </xf>
    <xf numFmtId="168" fontId="137" fillId="0" borderId="68" xfId="4499" applyNumberFormat="1" applyFont="1" applyFill="1" applyBorder="1" applyAlignment="1" applyProtection="1">
      <alignment horizontal="left" vertical="center" indent="1"/>
    </xf>
    <xf numFmtId="182" fontId="99" fillId="0" borderId="13" xfId="4496" applyNumberFormat="1" applyFont="1" applyBorder="1"/>
    <xf numFmtId="182" fontId="99" fillId="0" borderId="70" xfId="4496" applyNumberFormat="1" applyFont="1" applyBorder="1"/>
    <xf numFmtId="0" fontId="37" fillId="0" borderId="0" xfId="4495" applyFont="1" applyAlignment="1">
      <alignment vertical="center"/>
    </xf>
    <xf numFmtId="0" fontId="123" fillId="0" borderId="0" xfId="4496" applyFont="1" applyAlignment="1">
      <alignment vertical="center" wrapText="1"/>
    </xf>
    <xf numFmtId="0" fontId="24" fillId="43" borderId="0" xfId="1192" applyFont="1" applyFill="1"/>
    <xf numFmtId="3" fontId="70" fillId="43" borderId="6" xfId="1192" applyNumberFormat="1" applyFont="1" applyFill="1" applyBorder="1"/>
    <xf numFmtId="0" fontId="153" fillId="0" borderId="0" xfId="0" applyFont="1"/>
    <xf numFmtId="0" fontId="24" fillId="0" borderId="11" xfId="253" applyFont="1" applyBorder="1" applyAlignment="1" applyProtection="1">
      <alignment horizontal="center" wrapText="1"/>
      <protection locked="0"/>
    </xf>
    <xf numFmtId="0" fontId="154" fillId="0" borderId="0" xfId="0" applyFont="1"/>
    <xf numFmtId="0" fontId="155" fillId="0" borderId="0" xfId="0" applyFont="1" applyAlignment="1">
      <alignment horizontal="center"/>
    </xf>
    <xf numFmtId="0" fontId="55" fillId="5" borderId="11" xfId="0" applyFont="1" applyFill="1" applyBorder="1" applyAlignment="1" applyProtection="1">
      <alignment horizontal="right" vertical="top" wrapText="1"/>
      <protection locked="0"/>
    </xf>
    <xf numFmtId="0" fontId="19" fillId="43" borderId="3" xfId="569" applyFill="1" applyBorder="1"/>
    <xf numFmtId="0" fontId="158" fillId="0" borderId="0" xfId="0" applyFont="1" applyAlignment="1">
      <alignment horizontal="right"/>
    </xf>
    <xf numFmtId="1" fontId="27" fillId="0" borderId="0" xfId="4495" applyNumberFormat="1" applyFont="1"/>
    <xf numFmtId="0" fontId="26" fillId="0" borderId="4" xfId="569" applyFont="1" applyBorder="1" applyAlignment="1">
      <alignment horizontal="center"/>
    </xf>
    <xf numFmtId="43" fontId="26" fillId="0" borderId="0" xfId="4503" applyFont="1" applyAlignment="1" applyProtection="1">
      <alignment horizontal="center"/>
    </xf>
    <xf numFmtId="0" fontId="26" fillId="0" borderId="0" xfId="569" applyFont="1" applyAlignment="1">
      <alignment horizontal="center" vertical="center"/>
    </xf>
    <xf numFmtId="0" fontId="26" fillId="0" borderId="16" xfId="569" applyFont="1" applyBorder="1" applyAlignment="1">
      <alignment horizontal="center"/>
    </xf>
    <xf numFmtId="49" fontId="26" fillId="0" borderId="4" xfId="569" applyNumberFormat="1" applyFont="1" applyBorder="1" applyAlignment="1">
      <alignment horizontal="center"/>
    </xf>
    <xf numFmtId="4" fontId="26" fillId="0" borderId="0" xfId="569" applyNumberFormat="1" applyFont="1" applyAlignment="1">
      <alignment horizontal="center"/>
    </xf>
    <xf numFmtId="0" fontId="19" fillId="0" borderId="0" xfId="569" applyAlignment="1">
      <alignment horizontal="center" wrapText="1"/>
    </xf>
    <xf numFmtId="0" fontId="19" fillId="0" borderId="0" xfId="0" applyFont="1" applyAlignment="1">
      <alignment vertical="center" wrapText="1"/>
    </xf>
    <xf numFmtId="3" fontId="24" fillId="43" borderId="11" xfId="271" applyNumberFormat="1" applyFont="1" applyFill="1" applyBorder="1" applyAlignment="1" applyProtection="1">
      <alignment horizontal="left"/>
      <protection locked="0"/>
    </xf>
    <xf numFmtId="0" fontId="99" fillId="43" borderId="6" xfId="4496" applyFont="1" applyFill="1" applyBorder="1" applyProtection="1">
      <protection locked="0"/>
    </xf>
    <xf numFmtId="1" fontId="99" fillId="0" borderId="0" xfId="4496" applyNumberFormat="1" applyFont="1" applyProtection="1">
      <protection locked="0"/>
    </xf>
    <xf numFmtId="182" fontId="163" fillId="0" borderId="11" xfId="4496" applyNumberFormat="1" applyFont="1" applyBorder="1"/>
    <xf numFmtId="44" fontId="99" fillId="0" borderId="0" xfId="4496" applyNumberFormat="1" applyFont="1"/>
    <xf numFmtId="182" fontId="24" fillId="0" borderId="11" xfId="4496" applyNumberFormat="1" applyFont="1" applyBorder="1"/>
    <xf numFmtId="9" fontId="99" fillId="0" borderId="0" xfId="4494" applyFont="1"/>
    <xf numFmtId="182" fontId="99" fillId="43" borderId="6" xfId="8721" applyNumberFormat="1" applyFont="1" applyFill="1" applyBorder="1" applyProtection="1">
      <protection locked="0"/>
    </xf>
    <xf numFmtId="0" fontId="19" fillId="0" borderId="0" xfId="4495" applyFont="1" applyAlignment="1">
      <alignment wrapText="1"/>
    </xf>
    <xf numFmtId="168" fontId="175" fillId="48" borderId="79" xfId="700" applyNumberFormat="1" applyFont="1" applyFill="1" applyBorder="1" applyAlignment="1" applyProtection="1">
      <protection locked="0"/>
    </xf>
    <xf numFmtId="3" fontId="47" fillId="10" borderId="0" xfId="543" applyNumberFormat="1" applyFont="1" applyFill="1" applyAlignment="1">
      <alignment vertical="center" wrapText="1"/>
    </xf>
    <xf numFmtId="0" fontId="182" fillId="0" borderId="0" xfId="543" applyFont="1" applyAlignment="1">
      <alignment horizontal="left" vertical="center"/>
    </xf>
    <xf numFmtId="0" fontId="183" fillId="0" borderId="0" xfId="543" applyFont="1" applyAlignment="1">
      <alignment horizontal="right" vertical="top" wrapText="1"/>
    </xf>
    <xf numFmtId="168" fontId="183" fillId="0" borderId="0" xfId="543" applyNumberFormat="1" applyFont="1" applyAlignment="1">
      <alignment horizontal="center" vertical="center"/>
    </xf>
    <xf numFmtId="0" fontId="184" fillId="0" borderId="0" xfId="543" applyFont="1" applyAlignment="1">
      <alignment horizontal="left" vertical="center"/>
    </xf>
    <xf numFmtId="0" fontId="184" fillId="0" borderId="0" xfId="543" applyFont="1" applyAlignment="1">
      <alignment horizontal="right" vertical="top" wrapText="1"/>
    </xf>
    <xf numFmtId="168" fontId="183" fillId="0" borderId="104" xfId="543" applyNumberFormat="1" applyFont="1" applyBorder="1" applyAlignment="1">
      <alignment horizontal="center" vertical="center"/>
    </xf>
    <xf numFmtId="0" fontId="184" fillId="0" borderId="106" xfId="543" applyFont="1" applyBorder="1" applyAlignment="1">
      <alignment horizontal="right" vertical="top" wrapText="1"/>
    </xf>
    <xf numFmtId="0" fontId="26" fillId="0" borderId="0" xfId="4495" applyFont="1" applyAlignment="1">
      <alignment wrapText="1"/>
    </xf>
    <xf numFmtId="182" fontId="19" fillId="0" borderId="0" xfId="700" applyNumberFormat="1" applyFont="1"/>
    <xf numFmtId="9" fontId="19" fillId="0" borderId="0" xfId="1022" applyFont="1"/>
    <xf numFmtId="168" fontId="19"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3" fillId="52" borderId="113" xfId="0" applyFont="1" applyFill="1" applyBorder="1"/>
    <xf numFmtId="0" fontId="123" fillId="53" borderId="113" xfId="0" applyFont="1" applyFill="1" applyBorder="1"/>
    <xf numFmtId="1" fontId="0" fillId="0" borderId="0" xfId="0" applyNumberFormat="1"/>
    <xf numFmtId="0" fontId="20"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20" fillId="0" borderId="0" xfId="244" applyAlignment="1">
      <alignment horizontal="left" vertical="top"/>
    </xf>
    <xf numFmtId="9" fontId="19" fillId="0" borderId="0" xfId="0" applyNumberFormat="1" applyFont="1"/>
    <xf numFmtId="185" fontId="169" fillId="0" borderId="0" xfId="698" applyNumberFormat="1" applyFont="1"/>
    <xf numFmtId="0" fontId="186" fillId="0" borderId="0" xfId="0" applyFont="1" applyAlignment="1">
      <alignment horizontal="center"/>
    </xf>
    <xf numFmtId="0" fontId="19" fillId="0" borderId="0" xfId="569" quotePrefix="1"/>
    <xf numFmtId="168" fontId="156" fillId="0" borderId="0" xfId="0" applyNumberFormat="1" applyFont="1" applyAlignment="1">
      <alignment vertical="center" wrapText="1"/>
    </xf>
    <xf numFmtId="168" fontId="187" fillId="0" borderId="0" xfId="0" applyNumberFormat="1" applyFont="1" applyAlignment="1">
      <alignment horizontal="center" vertical="center" wrapText="1"/>
    </xf>
    <xf numFmtId="0" fontId="0" fillId="0" borderId="0" xfId="0" applyAlignment="1">
      <alignment vertical="center"/>
    </xf>
    <xf numFmtId="0" fontId="26" fillId="0" borderId="0" xfId="4495" applyFont="1" applyAlignment="1">
      <alignment horizontal="left" vertical="center"/>
    </xf>
    <xf numFmtId="0" fontId="26" fillId="0" borderId="0" xfId="4495" applyFont="1" applyAlignment="1">
      <alignment vertical="center"/>
    </xf>
    <xf numFmtId="0" fontId="123" fillId="0" borderId="58" xfId="4496" applyFont="1" applyBorder="1" applyAlignment="1">
      <alignment vertical="center"/>
    </xf>
    <xf numFmtId="0" fontId="26" fillId="0" borderId="5" xfId="4495" applyFont="1" applyBorder="1"/>
    <xf numFmtId="182" fontId="99" fillId="0" borderId="6" xfId="4496" applyNumberFormat="1" applyFont="1" applyBorder="1" applyAlignment="1">
      <alignment vertical="center"/>
    </xf>
    <xf numFmtId="1" fontId="99" fillId="0" borderId="0" xfId="4496" applyNumberFormat="1" applyFont="1" applyAlignment="1">
      <alignment horizontal="right" vertical="top" wrapText="1" indent="1"/>
    </xf>
    <xf numFmtId="3" fontId="99" fillId="43" borderId="6" xfId="4496" applyNumberFormat="1" applyFont="1" applyFill="1" applyBorder="1" applyAlignment="1" applyProtection="1">
      <alignment horizontal="center"/>
      <protection locked="0"/>
    </xf>
    <xf numFmtId="0" fontId="3" fillId="0" borderId="0" xfId="8736"/>
    <xf numFmtId="0" fontId="169" fillId="0" borderId="0" xfId="8736" applyFont="1"/>
    <xf numFmtId="0" fontId="104" fillId="0" borderId="0" xfId="8736" applyFont="1"/>
    <xf numFmtId="0" fontId="3" fillId="47" borderId="66" xfId="8736" applyFill="1" applyBorder="1"/>
    <xf numFmtId="0" fontId="3" fillId="47" borderId="0" xfId="8736" applyFill="1"/>
    <xf numFmtId="0" fontId="103" fillId="47" borderId="0" xfId="8736" applyFont="1" applyFill="1"/>
    <xf numFmtId="9" fontId="3" fillId="44" borderId="3" xfId="1022" applyFont="1" applyFill="1" applyBorder="1" applyAlignment="1">
      <alignment horizontal="centerContinuous"/>
    </xf>
    <xf numFmtId="9" fontId="3" fillId="44" borderId="4" xfId="1022" applyFont="1" applyFill="1" applyBorder="1" applyAlignment="1">
      <alignment horizontal="centerContinuous"/>
    </xf>
    <xf numFmtId="9" fontId="3" fillId="44" borderId="5" xfId="1022" applyFont="1" applyFill="1" applyBorder="1" applyAlignment="1">
      <alignment horizontal="centerContinuous"/>
    </xf>
    <xf numFmtId="0" fontId="103" fillId="47" borderId="41" xfId="8736" applyFont="1" applyFill="1" applyBorder="1" applyAlignment="1">
      <alignment horizontal="center"/>
    </xf>
    <xf numFmtId="182" fontId="174" fillId="47" borderId="0" xfId="8737" applyNumberFormat="1" applyFont="1" applyFill="1" applyBorder="1" applyAlignment="1"/>
    <xf numFmtId="0" fontId="3" fillId="47" borderId="41" xfId="8736" applyFill="1" applyBorder="1"/>
    <xf numFmtId="0" fontId="104" fillId="47" borderId="0" xfId="8736" applyFont="1" applyFill="1"/>
    <xf numFmtId="0" fontId="178" fillId="47" borderId="0" xfId="8736" applyFont="1" applyFill="1"/>
    <xf numFmtId="0" fontId="103" fillId="47" borderId="41" xfId="8736" applyFont="1" applyFill="1" applyBorder="1"/>
    <xf numFmtId="0" fontId="103" fillId="0" borderId="0" xfId="8736" applyFont="1"/>
    <xf numFmtId="0" fontId="166" fillId="0" borderId="0" xfId="8736" applyFont="1"/>
    <xf numFmtId="0" fontId="103" fillId="54" borderId="100" xfId="8736" applyFont="1" applyFill="1" applyBorder="1"/>
    <xf numFmtId="0" fontId="3" fillId="53" borderId="99" xfId="8736" applyFill="1" applyBorder="1"/>
    <xf numFmtId="0" fontId="3" fillId="52" borderId="99" xfId="8736" applyFill="1" applyBorder="1"/>
    <xf numFmtId="0" fontId="103" fillId="45" borderId="65" xfId="8736" applyFont="1" applyFill="1" applyBorder="1"/>
    <xf numFmtId="0" fontId="3" fillId="45" borderId="80" xfId="8736" applyFill="1" applyBorder="1"/>
    <xf numFmtId="0" fontId="3" fillId="45" borderId="79" xfId="8736" applyFill="1" applyBorder="1"/>
    <xf numFmtId="0" fontId="3" fillId="45" borderId="78" xfId="8736" applyFill="1" applyBorder="1"/>
    <xf numFmtId="0" fontId="103" fillId="45" borderId="0" xfId="8736" applyFont="1" applyFill="1"/>
    <xf numFmtId="0" fontId="103" fillId="45" borderId="12" xfId="8736" applyFont="1" applyFill="1" applyBorder="1"/>
    <xf numFmtId="0" fontId="103" fillId="45" borderId="29" xfId="8736" applyFont="1" applyFill="1" applyBorder="1"/>
    <xf numFmtId="0" fontId="103" fillId="45" borderId="80" xfId="8736" applyFont="1" applyFill="1" applyBorder="1"/>
    <xf numFmtId="0" fontId="103" fillId="45" borderId="79" xfId="8736" applyFont="1" applyFill="1" applyBorder="1"/>
    <xf numFmtId="0" fontId="103" fillId="45" borderId="78" xfId="8736" applyFont="1" applyFill="1" applyBorder="1"/>
    <xf numFmtId="0" fontId="103" fillId="45" borderId="93" xfId="8736" applyFont="1" applyFill="1" applyBorder="1"/>
    <xf numFmtId="0" fontId="103" fillId="45" borderId="6" xfId="8736" applyFont="1" applyFill="1" applyBorder="1"/>
    <xf numFmtId="0" fontId="103" fillId="45" borderId="10" xfId="8736" applyFont="1" applyFill="1" applyBorder="1"/>
    <xf numFmtId="0" fontId="169" fillId="44" borderId="0" xfId="8736" applyFont="1" applyFill="1"/>
    <xf numFmtId="10" fontId="169" fillId="44" borderId="0" xfId="1022" applyNumberFormat="1" applyFont="1" applyFill="1"/>
    <xf numFmtId="0" fontId="3" fillId="45" borderId="29" xfId="8736" applyFill="1" applyBorder="1"/>
    <xf numFmtId="0" fontId="3" fillId="45" borderId="31" xfId="8736" applyFill="1" applyBorder="1"/>
    <xf numFmtId="0" fontId="103" fillId="45" borderId="92" xfId="8736" applyFont="1" applyFill="1" applyBorder="1"/>
    <xf numFmtId="0" fontId="103" fillId="45" borderId="74" xfId="8736" applyFont="1" applyFill="1" applyBorder="1"/>
    <xf numFmtId="0" fontId="180" fillId="47" borderId="0" xfId="8736" applyFont="1" applyFill="1"/>
    <xf numFmtId="0" fontId="103" fillId="45" borderId="31" xfId="8736" applyFont="1" applyFill="1" applyBorder="1"/>
    <xf numFmtId="0" fontId="3" fillId="47" borderId="0" xfId="8736" applyFill="1" applyAlignment="1">
      <alignment horizontal="left"/>
    </xf>
    <xf numFmtId="0" fontId="172" fillId="51" borderId="11" xfId="8736" applyFont="1" applyFill="1" applyBorder="1"/>
    <xf numFmtId="0" fontId="172" fillId="51" borderId="76" xfId="8736" applyFont="1" applyFill="1" applyBorder="1"/>
    <xf numFmtId="0" fontId="173" fillId="51" borderId="11" xfId="8736" applyFont="1" applyFill="1" applyBorder="1" applyAlignment="1">
      <alignment horizontal="center"/>
    </xf>
    <xf numFmtId="0" fontId="173" fillId="51" borderId="76" xfId="8736" applyFont="1" applyFill="1" applyBorder="1" applyAlignment="1">
      <alignment horizontal="center"/>
    </xf>
    <xf numFmtId="0" fontId="3" fillId="48" borderId="66" xfId="8736" applyFill="1" applyBorder="1"/>
    <xf numFmtId="0" fontId="3" fillId="48" borderId="0" xfId="8736" applyFill="1"/>
    <xf numFmtId="0" fontId="3" fillId="48" borderId="78" xfId="8736" applyFill="1" applyBorder="1"/>
    <xf numFmtId="0" fontId="103" fillId="47" borderId="66" xfId="8736" applyFont="1" applyFill="1" applyBorder="1"/>
    <xf numFmtId="49" fontId="103" fillId="47" borderId="66" xfId="8736" applyNumberFormat="1" applyFont="1" applyFill="1" applyBorder="1" applyAlignment="1">
      <alignment horizontal="right" vertical="top"/>
    </xf>
    <xf numFmtId="0" fontId="3" fillId="47" borderId="73" xfId="8736" applyFill="1" applyBorder="1"/>
    <xf numFmtId="0" fontId="3" fillId="47" borderId="42" xfId="8736" applyFill="1" applyBorder="1"/>
    <xf numFmtId="0" fontId="3" fillId="47" borderId="44" xfId="8736" applyFill="1" applyBorder="1"/>
    <xf numFmtId="0" fontId="3" fillId="44" borderId="66" xfId="8736" applyFill="1" applyBorder="1"/>
    <xf numFmtId="0" fontId="3" fillId="44" borderId="0" xfId="8736" applyFill="1"/>
    <xf numFmtId="0" fontId="3" fillId="44" borderId="41" xfId="8736" applyFill="1" applyBorder="1"/>
    <xf numFmtId="0" fontId="3" fillId="44" borderId="0" xfId="8736" applyFill="1" applyAlignment="1">
      <alignment horizontal="left"/>
    </xf>
    <xf numFmtId="0" fontId="3" fillId="44" borderId="73" xfId="8736" applyFill="1" applyBorder="1"/>
    <xf numFmtId="0" fontId="3" fillId="44" borderId="42" xfId="8736" applyFill="1" applyBorder="1"/>
    <xf numFmtId="0" fontId="3" fillId="44" borderId="44" xfId="8736" applyFill="1" applyBorder="1"/>
    <xf numFmtId="0" fontId="164" fillId="0" borderId="0" xfId="8736" applyFont="1"/>
    <xf numFmtId="49" fontId="19" fillId="0" borderId="0" xfId="1192" applyNumberFormat="1" applyAlignment="1">
      <alignment horizontal="left" vertical="top" wrapText="1"/>
    </xf>
    <xf numFmtId="0" fontId="27" fillId="0" borderId="0" xfId="0" applyFont="1" applyAlignment="1">
      <alignment horizontal="left" vertical="top" wrapText="1"/>
    </xf>
    <xf numFmtId="0" fontId="26" fillId="0" borderId="0" xfId="9602" applyFont="1" applyAlignment="1">
      <alignment vertical="top"/>
    </xf>
    <xf numFmtId="0" fontId="19" fillId="0" borderId="0" xfId="1192" applyAlignment="1">
      <alignment horizontal="left" wrapText="1"/>
    </xf>
    <xf numFmtId="49" fontId="0" fillId="0" borderId="0" xfId="0" applyNumberFormat="1"/>
    <xf numFmtId="49" fontId="19" fillId="0" borderId="0" xfId="1192" applyNumberFormat="1"/>
    <xf numFmtId="0" fontId="27" fillId="0" borderId="114" xfId="0" applyFont="1" applyBorder="1"/>
    <xf numFmtId="0" fontId="26" fillId="0" borderId="114" xfId="0" applyFont="1" applyBorder="1"/>
    <xf numFmtId="0" fontId="27" fillId="0" borderId="114" xfId="0" applyFont="1" applyBorder="1" applyAlignment="1">
      <alignment horizontal="left" vertical="top"/>
    </xf>
    <xf numFmtId="0" fontId="19" fillId="0" borderId="114" xfId="0" applyFont="1" applyBorder="1" applyAlignment="1">
      <alignment horizontal="left" vertical="top"/>
    </xf>
    <xf numFmtId="0" fontId="26" fillId="0" borderId="114" xfId="0" applyFont="1" applyBorder="1" applyAlignment="1">
      <alignment horizontal="right"/>
    </xf>
    <xf numFmtId="0" fontId="19" fillId="0" borderId="114" xfId="0" applyFont="1" applyBorder="1" applyAlignment="1">
      <alignment horizontal="center"/>
    </xf>
    <xf numFmtId="0" fontId="27" fillId="0" borderId="8" xfId="0" applyFont="1" applyBorder="1"/>
    <xf numFmtId="49" fontId="27" fillId="0" borderId="0" xfId="0" applyNumberFormat="1" applyFont="1" applyAlignment="1">
      <alignment vertical="top"/>
    </xf>
    <xf numFmtId="2" fontId="19" fillId="0" borderId="2" xfId="0" applyNumberFormat="1" applyFont="1" applyBorder="1" applyAlignment="1">
      <alignment horizontal="left"/>
    </xf>
    <xf numFmtId="0" fontId="0" fillId="0" borderId="2" xfId="0" applyBorder="1" applyAlignment="1">
      <alignment horizontal="left"/>
    </xf>
    <xf numFmtId="2" fontId="19" fillId="0" borderId="0" xfId="0" applyNumberFormat="1" applyFont="1" applyAlignment="1">
      <alignment horizontal="left"/>
    </xf>
    <xf numFmtId="0" fontId="35" fillId="0" borderId="0" xfId="0" applyFont="1"/>
    <xf numFmtId="0" fontId="27" fillId="0" borderId="16" xfId="0" applyFont="1" applyBorder="1" applyAlignment="1">
      <alignment horizontal="center"/>
    </xf>
    <xf numFmtId="0" fontId="27" fillId="0" borderId="16" xfId="0" applyFont="1" applyBorder="1"/>
    <xf numFmtId="0" fontId="27" fillId="0" borderId="16" xfId="0" applyFont="1" applyBorder="1" applyAlignment="1">
      <alignment horizontal="left" vertical="top"/>
    </xf>
    <xf numFmtId="0" fontId="19" fillId="0" borderId="16" xfId="0" applyFont="1" applyBorder="1" applyAlignment="1">
      <alignment horizontal="left" vertical="top"/>
    </xf>
    <xf numFmtId="0" fontId="34" fillId="0" borderId="0" xfId="0" applyFont="1" applyAlignment="1">
      <alignment vertical="center" wrapText="1"/>
    </xf>
    <xf numFmtId="0" fontId="34" fillId="0" borderId="0" xfId="0" applyFont="1" applyAlignment="1">
      <alignment vertical="center"/>
    </xf>
    <xf numFmtId="0" fontId="34" fillId="0" borderId="0" xfId="0" applyFont="1" applyAlignment="1">
      <alignment horizontal="left" vertical="center" indent="1"/>
    </xf>
    <xf numFmtId="0" fontId="0" fillId="5" borderId="6" xfId="0" applyFill="1" applyBorder="1" applyAlignment="1" applyProtection="1">
      <alignment horizontal="center"/>
      <protection locked="0"/>
    </xf>
    <xf numFmtId="0" fontId="26" fillId="0" borderId="0" xfId="0" applyFont="1" applyAlignment="1">
      <alignment horizontal="center"/>
    </xf>
    <xf numFmtId="0" fontId="159" fillId="0" borderId="8" xfId="543" applyFont="1" applyBorder="1" applyAlignment="1">
      <alignment horizontal="center" wrapText="1"/>
    </xf>
    <xf numFmtId="0" fontId="159" fillId="0" borderId="0" xfId="543" applyFont="1" applyAlignment="1">
      <alignment horizontal="center" wrapText="1"/>
    </xf>
    <xf numFmtId="0" fontId="159" fillId="0" borderId="12" xfId="543" applyFont="1" applyBorder="1" applyAlignment="1">
      <alignment horizontal="center" wrapText="1"/>
    </xf>
    <xf numFmtId="0" fontId="159" fillId="0" borderId="9" xfId="543" applyFont="1" applyBorder="1" applyAlignment="1">
      <alignment horizontal="center" wrapText="1"/>
    </xf>
    <xf numFmtId="0" fontId="159" fillId="0" borderId="6" xfId="543" applyFont="1" applyBorder="1" applyAlignment="1">
      <alignment horizontal="center" wrapText="1"/>
    </xf>
    <xf numFmtId="0" fontId="159" fillId="0" borderId="10" xfId="543" applyFont="1" applyBorder="1" applyAlignment="1">
      <alignment horizontal="center" wrapText="1"/>
    </xf>
    <xf numFmtId="0" fontId="159" fillId="0" borderId="8" xfId="543" applyFont="1" applyBorder="1" applyAlignment="1">
      <alignment horizontal="center" vertical="top" wrapText="1"/>
    </xf>
    <xf numFmtId="0" fontId="159" fillId="0" borderId="0" xfId="543" applyFont="1" applyAlignment="1">
      <alignment horizontal="center" vertical="top" wrapText="1"/>
    </xf>
    <xf numFmtId="0" fontId="159" fillId="0" borderId="12" xfId="543" applyFont="1" applyBorder="1" applyAlignment="1">
      <alignment horizontal="center" vertical="top" wrapText="1"/>
    </xf>
    <xf numFmtId="0" fontId="159" fillId="0" borderId="9" xfId="543" applyFont="1" applyBorder="1" applyAlignment="1">
      <alignment horizontal="center" vertical="top" wrapText="1"/>
    </xf>
    <xf numFmtId="0" fontId="159" fillId="0" borderId="6" xfId="543" applyFont="1" applyBorder="1" applyAlignment="1">
      <alignment horizontal="center" vertical="top" wrapText="1"/>
    </xf>
    <xf numFmtId="0" fontId="159" fillId="0" borderId="10" xfId="543" applyFont="1" applyBorder="1" applyAlignment="1">
      <alignment horizontal="center" vertical="top" wrapText="1"/>
    </xf>
    <xf numFmtId="168" fontId="26" fillId="0" borderId="3" xfId="543" applyNumberFormat="1" applyFont="1" applyBorder="1" applyAlignment="1">
      <alignment horizontal="center" vertical="center"/>
    </xf>
    <xf numFmtId="168" fontId="26" fillId="0" borderId="4" xfId="543" applyNumberFormat="1" applyFont="1" applyBorder="1" applyAlignment="1">
      <alignment horizontal="center" vertical="center"/>
    </xf>
    <xf numFmtId="168" fontId="26" fillId="0" borderId="5" xfId="543" applyNumberFormat="1" applyFont="1" applyBorder="1" applyAlignment="1">
      <alignment horizontal="center" vertical="center"/>
    </xf>
    <xf numFmtId="0" fontId="19" fillId="0" borderId="8" xfId="0" applyFont="1" applyBorder="1" applyAlignment="1">
      <alignment horizontal="left" wrapText="1"/>
    </xf>
    <xf numFmtId="0" fontId="19" fillId="0" borderId="0" xfId="0" applyFont="1" applyAlignment="1">
      <alignment horizontal="left" wrapText="1"/>
    </xf>
    <xf numFmtId="0" fontId="19" fillId="0" borderId="12" xfId="0" applyFont="1" applyBorder="1" applyAlignment="1">
      <alignment horizontal="left" wrapText="1"/>
    </xf>
    <xf numFmtId="0" fontId="19" fillId="0" borderId="9" xfId="0" applyFont="1" applyBorder="1" applyAlignment="1">
      <alignment horizontal="left" wrapText="1"/>
    </xf>
    <xf numFmtId="0" fontId="19" fillId="0" borderId="6" xfId="0" applyFont="1" applyBorder="1" applyAlignment="1">
      <alignment horizontal="left" wrapText="1"/>
    </xf>
    <xf numFmtId="0" fontId="19" fillId="0" borderId="10" xfId="0" applyFont="1" applyBorder="1" applyAlignment="1">
      <alignment horizontal="left" wrapText="1"/>
    </xf>
    <xf numFmtId="0" fontId="26" fillId="0" borderId="1" xfId="543" applyFont="1" applyBorder="1" applyAlignment="1">
      <alignment horizontal="left" vertical="center" wrapText="1"/>
    </xf>
    <xf numFmtId="0" fontId="26" fillId="0" borderId="2" xfId="543" applyFont="1" applyBorder="1" applyAlignment="1">
      <alignment horizontal="left" vertical="center" wrapText="1"/>
    </xf>
    <xf numFmtId="0" fontId="26" fillId="0" borderId="7" xfId="543" applyFont="1" applyBorder="1" applyAlignment="1">
      <alignment horizontal="left" vertical="center" wrapText="1"/>
    </xf>
    <xf numFmtId="0" fontId="28" fillId="0" borderId="0" xfId="543" applyFont="1" applyAlignment="1">
      <alignment horizontal="center"/>
    </xf>
    <xf numFmtId="0" fontId="19" fillId="0" borderId="0" xfId="0" applyFont="1" applyAlignment="1">
      <alignment vertical="center" wrapText="1"/>
    </xf>
    <xf numFmtId="0" fontId="0" fillId="0" borderId="0" xfId="0" applyAlignment="1">
      <alignment horizontal="center"/>
    </xf>
    <xf numFmtId="0" fontId="19" fillId="0" borderId="0" xfId="543" applyAlignment="1">
      <alignment wrapText="1"/>
    </xf>
    <xf numFmtId="0" fontId="19" fillId="0" borderId="0" xfId="0" applyFont="1" applyAlignment="1">
      <alignment vertical="top" wrapText="1"/>
    </xf>
    <xf numFmtId="168" fontId="19" fillId="0" borderId="1" xfId="543" applyNumberFormat="1" applyBorder="1" applyAlignment="1">
      <alignment horizontal="center" vertical="center"/>
    </xf>
    <xf numFmtId="168" fontId="19" fillId="0" borderId="2" xfId="543" applyNumberFormat="1" applyBorder="1" applyAlignment="1">
      <alignment horizontal="center" vertical="center"/>
    </xf>
    <xf numFmtId="168" fontId="19" fillId="0" borderId="7" xfId="543" applyNumberFormat="1" applyBorder="1" applyAlignment="1">
      <alignment horizontal="center" vertical="center"/>
    </xf>
    <xf numFmtId="168" fontId="19" fillId="0" borderId="8" xfId="543" applyNumberFormat="1" applyBorder="1" applyAlignment="1">
      <alignment horizontal="center" vertical="center"/>
    </xf>
    <xf numFmtId="168" fontId="19" fillId="0" borderId="0" xfId="543" applyNumberFormat="1" applyAlignment="1">
      <alignment horizontal="center" vertical="center"/>
    </xf>
    <xf numFmtId="168" fontId="19" fillId="0" borderId="12" xfId="543" applyNumberFormat="1" applyBorder="1" applyAlignment="1">
      <alignment horizontal="center" vertical="center"/>
    </xf>
    <xf numFmtId="168" fontId="19" fillId="0" borderId="9" xfId="543" applyNumberFormat="1" applyBorder="1" applyAlignment="1">
      <alignment horizontal="center" vertical="center"/>
    </xf>
    <xf numFmtId="168" fontId="19" fillId="0" borderId="6" xfId="543" applyNumberFormat="1" applyBorder="1" applyAlignment="1">
      <alignment horizontal="center" vertical="center"/>
    </xf>
    <xf numFmtId="168" fontId="19"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28" fillId="5" borderId="3" xfId="0" applyFont="1" applyFill="1" applyBorder="1" applyAlignment="1" applyProtection="1">
      <alignment horizontal="center"/>
      <protection locked="0"/>
    </xf>
    <xf numFmtId="0" fontId="28" fillId="5" borderId="4" xfId="0" applyFont="1" applyFill="1" applyBorder="1" applyAlignment="1" applyProtection="1">
      <alignment horizontal="center"/>
      <protection locked="0"/>
    </xf>
    <xf numFmtId="0" fontId="28" fillId="5" borderId="5" xfId="0" applyFont="1" applyFill="1" applyBorder="1" applyAlignment="1" applyProtection="1">
      <alignment horizontal="center"/>
      <protection locked="0"/>
    </xf>
    <xf numFmtId="168" fontId="19" fillId="5" borderId="3" xfId="0" applyNumberFormat="1" applyFont="1" applyFill="1" applyBorder="1" applyAlignment="1" applyProtection="1">
      <alignment horizontal="right"/>
      <protection locked="0"/>
    </xf>
    <xf numFmtId="168" fontId="19" fillId="5" borderId="4" xfId="0" applyNumberFormat="1" applyFont="1" applyFill="1" applyBorder="1" applyAlignment="1" applyProtection="1">
      <alignment horizontal="right"/>
      <protection locked="0"/>
    </xf>
    <xf numFmtId="168" fontId="19" fillId="5" borderId="5" xfId="0" applyNumberFormat="1" applyFont="1" applyFill="1" applyBorder="1" applyAlignment="1" applyProtection="1">
      <alignment horizontal="right"/>
      <protection locked="0"/>
    </xf>
    <xf numFmtId="0" fontId="19" fillId="5" borderId="3" xfId="0" applyFont="1" applyFill="1" applyBorder="1" applyAlignment="1" applyProtection="1">
      <alignment horizontal="left"/>
      <protection locked="0"/>
    </xf>
    <xf numFmtId="0" fontId="19" fillId="5" borderId="4" xfId="0" applyFont="1" applyFill="1" applyBorder="1" applyAlignment="1" applyProtection="1">
      <alignment horizontal="left"/>
      <protection locked="0"/>
    </xf>
    <xf numFmtId="0" fontId="19" fillId="5" borderId="5" xfId="0" applyFont="1" applyFill="1" applyBorder="1" applyAlignment="1" applyProtection="1">
      <alignment horizontal="left"/>
      <protection locked="0"/>
    </xf>
    <xf numFmtId="0" fontId="55" fillId="5" borderId="3" xfId="0" applyFont="1" applyFill="1" applyBorder="1" applyAlignment="1" applyProtection="1">
      <alignment horizontal="right"/>
      <protection locked="0"/>
    </xf>
    <xf numFmtId="0" fontId="55" fillId="5" borderId="4" xfId="0" applyFont="1" applyFill="1" applyBorder="1" applyAlignment="1" applyProtection="1">
      <alignment horizontal="right"/>
      <protection locked="0"/>
    </xf>
    <xf numFmtId="0" fontId="55" fillId="5" borderId="5" xfId="0" applyFont="1" applyFill="1" applyBorder="1" applyAlignment="1" applyProtection="1">
      <alignment horizontal="right"/>
      <protection locked="0"/>
    </xf>
    <xf numFmtId="182" fontId="27"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28" fillId="0" borderId="11" xfId="0" applyFont="1" applyBorder="1" applyAlignment="1">
      <alignment horizontal="center" vertical="top" wrapText="1"/>
    </xf>
    <xf numFmtId="0" fontId="19" fillId="0" borderId="3" xfId="543" applyBorder="1" applyAlignment="1">
      <alignment horizontal="center"/>
    </xf>
    <xf numFmtId="0" fontId="19" fillId="0" borderId="4" xfId="543" applyBorder="1" applyAlignment="1">
      <alignment horizontal="center"/>
    </xf>
    <xf numFmtId="0" fontId="19" fillId="0" borderId="5" xfId="543" applyBorder="1" applyAlignment="1">
      <alignment horizontal="center"/>
    </xf>
    <xf numFmtId="1" fontId="19" fillId="0" borderId="3" xfId="543" applyNumberFormat="1" applyBorder="1" applyAlignment="1">
      <alignment horizontal="center"/>
    </xf>
    <xf numFmtId="1" fontId="19" fillId="0" borderId="4" xfId="543" applyNumberFormat="1" applyBorder="1" applyAlignment="1">
      <alignment horizontal="center"/>
    </xf>
    <xf numFmtId="1" fontId="19" fillId="0" borderId="5" xfId="543" applyNumberFormat="1" applyBorder="1" applyAlignment="1">
      <alignment horizontal="center"/>
    </xf>
    <xf numFmtId="0" fontId="38" fillId="5" borderId="3" xfId="543" applyFont="1" applyFill="1" applyBorder="1" applyAlignment="1" applyProtection="1">
      <alignment horizontal="center"/>
      <protection locked="0"/>
    </xf>
    <xf numFmtId="0" fontId="38" fillId="5" borderId="5" xfId="543" applyFont="1" applyFill="1" applyBorder="1" applyAlignment="1" applyProtection="1">
      <alignment horizontal="center"/>
      <protection locked="0"/>
    </xf>
    <xf numFmtId="0" fontId="19" fillId="5" borderId="3" xfId="543" applyFill="1" applyBorder="1" applyAlignment="1" applyProtection="1">
      <alignment horizontal="left" vertical="top" wrapText="1"/>
      <protection locked="0"/>
    </xf>
    <xf numFmtId="0" fontId="28" fillId="5" borderId="4" xfId="543" applyFont="1" applyFill="1" applyBorder="1" applyAlignment="1" applyProtection="1">
      <alignment horizontal="left" vertical="top" wrapText="1"/>
      <protection locked="0"/>
    </xf>
    <xf numFmtId="0" fontId="28" fillId="5" borderId="5" xfId="543" applyFont="1" applyFill="1" applyBorder="1" applyAlignment="1" applyProtection="1">
      <alignment horizontal="left" vertical="top" wrapText="1"/>
      <protection locked="0"/>
    </xf>
    <xf numFmtId="168" fontId="19" fillId="0" borderId="11" xfId="543" applyNumberFormat="1" applyBorder="1" applyAlignment="1">
      <alignment horizontal="center"/>
    </xf>
    <xf numFmtId="168" fontId="19" fillId="10" borderId="3" xfId="543" applyNumberFormat="1" applyFill="1" applyBorder="1" applyAlignment="1">
      <alignment horizontal="center"/>
    </xf>
    <xf numFmtId="168" fontId="19" fillId="10" borderId="4" xfId="543" applyNumberFormat="1" applyFill="1" applyBorder="1" applyAlignment="1">
      <alignment horizontal="center"/>
    </xf>
    <xf numFmtId="168" fontId="19" fillId="10" borderId="5" xfId="543" applyNumberFormat="1" applyFill="1" applyBorder="1" applyAlignment="1">
      <alignment horizontal="center"/>
    </xf>
    <xf numFmtId="0" fontId="27" fillId="5" borderId="3" xfId="543" applyFont="1"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9" fillId="2" borderId="3" xfId="543" applyFill="1" applyBorder="1" applyAlignment="1">
      <alignment horizontal="center"/>
    </xf>
    <xf numFmtId="0" fontId="19" fillId="2" borderId="4" xfId="543" applyFill="1" applyBorder="1" applyAlignment="1">
      <alignment horizontal="center"/>
    </xf>
    <xf numFmtId="0" fontId="19" fillId="2" borderId="5" xfId="543" applyFill="1" applyBorder="1" applyAlignment="1">
      <alignment horizontal="center"/>
    </xf>
    <xf numFmtId="0" fontId="40" fillId="0" borderId="3" xfId="543" applyFont="1" applyBorder="1" applyAlignment="1">
      <alignment horizontal="center"/>
    </xf>
    <xf numFmtId="0" fontId="40" fillId="0" borderId="4" xfId="543" applyFont="1" applyBorder="1" applyAlignment="1">
      <alignment horizontal="center"/>
    </xf>
    <xf numFmtId="0" fontId="40" fillId="0" borderId="5" xfId="543" applyFont="1" applyBorder="1" applyAlignment="1">
      <alignment horizontal="center"/>
    </xf>
    <xf numFmtId="1" fontId="28" fillId="5" borderId="11" xfId="0" applyNumberFormat="1" applyFont="1" applyFill="1" applyBorder="1" applyAlignment="1" applyProtection="1">
      <alignment horizontal="center"/>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27" fillId="0" borderId="0" xfId="0" applyFont="1" applyAlignment="1">
      <alignment horizontal="center"/>
    </xf>
    <xf numFmtId="168" fontId="28" fillId="0" borderId="4" xfId="0" applyNumberFormat="1" applyFont="1" applyBorder="1" applyAlignment="1">
      <alignment horizontal="center"/>
    </xf>
    <xf numFmtId="168" fontId="28" fillId="5" borderId="3" xfId="0" applyNumberFormat="1" applyFont="1" applyFill="1" applyBorder="1" applyAlignment="1" applyProtection="1">
      <alignment horizontal="center"/>
      <protection locked="0"/>
    </xf>
    <xf numFmtId="168" fontId="28" fillId="5" borderId="4" xfId="0" applyNumberFormat="1" applyFont="1" applyFill="1" applyBorder="1" applyAlignment="1" applyProtection="1">
      <alignment horizontal="center"/>
      <protection locked="0"/>
    </xf>
    <xf numFmtId="168" fontId="28" fillId="5" borderId="5" xfId="0" applyNumberFormat="1" applyFont="1" applyFill="1" applyBorder="1" applyAlignment="1" applyProtection="1">
      <alignment horizontal="center"/>
      <protection locked="0"/>
    </xf>
    <xf numFmtId="168" fontId="28" fillId="0" borderId="3" xfId="0" applyNumberFormat="1" applyFont="1" applyBorder="1" applyAlignment="1">
      <alignment horizontal="center"/>
    </xf>
    <xf numFmtId="168" fontId="28" fillId="0" borderId="5" xfId="0" applyNumberFormat="1" applyFont="1" applyBorder="1" applyAlignment="1">
      <alignment horizontal="center"/>
    </xf>
    <xf numFmtId="1" fontId="28" fillId="5" borderId="3" xfId="0" applyNumberFormat="1" applyFont="1" applyFill="1" applyBorder="1" applyAlignment="1" applyProtection="1">
      <alignment horizontal="center"/>
      <protection locked="0"/>
    </xf>
    <xf numFmtId="1" fontId="28" fillId="5" borderId="4" xfId="0" applyNumberFormat="1" applyFont="1" applyFill="1" applyBorder="1" applyAlignment="1" applyProtection="1">
      <alignment horizontal="center"/>
      <protection locked="0"/>
    </xf>
    <xf numFmtId="1" fontId="28"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8" fillId="5" borderId="3" xfId="0" applyNumberFormat="1" applyFont="1" applyFill="1" applyBorder="1" applyAlignment="1" applyProtection="1">
      <alignment horizontal="center"/>
      <protection locked="0"/>
    </xf>
    <xf numFmtId="9" fontId="28" fillId="5" borderId="4" xfId="0" applyNumberFormat="1" applyFont="1" applyFill="1" applyBorder="1" applyAlignment="1" applyProtection="1">
      <alignment horizontal="center"/>
      <protection locked="0"/>
    </xf>
    <xf numFmtId="9" fontId="28"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8" fillId="0" borderId="1" xfId="0" applyFont="1" applyBorder="1" applyAlignment="1">
      <alignment horizontal="center" vertical="top" wrapText="1"/>
    </xf>
    <xf numFmtId="0" fontId="28" fillId="0" borderId="2" xfId="0" applyFont="1" applyBorder="1" applyAlignment="1">
      <alignment horizontal="center" vertical="top" wrapText="1"/>
    </xf>
    <xf numFmtId="0" fontId="28" fillId="0" borderId="7" xfId="0" applyFont="1" applyBorder="1" applyAlignment="1">
      <alignment horizontal="center" vertical="top" wrapText="1"/>
    </xf>
    <xf numFmtId="0" fontId="28" fillId="0" borderId="8" xfId="0" applyFont="1" applyBorder="1" applyAlignment="1">
      <alignment horizontal="center" vertical="top" wrapText="1"/>
    </xf>
    <xf numFmtId="0" fontId="28" fillId="0" borderId="0" xfId="0" applyFont="1" applyAlignment="1">
      <alignment horizontal="center" vertical="top" wrapText="1"/>
    </xf>
    <xf numFmtId="0" fontId="28" fillId="0" borderId="12" xfId="0" applyFont="1" applyBorder="1" applyAlignment="1">
      <alignment horizontal="center" vertical="top" wrapText="1"/>
    </xf>
    <xf numFmtId="0" fontId="28" fillId="0" borderId="9" xfId="0" applyFont="1" applyBorder="1" applyAlignment="1">
      <alignment horizontal="center" vertical="top" wrapText="1"/>
    </xf>
    <xf numFmtId="0" fontId="28" fillId="0" borderId="6" xfId="0" applyFont="1" applyBorder="1" applyAlignment="1">
      <alignment horizontal="center" vertical="top" wrapText="1"/>
    </xf>
    <xf numFmtId="0" fontId="28" fillId="0" borderId="10" xfId="0" applyFont="1" applyBorder="1" applyAlignment="1">
      <alignment horizontal="center" vertical="top" wrapText="1"/>
    </xf>
    <xf numFmtId="165" fontId="28" fillId="0" borderId="1" xfId="0" applyNumberFormat="1" applyFont="1" applyBorder="1" applyAlignment="1">
      <alignment horizontal="right"/>
    </xf>
    <xf numFmtId="165" fontId="28" fillId="0" borderId="2" xfId="0" applyNumberFormat="1" applyFont="1" applyBorder="1" applyAlignment="1">
      <alignment horizontal="right"/>
    </xf>
    <xf numFmtId="165" fontId="28" fillId="0" borderId="7" xfId="0" applyNumberFormat="1" applyFont="1" applyBorder="1" applyAlignment="1">
      <alignment horizontal="right"/>
    </xf>
    <xf numFmtId="0" fontId="28" fillId="5" borderId="4" xfId="0" applyFont="1" applyFill="1" applyBorder="1" applyAlignment="1" applyProtection="1">
      <alignment horizontal="left"/>
      <protection locked="0"/>
    </xf>
    <xf numFmtId="0" fontId="156" fillId="0" borderId="0" xfId="0" applyFont="1" applyAlignment="1">
      <alignment horizontal="center" vertical="center" wrapText="1"/>
    </xf>
    <xf numFmtId="0" fontId="0" fillId="5" borderId="4" xfId="0" applyFill="1" applyBorder="1" applyAlignment="1" applyProtection="1">
      <alignment horizontal="left"/>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0" xfId="0" applyFont="1" applyAlignment="1">
      <alignment horizontal="center" vertical="center" wrapText="1"/>
    </xf>
    <xf numFmtId="0" fontId="26" fillId="0" borderId="12"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0" xfId="0" applyFont="1" applyBorder="1" applyAlignment="1">
      <alignment horizontal="center" vertical="center"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8" fillId="5" borderId="4" xfId="0" applyNumberFormat="1" applyFont="1" applyFill="1" applyBorder="1" applyAlignment="1" applyProtection="1">
      <alignment horizontal="left"/>
      <protection locked="0"/>
    </xf>
    <xf numFmtId="0" fontId="19"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8" fillId="5" borderId="4" xfId="0" applyFont="1" applyFill="1" applyBorder="1" applyAlignment="1" applyProtection="1">
      <alignment wrapText="1"/>
      <protection locked="0"/>
    </xf>
    <xf numFmtId="0" fontId="0" fillId="5" borderId="6" xfId="0" applyFill="1" applyBorder="1" applyAlignment="1" applyProtection="1">
      <alignment horizontal="left"/>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6" fillId="0" borderId="11" xfId="0" applyFont="1" applyBorder="1" applyAlignment="1">
      <alignment horizontal="center" vertical="center" wrapText="1"/>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9" fillId="43" borderId="3" xfId="0" applyNumberFormat="1" applyFont="1" applyFill="1" applyBorder="1" applyAlignment="1" applyProtection="1">
      <alignment horizontal="center" vertical="center"/>
      <protection locked="0"/>
    </xf>
    <xf numFmtId="168" fontId="19" fillId="43" borderId="4" xfId="0" applyNumberFormat="1" applyFont="1" applyFill="1" applyBorder="1" applyAlignment="1" applyProtection="1">
      <alignment horizontal="center" vertical="center"/>
      <protection locked="0"/>
    </xf>
    <xf numFmtId="168" fontId="19"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19" fillId="5" borderId="11" xfId="0" applyFont="1" applyFill="1" applyBorder="1" applyAlignment="1" applyProtection="1">
      <alignment vertical="center" wrapText="1"/>
      <protection locked="0"/>
    </xf>
    <xf numFmtId="0" fontId="19" fillId="0" borderId="1" xfId="0" applyFont="1" applyBorder="1" applyAlignment="1">
      <alignment horizontal="center" vertical="top" wrapText="1"/>
    </xf>
    <xf numFmtId="0" fontId="56" fillId="0" borderId="1" xfId="0" applyFont="1" applyBorder="1" applyAlignment="1">
      <alignment horizontal="center" vertical="center" wrapText="1"/>
    </xf>
    <xf numFmtId="0" fontId="56" fillId="0" borderId="2" xfId="0" applyFont="1" applyBorder="1" applyAlignment="1">
      <alignment horizontal="center" vertical="center" wrapText="1"/>
    </xf>
    <xf numFmtId="0" fontId="56" fillId="0" borderId="7"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0" xfId="0" applyFont="1" applyAlignment="1">
      <alignment horizontal="center" vertical="center" wrapText="1"/>
    </xf>
    <xf numFmtId="0" fontId="56" fillId="0" borderId="12" xfId="0" applyFont="1" applyBorder="1" applyAlignment="1">
      <alignment horizontal="center" vertical="center" wrapText="1"/>
    </xf>
    <xf numFmtId="0" fontId="56" fillId="0" borderId="9" xfId="0" applyFont="1" applyBorder="1" applyAlignment="1">
      <alignment horizontal="center" vertical="center" wrapText="1"/>
    </xf>
    <xf numFmtId="0" fontId="56" fillId="0" borderId="6" xfId="0" applyFont="1" applyBorder="1" applyAlignment="1">
      <alignment horizontal="center" vertical="center" wrapText="1"/>
    </xf>
    <xf numFmtId="0" fontId="56" fillId="0" borderId="10" xfId="0" applyFont="1" applyBorder="1" applyAlignment="1">
      <alignment horizontal="center" vertical="center" wrapText="1"/>
    </xf>
    <xf numFmtId="0" fontId="52" fillId="0" borderId="0" xfId="0" applyFont="1" applyAlignment="1">
      <alignment horizontal="center"/>
    </xf>
    <xf numFmtId="0" fontId="19" fillId="0" borderId="0" xfId="0" applyFont="1" applyAlignment="1">
      <alignment horizontal="center"/>
    </xf>
    <xf numFmtId="0" fontId="34" fillId="0" borderId="0" xfId="0" applyFont="1" applyAlignment="1">
      <alignment horizontal="center"/>
    </xf>
    <xf numFmtId="0" fontId="19" fillId="0" borderId="0" xfId="0" applyFont="1" applyAlignment="1">
      <alignment wrapText="1"/>
    </xf>
    <xf numFmtId="0" fontId="19" fillId="0" borderId="0" xfId="0" applyFont="1" applyAlignment="1">
      <alignment horizontal="center" vertical="top"/>
    </xf>
    <xf numFmtId="0" fontId="19" fillId="0" borderId="0" xfId="0" applyFont="1" applyAlignment="1">
      <alignment horizontal="left" vertical="top" wrapText="1"/>
    </xf>
    <xf numFmtId="0" fontId="28" fillId="0" borderId="0" xfId="0" applyFont="1" applyAlignment="1">
      <alignment horizontal="left" vertical="top" wrapText="1"/>
    </xf>
    <xf numFmtId="0" fontId="19" fillId="5" borderId="6" xfId="0" applyFont="1" applyFill="1" applyBorder="1" applyAlignment="1" applyProtection="1">
      <alignment horizontal="left"/>
      <protection locked="0"/>
    </xf>
    <xf numFmtId="0" fontId="28" fillId="5" borderId="6" xfId="0" applyFont="1" applyFill="1" applyBorder="1" applyAlignment="1" applyProtection="1">
      <alignment horizontal="left"/>
      <protection locked="0"/>
    </xf>
    <xf numFmtId="168" fontId="28" fillId="0" borderId="6" xfId="0" applyNumberFormat="1" applyFont="1" applyBorder="1" applyAlignment="1">
      <alignment horizontal="center"/>
    </xf>
    <xf numFmtId="0" fontId="19" fillId="5" borderId="6" xfId="0" applyFont="1" applyFill="1" applyBorder="1" applyAlignment="1" applyProtection="1">
      <alignment horizontal="left" wrapText="1"/>
      <protection locked="0"/>
    </xf>
    <xf numFmtId="0" fontId="28" fillId="5" borderId="6" xfId="0" applyFont="1" applyFill="1" applyBorder="1" applyAlignment="1" applyProtection="1">
      <alignment horizontal="left" wrapText="1"/>
      <protection locked="0"/>
    </xf>
    <xf numFmtId="180" fontId="27" fillId="43" borderId="3" xfId="0" applyNumberFormat="1" applyFont="1" applyFill="1" applyBorder="1" applyAlignment="1" applyProtection="1">
      <alignment horizontal="center" vertical="center"/>
      <protection locked="0"/>
    </xf>
    <xf numFmtId="180" fontId="27" fillId="43" borderId="4" xfId="0" applyNumberFormat="1" applyFont="1" applyFill="1" applyBorder="1" applyAlignment="1" applyProtection="1">
      <alignment horizontal="center" vertical="center"/>
      <protection locked="0"/>
    </xf>
    <xf numFmtId="180" fontId="27" fillId="43" borderId="5" xfId="0" applyNumberFormat="1" applyFont="1" applyFill="1" applyBorder="1" applyAlignment="1" applyProtection="1">
      <alignment horizontal="center" vertical="center"/>
      <protection locked="0"/>
    </xf>
    <xf numFmtId="1" fontId="28" fillId="5" borderId="3" xfId="0" applyNumberFormat="1" applyFont="1" applyFill="1" applyBorder="1" applyAlignment="1" applyProtection="1">
      <alignment horizontal="right" vertical="top"/>
      <protection locked="0"/>
    </xf>
    <xf numFmtId="1" fontId="28" fillId="5" borderId="4" xfId="0" applyNumberFormat="1" applyFont="1" applyFill="1" applyBorder="1" applyAlignment="1" applyProtection="1">
      <alignment horizontal="right" vertical="top"/>
      <protection locked="0"/>
    </xf>
    <xf numFmtId="1" fontId="28" fillId="5" borderId="5" xfId="0" applyNumberFormat="1" applyFont="1" applyFill="1" applyBorder="1" applyAlignment="1" applyProtection="1">
      <alignment horizontal="right" vertical="top"/>
      <protection locked="0"/>
    </xf>
    <xf numFmtId="168" fontId="28" fillId="5" borderId="3" xfId="0" applyNumberFormat="1" applyFont="1" applyFill="1" applyBorder="1" applyAlignment="1" applyProtection="1">
      <alignment horizontal="left" vertical="top"/>
      <protection locked="0"/>
    </xf>
    <xf numFmtId="168" fontId="28" fillId="5" borderId="4" xfId="0" applyNumberFormat="1" applyFont="1" applyFill="1" applyBorder="1" applyAlignment="1" applyProtection="1">
      <alignment horizontal="left" vertical="top"/>
      <protection locked="0"/>
    </xf>
    <xf numFmtId="168" fontId="28" fillId="5" borderId="5" xfId="0" applyNumberFormat="1" applyFont="1" applyFill="1" applyBorder="1" applyAlignment="1" applyProtection="1">
      <alignment horizontal="left" vertical="top"/>
      <protection locked="0"/>
    </xf>
    <xf numFmtId="175" fontId="19" fillId="43" borderId="3" xfId="0" applyNumberFormat="1" applyFont="1" applyFill="1" applyBorder="1" applyAlignment="1" applyProtection="1">
      <alignment horizontal="center" vertical="center"/>
      <protection locked="0"/>
    </xf>
    <xf numFmtId="175" fontId="19" fillId="43" borderId="4" xfId="0" applyNumberFormat="1" applyFont="1" applyFill="1" applyBorder="1" applyAlignment="1" applyProtection="1">
      <alignment horizontal="center" vertical="center"/>
      <protection locked="0"/>
    </xf>
    <xf numFmtId="175" fontId="19" fillId="43" borderId="5" xfId="0" applyNumberFormat="1" applyFont="1" applyFill="1" applyBorder="1" applyAlignment="1" applyProtection="1">
      <alignment horizontal="center" vertical="center"/>
      <protection locked="0"/>
    </xf>
    <xf numFmtId="0" fontId="19" fillId="5" borderId="11" xfId="0" applyFont="1" applyFill="1" applyBorder="1" applyAlignment="1" applyProtection="1">
      <alignment horizontal="left" vertical="center" wrapText="1"/>
      <protection locked="0"/>
    </xf>
    <xf numFmtId="0" fontId="25" fillId="3" borderId="0" xfId="0" applyFont="1" applyFill="1" applyAlignment="1">
      <alignment horizontal="center" vertical="center" wrapText="1"/>
    </xf>
    <xf numFmtId="0" fontId="25" fillId="3" borderId="0" xfId="0" applyFont="1" applyFill="1" applyAlignment="1">
      <alignment horizontal="center" vertical="center"/>
    </xf>
    <xf numFmtId="166" fontId="28" fillId="5" borderId="6" xfId="0" applyNumberFormat="1" applyFont="1" applyFill="1" applyBorder="1" applyAlignment="1" applyProtection="1">
      <alignment horizontal="left"/>
      <protection locked="0"/>
    </xf>
    <xf numFmtId="175" fontId="19" fillId="43" borderId="3" xfId="0" applyNumberFormat="1" applyFont="1" applyFill="1" applyBorder="1" applyAlignment="1" applyProtection="1">
      <alignment horizontal="center"/>
      <protection locked="0"/>
    </xf>
    <xf numFmtId="175" fontId="19" fillId="43" borderId="4" xfId="0" applyNumberFormat="1" applyFont="1" applyFill="1" applyBorder="1" applyAlignment="1" applyProtection="1">
      <alignment horizontal="center"/>
      <protection locked="0"/>
    </xf>
    <xf numFmtId="175" fontId="19" fillId="43" borderId="5" xfId="0" applyNumberFormat="1" applyFont="1" applyFill="1" applyBorder="1" applyAlignment="1" applyProtection="1">
      <alignment horizontal="center"/>
      <protection locked="0"/>
    </xf>
    <xf numFmtId="0" fontId="28" fillId="5" borderId="9" xfId="0" applyFont="1" applyFill="1" applyBorder="1" applyAlignment="1" applyProtection="1">
      <alignment horizontal="center"/>
      <protection locked="0"/>
    </xf>
    <xf numFmtId="0" fontId="28" fillId="5" borderId="6" xfId="0" applyFont="1" applyFill="1" applyBorder="1" applyAlignment="1" applyProtection="1">
      <alignment horizontal="center"/>
      <protection locked="0"/>
    </xf>
    <xf numFmtId="0" fontId="19" fillId="5" borderId="4" xfId="0" applyFont="1" applyFill="1" applyBorder="1" applyAlignment="1" applyProtection="1">
      <alignment wrapText="1"/>
      <protection locked="0"/>
    </xf>
    <xf numFmtId="166" fontId="19" fillId="5" borderId="6"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right"/>
      <protection locked="0"/>
    </xf>
    <xf numFmtId="166" fontId="19" fillId="5" borderId="4" xfId="0" applyNumberFormat="1" applyFont="1" applyFill="1" applyBorder="1" applyAlignment="1" applyProtection="1">
      <alignment horizontal="left"/>
      <protection locked="0"/>
    </xf>
    <xf numFmtId="0" fontId="19" fillId="5" borderId="11" xfId="0" applyFont="1" applyFill="1" applyBorder="1" applyAlignment="1" applyProtection="1">
      <alignment horizontal="left" wrapText="1"/>
      <protection locked="0"/>
    </xf>
    <xf numFmtId="0" fontId="26" fillId="0" borderId="11" xfId="0" applyFont="1" applyBorder="1" applyAlignment="1">
      <alignment horizontal="center" vertic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0" fillId="0" borderId="11" xfId="0" applyBorder="1" applyAlignment="1">
      <alignment horizontal="center"/>
    </xf>
    <xf numFmtId="0" fontId="28" fillId="2" borderId="11" xfId="0" applyFont="1" applyFill="1" applyBorder="1" applyAlignment="1">
      <alignment horizontal="center"/>
    </xf>
    <xf numFmtId="0" fontId="28" fillId="45" borderId="11" xfId="0" applyFont="1" applyFill="1" applyBorder="1" applyAlignment="1">
      <alignment horizontal="center"/>
    </xf>
    <xf numFmtId="0" fontId="19" fillId="0" borderId="11" xfId="543" applyBorder="1" applyAlignment="1">
      <alignment horizontal="center"/>
    </xf>
    <xf numFmtId="0" fontId="19" fillId="0" borderId="3" xfId="0" applyFont="1" applyBorder="1" applyAlignment="1">
      <alignment horizontal="center"/>
    </xf>
    <xf numFmtId="0" fontId="19" fillId="0" borderId="5" xfId="0" applyFont="1" applyBorder="1" applyAlignment="1">
      <alignment horizontal="center"/>
    </xf>
    <xf numFmtId="0" fontId="28" fillId="45" borderId="3" xfId="0" applyFont="1" applyFill="1" applyBorder="1" applyAlignment="1">
      <alignment horizontal="center"/>
    </xf>
    <xf numFmtId="0" fontId="28" fillId="45" borderId="4" xfId="0" applyFont="1" applyFill="1" applyBorder="1" applyAlignment="1">
      <alignment horizontal="center"/>
    </xf>
    <xf numFmtId="0" fontId="28" fillId="45" borderId="5" xfId="0" applyFont="1" applyFill="1" applyBorder="1" applyAlignment="1">
      <alignment horizontal="center"/>
    </xf>
    <xf numFmtId="0" fontId="19" fillId="0" borderId="11" xfId="0" applyFont="1" applyBorder="1" applyAlignment="1">
      <alignment horizontal="center"/>
    </xf>
    <xf numFmtId="0" fontId="28" fillId="0" borderId="3" xfId="0" applyFont="1" applyBorder="1" applyAlignment="1">
      <alignment horizontal="center"/>
    </xf>
    <xf numFmtId="0" fontId="28" fillId="0" borderId="5" xfId="0" applyFont="1" applyBorder="1" applyAlignment="1">
      <alignment horizontal="center"/>
    </xf>
    <xf numFmtId="0" fontId="42" fillId="0" borderId="3" xfId="0" applyFont="1" applyBorder="1" applyAlignment="1">
      <alignment horizontal="center"/>
    </xf>
    <xf numFmtId="0" fontId="42" fillId="0" borderId="4" xfId="0" applyFont="1" applyBorder="1" applyAlignment="1">
      <alignment horizontal="center"/>
    </xf>
    <xf numFmtId="0" fontId="42" fillId="0" borderId="5" xfId="0" applyFont="1" applyBorder="1" applyAlignment="1">
      <alignment horizontal="center"/>
    </xf>
    <xf numFmtId="0" fontId="19" fillId="0" borderId="4" xfId="0" applyFont="1" applyBorder="1" applyAlignment="1">
      <alignment horizontal="center"/>
    </xf>
    <xf numFmtId="0" fontId="19" fillId="0" borderId="8" xfId="543" applyBorder="1" applyAlignment="1">
      <alignment horizontal="left" vertical="center" wrapText="1"/>
    </xf>
    <xf numFmtId="0" fontId="19" fillId="0" borderId="0" xfId="543" applyAlignment="1">
      <alignment horizontal="left" vertical="center" wrapText="1"/>
    </xf>
    <xf numFmtId="0" fontId="19" fillId="0" borderId="12" xfId="543" applyBorder="1" applyAlignment="1">
      <alignment horizontal="left" vertical="center" wrapText="1"/>
    </xf>
    <xf numFmtId="0" fontId="19" fillId="0" borderId="9" xfId="543" applyBorder="1" applyAlignment="1">
      <alignment horizontal="left" vertical="center" wrapText="1"/>
    </xf>
    <xf numFmtId="0" fontId="19" fillId="0" borderId="6" xfId="543" applyBorder="1" applyAlignment="1">
      <alignment horizontal="left" vertical="center" wrapText="1"/>
    </xf>
    <xf numFmtId="0" fontId="19" fillId="0" borderId="10" xfId="543" applyBorder="1" applyAlignment="1">
      <alignment horizontal="left" vertical="center" wrapText="1"/>
    </xf>
    <xf numFmtId="0" fontId="26" fillId="0" borderId="8" xfId="543" applyFont="1" applyBorder="1" applyAlignment="1">
      <alignment horizontal="left" vertical="center" wrapText="1"/>
    </xf>
    <xf numFmtId="0" fontId="26" fillId="0" borderId="0" xfId="543" applyFont="1" applyAlignment="1">
      <alignment horizontal="left" vertical="center" wrapText="1"/>
    </xf>
    <xf numFmtId="0" fontId="26" fillId="0" borderId="12" xfId="543" applyFont="1" applyBorder="1" applyAlignment="1">
      <alignment horizontal="left" vertical="center" wrapText="1"/>
    </xf>
    <xf numFmtId="0" fontId="19" fillId="0" borderId="9" xfId="543" applyBorder="1" applyAlignment="1">
      <alignment horizontal="left" vertical="top" wrapText="1"/>
    </xf>
    <xf numFmtId="0" fontId="19" fillId="0" borderId="6" xfId="543" applyBorder="1" applyAlignment="1">
      <alignment horizontal="left" vertical="top" wrapText="1"/>
    </xf>
    <xf numFmtId="0" fontId="19" fillId="0" borderId="10" xfId="543" applyBorder="1" applyAlignment="1">
      <alignment horizontal="left" vertical="top" wrapText="1"/>
    </xf>
    <xf numFmtId="0" fontId="39" fillId="0" borderId="4" xfId="543" applyFont="1" applyBorder="1" applyAlignment="1">
      <alignment horizontal="right" vertical="top" wrapText="1"/>
    </xf>
    <xf numFmtId="0" fontId="39" fillId="0" borderId="5" xfId="543" applyFont="1" applyBorder="1" applyAlignment="1">
      <alignment horizontal="right" vertical="top" wrapText="1"/>
    </xf>
    <xf numFmtId="0" fontId="19" fillId="0" borderId="8" xfId="543" applyBorder="1" applyAlignment="1">
      <alignment horizontal="left" vertical="top" wrapText="1"/>
    </xf>
    <xf numFmtId="0" fontId="19" fillId="0" borderId="0" xfId="543" applyAlignment="1">
      <alignment horizontal="left" vertical="top" wrapText="1"/>
    </xf>
    <xf numFmtId="0" fontId="19" fillId="0" borderId="12" xfId="543" applyBorder="1" applyAlignment="1">
      <alignment horizontal="left" vertical="top" wrapText="1"/>
    </xf>
    <xf numFmtId="0" fontId="27" fillId="0" borderId="3" xfId="543" applyFont="1" applyBorder="1" applyAlignment="1">
      <alignment horizontal="center"/>
    </xf>
    <xf numFmtId="0" fontId="27" fillId="0" borderId="5" xfId="543" applyFont="1" applyBorder="1" applyAlignment="1">
      <alignment horizontal="center"/>
    </xf>
    <xf numFmtId="1" fontId="27" fillId="0" borderId="3" xfId="543" applyNumberFormat="1" applyFont="1" applyBorder="1" applyAlignment="1">
      <alignment horizontal="center"/>
    </xf>
    <xf numFmtId="1" fontId="27" fillId="0" borderId="5" xfId="543" applyNumberFormat="1" applyFont="1" applyBorder="1" applyAlignment="1">
      <alignment horizontal="center"/>
    </xf>
    <xf numFmtId="0" fontId="38" fillId="0" borderId="3" xfId="543" applyFont="1" applyBorder="1" applyAlignment="1">
      <alignment horizontal="center"/>
    </xf>
    <xf numFmtId="0" fontId="38" fillId="0" borderId="5" xfId="543" applyFont="1" applyBorder="1" applyAlignment="1">
      <alignment horizontal="center"/>
    </xf>
    <xf numFmtId="0" fontId="27" fillId="5" borderId="3" xfId="543" applyFont="1" applyFill="1" applyBorder="1" applyAlignment="1" applyProtection="1">
      <alignment horizontal="center"/>
      <protection locked="0"/>
    </xf>
    <xf numFmtId="0" fontId="27" fillId="5" borderId="3" xfId="0"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27" fillId="5" borderId="5" xfId="0" applyFont="1" applyFill="1" applyBorder="1" applyAlignment="1" applyProtection="1">
      <alignment horizontal="left"/>
      <protection locked="0"/>
    </xf>
    <xf numFmtId="0" fontId="46" fillId="0" borderId="8" xfId="543" applyFont="1" applyBorder="1" applyAlignment="1">
      <alignment horizontal="center" vertical="center" wrapText="1"/>
    </xf>
    <xf numFmtId="0" fontId="46" fillId="0" borderId="0" xfId="543" applyFont="1" applyAlignment="1">
      <alignment horizontal="center" vertical="center" wrapText="1"/>
    </xf>
    <xf numFmtId="0" fontId="46" fillId="0" borderId="12" xfId="543" applyFont="1" applyBorder="1" applyAlignment="1">
      <alignment horizontal="center" vertical="center" wrapText="1"/>
    </xf>
    <xf numFmtId="0" fontId="38" fillId="5" borderId="9" xfId="543" applyFont="1" applyFill="1" applyBorder="1" applyAlignment="1" applyProtection="1">
      <alignment horizontal="center"/>
      <protection locked="0"/>
    </xf>
    <xf numFmtId="0" fontId="38" fillId="5" borderId="10" xfId="543" applyFont="1" applyFill="1" applyBorder="1" applyAlignment="1" applyProtection="1">
      <alignment horizontal="center"/>
      <protection locked="0"/>
    </xf>
    <xf numFmtId="0" fontId="26" fillId="0" borderId="1" xfId="0" applyFont="1" applyBorder="1" applyAlignment="1">
      <alignment horizontal="center" wrapText="1"/>
    </xf>
    <xf numFmtId="0" fontId="26" fillId="0" borderId="2" xfId="0" applyFont="1" applyBorder="1" applyAlignment="1">
      <alignment horizontal="center" wrapText="1"/>
    </xf>
    <xf numFmtId="0" fontId="26" fillId="0" borderId="8" xfId="0" applyFont="1" applyBorder="1" applyAlignment="1">
      <alignment horizontal="center" wrapText="1"/>
    </xf>
    <xf numFmtId="0" fontId="26" fillId="0" borderId="0" xfId="0" applyFont="1" applyAlignment="1">
      <alignment horizontal="center" wrapText="1"/>
    </xf>
    <xf numFmtId="0" fontId="26" fillId="0" borderId="9" xfId="0" applyFont="1" applyBorder="1" applyAlignment="1">
      <alignment horizontal="center" wrapText="1"/>
    </xf>
    <xf numFmtId="0" fontId="26" fillId="0" borderId="6" xfId="0" applyFont="1" applyBorder="1" applyAlignment="1">
      <alignment horizontal="center" wrapText="1"/>
    </xf>
    <xf numFmtId="168" fontId="19"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6" fillId="10" borderId="3" xfId="543" applyFont="1" applyFill="1" applyBorder="1" applyAlignment="1">
      <alignment horizontal="center"/>
    </xf>
    <xf numFmtId="0" fontId="26" fillId="10" borderId="4" xfId="543" applyFont="1" applyFill="1" applyBorder="1" applyAlignment="1">
      <alignment horizontal="center"/>
    </xf>
    <xf numFmtId="0" fontId="26" fillId="10" borderId="5" xfId="543" applyFont="1" applyFill="1" applyBorder="1" applyAlignment="1">
      <alignment horizontal="center"/>
    </xf>
    <xf numFmtId="0" fontId="38" fillId="5" borderId="3" xfId="543" applyFont="1" applyFill="1" applyBorder="1" applyAlignment="1" applyProtection="1">
      <alignment horizontal="center" vertical="top"/>
      <protection locked="0"/>
    </xf>
    <xf numFmtId="0" fontId="38" fillId="5" borderId="5" xfId="543" applyFont="1" applyFill="1" applyBorder="1" applyAlignment="1" applyProtection="1">
      <alignment horizontal="center" vertical="top"/>
      <protection locked="0"/>
    </xf>
    <xf numFmtId="0" fontId="26" fillId="0" borderId="1" xfId="543" applyFont="1" applyBorder="1" applyAlignment="1">
      <alignment horizontal="left" vertical="top" wrapText="1"/>
    </xf>
    <xf numFmtId="0" fontId="26" fillId="0" borderId="2" xfId="543" applyFont="1" applyBorder="1" applyAlignment="1">
      <alignment horizontal="left" vertical="top" wrapText="1"/>
    </xf>
    <xf numFmtId="0" fontId="26" fillId="0" borderId="7" xfId="543" applyFont="1" applyBorder="1" applyAlignment="1">
      <alignment horizontal="left" vertical="top" wrapText="1"/>
    </xf>
    <xf numFmtId="0" fontId="26" fillId="0" borderId="8" xfId="543" applyFont="1" applyBorder="1" applyAlignment="1">
      <alignment horizontal="left" vertical="top" wrapText="1"/>
    </xf>
    <xf numFmtId="0" fontId="26" fillId="0" borderId="0" xfId="543" applyFont="1" applyAlignment="1">
      <alignment horizontal="left" vertical="top" wrapText="1"/>
    </xf>
    <xf numFmtId="0" fontId="26" fillId="0" borderId="12" xfId="543" applyFont="1" applyBorder="1" applyAlignment="1">
      <alignment horizontal="left" vertical="top" wrapText="1"/>
    </xf>
    <xf numFmtId="0" fontId="152" fillId="0" borderId="8" xfId="543" applyFont="1" applyBorder="1" applyAlignment="1">
      <alignment horizontal="center" vertical="center" wrapText="1"/>
    </xf>
    <xf numFmtId="0" fontId="152" fillId="0" borderId="0" xfId="543" applyFont="1" applyAlignment="1">
      <alignment horizontal="center" vertical="center" wrapText="1"/>
    </xf>
    <xf numFmtId="0" fontId="152"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8" fillId="5" borderId="3" xfId="0" applyNumberFormat="1" applyFont="1" applyFill="1" applyBorder="1" applyAlignment="1" applyProtection="1">
      <alignment horizontal="left"/>
      <protection locked="0"/>
    </xf>
    <xf numFmtId="164" fontId="38" fillId="5" borderId="4" xfId="0" applyNumberFormat="1" applyFont="1" applyFill="1" applyBorder="1" applyAlignment="1" applyProtection="1">
      <alignment horizontal="left"/>
      <protection locked="0"/>
    </xf>
    <xf numFmtId="164" fontId="38"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9" fillId="0" borderId="1" xfId="543" applyFont="1" applyBorder="1" applyAlignment="1">
      <alignment horizontal="right"/>
    </xf>
    <xf numFmtId="0" fontId="39" fillId="0" borderId="2" xfId="543" applyFont="1" applyBorder="1" applyAlignment="1">
      <alignment horizontal="right"/>
    </xf>
    <xf numFmtId="0" fontId="39" fillId="0" borderId="7" xfId="543" applyFont="1" applyBorder="1" applyAlignment="1">
      <alignment horizontal="right"/>
    </xf>
    <xf numFmtId="0" fontId="26" fillId="0" borderId="3" xfId="543" applyFont="1" applyBorder="1" applyAlignment="1">
      <alignment horizontal="right"/>
    </xf>
    <xf numFmtId="0" fontId="26" fillId="0" borderId="4" xfId="543" applyFont="1" applyBorder="1" applyAlignment="1">
      <alignment horizontal="right"/>
    </xf>
    <xf numFmtId="0" fontId="26" fillId="0" borderId="5" xfId="543" applyFont="1" applyBorder="1" applyAlignment="1">
      <alignment horizontal="right"/>
    </xf>
    <xf numFmtId="165" fontId="26" fillId="0" borderId="3" xfId="271" applyNumberFormat="1" applyFont="1" applyBorder="1" applyAlignment="1">
      <alignment horizontal="center"/>
    </xf>
    <xf numFmtId="165" fontId="26" fillId="0" borderId="4" xfId="271" applyNumberFormat="1" applyFont="1" applyBorder="1" applyAlignment="1">
      <alignment horizontal="center"/>
    </xf>
    <xf numFmtId="165" fontId="26"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6" fillId="0" borderId="12" xfId="0" applyFont="1" applyBorder="1" applyAlignment="1">
      <alignment horizontal="center" wrapText="1"/>
    </xf>
    <xf numFmtId="0" fontId="26"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9" fillId="0" borderId="3" xfId="0" applyFont="1" applyBorder="1"/>
    <xf numFmtId="0" fontId="19" fillId="0" borderId="4" xfId="0" applyFont="1" applyBorder="1"/>
    <xf numFmtId="0" fontId="19" fillId="0" borderId="5" xfId="0" applyFont="1" applyBorder="1"/>
    <xf numFmtId="0" fontId="28" fillId="5" borderId="6" xfId="271" applyFill="1" applyBorder="1" applyProtection="1">
      <protection locked="0"/>
    </xf>
    <xf numFmtId="164" fontId="27" fillId="5" borderId="3" xfId="0" applyNumberFormat="1" applyFont="1" applyFill="1" applyBorder="1" applyAlignment="1" applyProtection="1">
      <alignment horizontal="left"/>
      <protection locked="0"/>
    </xf>
    <xf numFmtId="164" fontId="27" fillId="5" borderId="4" xfId="0" applyNumberFormat="1" applyFont="1" applyFill="1" applyBorder="1" applyAlignment="1" applyProtection="1">
      <alignment horizontal="left"/>
      <protection locked="0"/>
    </xf>
    <xf numFmtId="164" fontId="27"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6" fillId="5" borderId="3" xfId="0" applyFont="1" applyFill="1" applyBorder="1" applyAlignment="1" applyProtection="1">
      <alignment horizontal="right"/>
      <protection locked="0"/>
    </xf>
    <xf numFmtId="0" fontId="26" fillId="5" borderId="4" xfId="0" applyFont="1" applyFill="1" applyBorder="1" applyAlignment="1" applyProtection="1">
      <alignment horizontal="right"/>
      <protection locked="0"/>
    </xf>
    <xf numFmtId="0" fontId="26" fillId="5" borderId="5" xfId="0" applyFont="1" applyFill="1" applyBorder="1" applyAlignment="1" applyProtection="1">
      <alignment horizontal="right"/>
      <protection locked="0"/>
    </xf>
    <xf numFmtId="168" fontId="19" fillId="5" borderId="3" xfId="0" applyNumberFormat="1" applyFont="1" applyFill="1" applyBorder="1" applyAlignment="1" applyProtection="1">
      <alignment horizontal="left"/>
      <protection locked="0"/>
    </xf>
    <xf numFmtId="168" fontId="19" fillId="5" borderId="4" xfId="0" applyNumberFormat="1" applyFont="1" applyFill="1" applyBorder="1" applyAlignment="1" applyProtection="1">
      <alignment horizontal="left"/>
      <protection locked="0"/>
    </xf>
    <xf numFmtId="168" fontId="19" fillId="5" borderId="5" xfId="0" applyNumberFormat="1" applyFont="1" applyFill="1" applyBorder="1" applyAlignment="1" applyProtection="1">
      <alignment horizontal="left"/>
      <protection locked="0"/>
    </xf>
    <xf numFmtId="1" fontId="19" fillId="0" borderId="3" xfId="0" applyNumberFormat="1" applyFont="1" applyBorder="1" applyAlignment="1">
      <alignment horizontal="center"/>
    </xf>
    <xf numFmtId="1" fontId="28" fillId="0" borderId="4" xfId="0" applyNumberFormat="1" applyFont="1" applyBorder="1" applyAlignment="1">
      <alignment horizontal="center"/>
    </xf>
    <xf numFmtId="1" fontId="28" fillId="0" borderId="5" xfId="0" applyNumberFormat="1" applyFont="1" applyBorder="1" applyAlignment="1">
      <alignment horizontal="center"/>
    </xf>
    <xf numFmtId="0" fontId="26" fillId="0" borderId="6" xfId="0" applyFont="1" applyBorder="1" applyAlignment="1">
      <alignment horizontal="center"/>
    </xf>
    <xf numFmtId="9" fontId="19" fillId="5" borderId="3" xfId="0" applyNumberFormat="1" applyFont="1" applyFill="1" applyBorder="1" applyAlignment="1" applyProtection="1">
      <alignment horizontal="right"/>
      <protection locked="0"/>
    </xf>
    <xf numFmtId="0" fontId="19" fillId="0" borderId="0" xfId="543" applyAlignment="1">
      <alignment horizontal="center"/>
    </xf>
    <xf numFmtId="2" fontId="19" fillId="0" borderId="0" xfId="543" applyNumberFormat="1" applyAlignment="1">
      <alignment horizontal="center"/>
    </xf>
    <xf numFmtId="168" fontId="0" fillId="0" borderId="11" xfId="0" applyNumberFormat="1" applyBorder="1" applyAlignment="1">
      <alignment horizontal="center"/>
    </xf>
    <xf numFmtId="0" fontId="26" fillId="0" borderId="7" xfId="0" applyFont="1" applyBorder="1" applyAlignment="1">
      <alignment horizontal="center" wrapText="1"/>
    </xf>
    <xf numFmtId="168" fontId="0" fillId="5" borderId="11" xfId="0" applyNumberFormat="1" applyFill="1" applyBorder="1" applyProtection="1">
      <protection locked="0"/>
    </xf>
    <xf numFmtId="0" fontId="26" fillId="0" borderId="3" xfId="0" applyFont="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6" fillId="0" borderId="1" xfId="0" applyFont="1" applyBorder="1" applyAlignment="1">
      <alignment horizontal="center"/>
    </xf>
    <xf numFmtId="0" fontId="26" fillId="0" borderId="2" xfId="0" applyFont="1" applyBorder="1" applyAlignment="1">
      <alignment horizontal="center"/>
    </xf>
    <xf numFmtId="0" fontId="26" fillId="0" borderId="7" xfId="0" applyFont="1" applyBorder="1" applyAlignment="1">
      <alignment horizontal="center"/>
    </xf>
    <xf numFmtId="168" fontId="0" fillId="0" borderId="11" xfId="0" applyNumberFormat="1" applyBorder="1" applyAlignment="1">
      <alignment horizontal="right"/>
    </xf>
    <xf numFmtId="171" fontId="19" fillId="0" borderId="0" xfId="543" applyNumberFormat="1" applyAlignment="1">
      <alignment horizontal="center"/>
    </xf>
    <xf numFmtId="0" fontId="26" fillId="0" borderId="11" xfId="0" applyFont="1" applyBorder="1" applyAlignment="1">
      <alignment horizontal="center"/>
    </xf>
    <xf numFmtId="0" fontId="38" fillId="5" borderId="3" xfId="543" applyFont="1" applyFill="1" applyBorder="1" applyAlignment="1">
      <alignment horizontal="center"/>
    </xf>
    <xf numFmtId="0" fontId="38" fillId="5" borderId="4" xfId="543" applyFont="1" applyFill="1" applyBorder="1" applyAlignment="1">
      <alignment horizontal="center"/>
    </xf>
    <xf numFmtId="0" fontId="38" fillId="5" borderId="5" xfId="543" applyFont="1" applyFill="1" applyBorder="1" applyAlignment="1">
      <alignment horizontal="center"/>
    </xf>
    <xf numFmtId="49" fontId="19" fillId="5" borderId="3" xfId="543" applyNumberFormat="1" applyFill="1" applyBorder="1" applyAlignment="1">
      <alignment horizontal="center"/>
    </xf>
    <xf numFmtId="49" fontId="19" fillId="5" borderId="5" xfId="543" applyNumberFormat="1" applyFill="1" applyBorder="1" applyAlignment="1">
      <alignment horizontal="center"/>
    </xf>
    <xf numFmtId="14" fontId="0" fillId="5" borderId="6" xfId="0" applyNumberFormat="1" applyFill="1" applyBorder="1" applyAlignment="1" applyProtection="1">
      <alignment horizontal="center"/>
      <protection locked="0"/>
    </xf>
    <xf numFmtId="0" fontId="26" fillId="0" borderId="9" xfId="0" applyFont="1" applyBorder="1" applyAlignment="1">
      <alignment horizontal="right"/>
    </xf>
    <xf numFmtId="0" fontId="26" fillId="0" borderId="6" xfId="0" applyFont="1" applyBorder="1" applyAlignment="1">
      <alignment horizontal="right"/>
    </xf>
    <xf numFmtId="0" fontId="26" fillId="0" borderId="10" xfId="0" applyFont="1" applyBorder="1" applyAlignment="1">
      <alignment horizontal="right"/>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3" fontId="28" fillId="5" borderId="11" xfId="0" applyNumberFormat="1" applyFont="1" applyFill="1" applyBorder="1" applyAlignment="1" applyProtection="1">
      <alignment horizontal="center"/>
      <protection locked="0"/>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0" xfId="0" applyFont="1" applyAlignment="1">
      <alignment horizontal="center" vertical="center" wrapText="1"/>
    </xf>
    <xf numFmtId="0" fontId="35" fillId="0" borderId="12"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10" xfId="0" applyFont="1" applyBorder="1" applyAlignment="1">
      <alignment horizontal="center" vertical="center" wrapText="1"/>
    </xf>
    <xf numFmtId="0" fontId="19"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68" fontId="156"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26" fillId="5" borderId="11" xfId="0" applyFont="1" applyFill="1" applyBorder="1" applyAlignment="1" applyProtection="1">
      <alignment horizontal="center"/>
      <protection locked="0"/>
    </xf>
    <xf numFmtId="0" fontId="19" fillId="5" borderId="3" xfId="0" applyFont="1" applyFill="1" applyBorder="1" applyProtection="1">
      <protection locked="0"/>
    </xf>
    <xf numFmtId="0" fontId="28" fillId="0" borderId="4" xfId="0" applyFont="1" applyBorder="1" applyProtection="1">
      <protection locked="0"/>
    </xf>
    <xf numFmtId="0" fontId="28"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8" fillId="0" borderId="3" xfId="0" applyFont="1" applyBorder="1" applyAlignment="1">
      <alignment horizontal="left"/>
    </xf>
    <xf numFmtId="171" fontId="19" fillId="0" borderId="0" xfId="543" applyNumberFormat="1" applyAlignment="1">
      <alignment horizontal="right"/>
    </xf>
    <xf numFmtId="0" fontId="26" fillId="0" borderId="2" xfId="0" applyFont="1" applyBorder="1" applyAlignment="1">
      <alignment horizontal="right"/>
    </xf>
    <xf numFmtId="0" fontId="26" fillId="0" borderId="7" xfId="0" applyFont="1" applyBorder="1" applyAlignment="1">
      <alignment horizontal="right"/>
    </xf>
    <xf numFmtId="9" fontId="19"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9" fillId="5" borderId="10" xfId="0" applyNumberFormat="1" applyFont="1" applyFill="1" applyBorder="1" applyAlignment="1" applyProtection="1">
      <alignment horizontal="right"/>
      <protection locked="0"/>
    </xf>
    <xf numFmtId="168" fontId="19"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6"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8" fillId="0" borderId="11" xfId="0" applyFont="1" applyBorder="1" applyAlignment="1">
      <alignment horizontal="center"/>
    </xf>
    <xf numFmtId="0" fontId="28" fillId="0" borderId="4" xfId="0" applyFont="1" applyBorder="1" applyAlignment="1">
      <alignment horizontal="center"/>
    </xf>
    <xf numFmtId="14" fontId="0" fillId="5" borderId="4" xfId="0" applyNumberFormat="1" applyFill="1" applyBorder="1" applyAlignment="1" applyProtection="1">
      <alignment horizontal="center"/>
      <protection locked="0"/>
    </xf>
    <xf numFmtId="0" fontId="19" fillId="5" borderId="9" xfId="0" applyFont="1" applyFill="1" applyBorder="1" applyAlignment="1" applyProtection="1">
      <alignment horizontal="center"/>
      <protection locked="0"/>
    </xf>
    <xf numFmtId="0" fontId="19" fillId="0" borderId="3" xfId="0" applyFont="1" applyBorder="1" applyAlignment="1">
      <alignment horizontal="left"/>
    </xf>
    <xf numFmtId="0" fontId="19" fillId="0" borderId="4" xfId="0" applyFont="1" applyBorder="1" applyAlignment="1">
      <alignment horizontal="left"/>
    </xf>
    <xf numFmtId="0" fontId="19" fillId="0" borderId="5" xfId="0" applyFont="1" applyBorder="1" applyAlignment="1">
      <alignment horizontal="left"/>
    </xf>
    <xf numFmtId="168" fontId="55" fillId="0" borderId="2" xfId="0" applyNumberFormat="1" applyFont="1" applyBorder="1" applyAlignment="1">
      <alignment horizontal="left" vertical="top" wrapText="1"/>
    </xf>
    <xf numFmtId="168" fontId="55"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8"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8"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9"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8" fillId="5" borderId="4" xfId="0" applyNumberFormat="1" applyFont="1" applyFill="1" applyBorder="1" applyAlignment="1" applyProtection="1">
      <alignment horizontal="right"/>
      <protection locked="0"/>
    </xf>
    <xf numFmtId="0" fontId="27" fillId="43" borderId="6" xfId="0" applyFont="1" applyFill="1" applyBorder="1" applyAlignment="1" applyProtection="1">
      <alignment horizontal="left"/>
      <protection locked="0"/>
    </xf>
    <xf numFmtId="0" fontId="28" fillId="5" borderId="11" xfId="0" applyFont="1" applyFill="1" applyBorder="1" applyAlignment="1" applyProtection="1">
      <alignment horizontal="center"/>
      <protection locked="0"/>
    </xf>
    <xf numFmtId="1" fontId="28"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9"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9" fillId="0" borderId="3" xfId="271" applyFont="1" applyBorder="1" applyAlignment="1">
      <alignment horizontal="left"/>
    </xf>
    <xf numFmtId="0" fontId="19" fillId="0" borderId="4" xfId="271" applyFont="1" applyBorder="1" applyAlignment="1">
      <alignment horizontal="left"/>
    </xf>
    <xf numFmtId="0" fontId="19" fillId="0" borderId="5" xfId="271" applyFont="1" applyBorder="1" applyAlignment="1">
      <alignment horizontal="left"/>
    </xf>
    <xf numFmtId="166" fontId="19" fillId="5" borderId="6" xfId="271" applyNumberFormat="1" applyFont="1" applyFill="1" applyBorder="1" applyAlignment="1" applyProtection="1">
      <alignment horizontal="left"/>
      <protection locked="0"/>
    </xf>
    <xf numFmtId="166" fontId="28" fillId="5" borderId="6" xfId="271" applyNumberFormat="1" applyFill="1" applyBorder="1" applyAlignment="1" applyProtection="1">
      <alignment horizontal="left"/>
      <protection locked="0"/>
    </xf>
    <xf numFmtId="166" fontId="28"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9"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9" fillId="0" borderId="6" xfId="0" applyFont="1" applyBorder="1" applyAlignment="1" applyProtection="1">
      <alignment horizontal="center"/>
      <protection locked="0"/>
    </xf>
    <xf numFmtId="0" fontId="19"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7" fillId="0" borderId="3" xfId="4494" applyFont="1" applyBorder="1" applyAlignment="1" applyProtection="1">
      <alignment horizontal="center"/>
    </xf>
    <xf numFmtId="9" fontId="27"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9"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8" fillId="0" borderId="6" xfId="0" applyFont="1" applyBorder="1" applyAlignment="1">
      <alignment horizontal="left"/>
    </xf>
    <xf numFmtId="0" fontId="28" fillId="43" borderId="6" xfId="0" applyFont="1" applyFill="1" applyBorder="1" applyAlignment="1" applyProtection="1">
      <alignment horizontal="left"/>
      <protection locked="0"/>
    </xf>
    <xf numFmtId="0" fontId="19" fillId="0" borderId="6" xfId="0" applyFont="1" applyBorder="1" applyAlignment="1">
      <alignment horizontal="left"/>
    </xf>
    <xf numFmtId="0" fontId="153" fillId="0" borderId="0" xfId="0" applyFont="1" applyAlignment="1" applyProtection="1">
      <alignment horizontal="left" vertical="top" wrapText="1"/>
      <protection locked="0"/>
    </xf>
    <xf numFmtId="0" fontId="19" fillId="0" borderId="6" xfId="0" applyFont="1" applyBorder="1" applyAlignment="1" applyProtection="1">
      <alignment horizontal="left"/>
      <protection locked="0"/>
    </xf>
    <xf numFmtId="0" fontId="20" fillId="0" borderId="0" xfId="244" applyFill="1" applyAlignment="1" applyProtection="1">
      <alignment horizontal="left"/>
      <protection locked="0"/>
    </xf>
    <xf numFmtId="168" fontId="19" fillId="0" borderId="6" xfId="0" applyNumberFormat="1" applyFont="1" applyBorder="1" applyAlignment="1">
      <alignment horizontal="center"/>
    </xf>
    <xf numFmtId="0" fontId="19" fillId="43" borderId="6" xfId="0" applyFont="1" applyFill="1" applyBorder="1" applyAlignment="1" applyProtection="1">
      <alignment vertical="center"/>
      <protection locked="0"/>
    </xf>
    <xf numFmtId="0" fontId="0" fillId="5" borderId="6" xfId="0" applyFill="1" applyBorder="1" applyProtection="1">
      <protection locked="0"/>
    </xf>
    <xf numFmtId="0" fontId="28" fillId="0" borderId="4" xfId="0" applyFont="1" applyBorder="1" applyAlignment="1" applyProtection="1">
      <alignment horizontal="left"/>
      <protection locked="0"/>
    </xf>
    <xf numFmtId="0" fontId="19" fillId="5" borderId="0" xfId="244" applyFont="1" applyFill="1" applyBorder="1" applyAlignment="1" applyProtection="1">
      <alignment horizontal="left"/>
      <protection locked="0"/>
    </xf>
    <xf numFmtId="0" fontId="28" fillId="5" borderId="0" xfId="0" applyFont="1" applyFill="1" applyAlignment="1" applyProtection="1">
      <alignment horizontal="left" vertical="top" wrapText="1"/>
      <protection locked="0"/>
    </xf>
    <xf numFmtId="0" fontId="28"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8"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8" fillId="5" borderId="4" xfId="0" applyNumberFormat="1" applyFont="1" applyFill="1" applyBorder="1" applyAlignment="1" applyProtection="1">
      <alignment horizontal="right"/>
      <protection locked="0"/>
    </xf>
    <xf numFmtId="168" fontId="28"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8"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6" fillId="0" borderId="3" xfId="0" applyFont="1" applyBorder="1" applyAlignment="1">
      <alignment horizontal="center"/>
    </xf>
    <xf numFmtId="0" fontId="26" fillId="0" borderId="4" xfId="0" applyFont="1" applyBorder="1" applyAlignment="1">
      <alignment horizontal="center"/>
    </xf>
    <xf numFmtId="168" fontId="28" fillId="0" borderId="3" xfId="0" applyNumberFormat="1" applyFont="1" applyBorder="1" applyAlignment="1">
      <alignment horizontal="left" vertical="top"/>
    </xf>
    <xf numFmtId="168" fontId="28" fillId="0" borderId="4" xfId="0" applyNumberFormat="1" applyFont="1" applyBorder="1" applyAlignment="1">
      <alignment horizontal="left" vertical="top"/>
    </xf>
    <xf numFmtId="168" fontId="28" fillId="0" borderId="5" xfId="0" applyNumberFormat="1" applyFont="1" applyBorder="1" applyAlignment="1">
      <alignment horizontal="left" vertical="top"/>
    </xf>
    <xf numFmtId="10" fontId="28"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65" fontId="28" fillId="5" borderId="3" xfId="0" applyNumberFormat="1" applyFont="1" applyFill="1" applyBorder="1" applyAlignment="1" applyProtection="1">
      <alignment horizontal="center"/>
      <protection locked="0"/>
    </xf>
    <xf numFmtId="165" fontId="28" fillId="5" borderId="4" xfId="0" applyNumberFormat="1" applyFont="1" applyFill="1" applyBorder="1" applyAlignment="1" applyProtection="1">
      <alignment horizontal="center"/>
      <protection locked="0"/>
    </xf>
    <xf numFmtId="165" fontId="28" fillId="5" borderId="5" xfId="0" applyNumberFormat="1" applyFont="1" applyFill="1" applyBorder="1" applyAlignment="1" applyProtection="1">
      <alignment horizontal="center"/>
      <protection locked="0"/>
    </xf>
    <xf numFmtId="10" fontId="28" fillId="5" borderId="4" xfId="0" applyNumberFormat="1" applyFon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6" fillId="0" borderId="9" xfId="0" applyFont="1" applyBorder="1" applyAlignment="1">
      <alignment horizontal="center"/>
    </xf>
    <xf numFmtId="0" fontId="38" fillId="5" borderId="6" xfId="0" applyFont="1" applyFill="1" applyBorder="1" applyAlignment="1" applyProtection="1">
      <alignment horizontal="left"/>
      <protection locked="0"/>
    </xf>
    <xf numFmtId="168" fontId="19"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6" fillId="0" borderId="5" xfId="0" applyFont="1" applyBorder="1" applyAlignment="1">
      <alignment horizontal="center"/>
    </xf>
    <xf numFmtId="0" fontId="0" fillId="0" borderId="12" xfId="0" applyBorder="1" applyAlignment="1">
      <alignment horizontal="center"/>
    </xf>
    <xf numFmtId="172" fontId="26" fillId="0" borderId="11" xfId="0" applyNumberFormat="1" applyFont="1" applyBorder="1" applyAlignment="1">
      <alignment horizontal="center" vertical="center" wrapText="1"/>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6" fillId="0" borderId="10" xfId="0" applyFont="1" applyBorder="1" applyAlignment="1">
      <alignment horizontal="center"/>
    </xf>
    <xf numFmtId="3" fontId="28" fillId="0" borderId="11" xfId="0" applyNumberFormat="1" applyFont="1" applyBorder="1" applyAlignment="1">
      <alignment horizontal="center"/>
    </xf>
    <xf numFmtId="168" fontId="19" fillId="0" borderId="4" xfId="0" applyNumberFormat="1" applyFont="1" applyBorder="1" applyAlignment="1">
      <alignment horizontal="left" vertical="top"/>
    </xf>
    <xf numFmtId="168" fontId="19" fillId="0" borderId="5" xfId="0" applyNumberFormat="1" applyFont="1" applyBorder="1" applyAlignment="1">
      <alignment horizontal="left" vertical="top"/>
    </xf>
    <xf numFmtId="168" fontId="184" fillId="0" borderId="105" xfId="543" applyNumberFormat="1" applyFont="1" applyBorder="1" applyAlignment="1">
      <alignment horizontal="right" vertical="center" wrapText="1"/>
    </xf>
    <xf numFmtId="175" fontId="184" fillId="0" borderId="107" xfId="543" applyNumberFormat="1" applyFont="1" applyBorder="1" applyAlignment="1">
      <alignment horizontal="center" vertical="center" wrapText="1"/>
    </xf>
    <xf numFmtId="175" fontId="184" fillId="0" borderId="108" xfId="543" applyNumberFormat="1" applyFont="1" applyBorder="1" applyAlignment="1">
      <alignment horizontal="center" vertical="center" wrapText="1"/>
    </xf>
    <xf numFmtId="175" fontId="184" fillId="0" borderId="109" xfId="543" applyNumberFormat="1" applyFont="1" applyBorder="1" applyAlignment="1">
      <alignment horizontal="center" vertical="center" wrapText="1"/>
    </xf>
    <xf numFmtId="0" fontId="183"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5" fillId="3" borderId="16" xfId="0" applyFont="1" applyFill="1" applyBorder="1" applyAlignment="1">
      <alignment horizontal="center" vertical="center" wrapText="1"/>
    </xf>
    <xf numFmtId="0" fontId="106" fillId="0" borderId="0" xfId="0" applyFont="1" applyAlignment="1">
      <alignment horizontal="left" vertical="top" wrapText="1"/>
    </xf>
    <xf numFmtId="0" fontId="20" fillId="0" borderId="0" xfId="244" applyAlignment="1">
      <alignment horizontal="left" vertical="top"/>
    </xf>
    <xf numFmtId="0" fontId="48" fillId="0" borderId="0" xfId="0" applyFont="1" applyAlignment="1">
      <alignment horizontal="left" vertical="top" wrapText="1"/>
    </xf>
    <xf numFmtId="0" fontId="114" fillId="0" borderId="0" xfId="0" applyFont="1" applyAlignment="1">
      <alignment horizontal="left" wrapText="1"/>
    </xf>
    <xf numFmtId="0" fontId="28" fillId="0" borderId="0" xfId="0" applyFont="1" applyAlignment="1">
      <alignment horizontal="left" wrapText="1"/>
    </xf>
    <xf numFmtId="0" fontId="20" fillId="0" borderId="0" xfId="244" applyAlignment="1" applyProtection="1">
      <alignment horizontal="left"/>
    </xf>
    <xf numFmtId="0" fontId="20" fillId="0" borderId="0" xfId="244"/>
    <xf numFmtId="0" fontId="0" fillId="0" borderId="0" xfId="0"/>
    <xf numFmtId="0" fontId="19" fillId="0" borderId="0" xfId="1192" applyAlignment="1">
      <alignment horizontal="left" vertical="top" wrapText="1"/>
    </xf>
    <xf numFmtId="0" fontId="26" fillId="0" borderId="0" xfId="0" applyFont="1" applyAlignment="1">
      <alignment horizontal="left" vertical="top" wrapText="1"/>
    </xf>
    <xf numFmtId="0" fontId="115" fillId="0" borderId="0" xfId="569" applyFont="1" applyAlignment="1">
      <alignment horizontal="center"/>
    </xf>
    <xf numFmtId="0" fontId="116" fillId="0" borderId="0" xfId="569" applyFont="1"/>
    <xf numFmtId="0" fontId="19" fillId="0" borderId="0" xfId="569" applyAlignment="1">
      <alignment wrapText="1"/>
    </xf>
    <xf numFmtId="0" fontId="26" fillId="0" borderId="0" xfId="569" applyFont="1" applyAlignment="1">
      <alignment wrapText="1"/>
    </xf>
    <xf numFmtId="0" fontId="34" fillId="0" borderId="0" xfId="569" applyFont="1" applyAlignment="1">
      <alignment horizontal="center"/>
    </xf>
    <xf numFmtId="0" fontId="19" fillId="0" borderId="0" xfId="569"/>
    <xf numFmtId="0" fontId="19" fillId="0" borderId="0" xfId="1192" applyAlignment="1">
      <alignment vertical="top" wrapText="1"/>
    </xf>
    <xf numFmtId="0" fontId="19" fillId="0" borderId="0" xfId="0" applyFont="1" applyAlignment="1">
      <alignment horizontal="left"/>
    </xf>
    <xf numFmtId="0" fontId="19" fillId="0" borderId="0" xfId="569" applyAlignment="1">
      <alignment vertical="top" wrapText="1"/>
    </xf>
    <xf numFmtId="0" fontId="19" fillId="0" borderId="0" xfId="0" applyFont="1" applyAlignment="1">
      <alignment horizontal="left" vertical="top"/>
    </xf>
    <xf numFmtId="0" fontId="37" fillId="0" borderId="0" xfId="0" applyFont="1" applyAlignment="1">
      <alignment horizontal="left"/>
    </xf>
    <xf numFmtId="49" fontId="19" fillId="0" borderId="0" xfId="0" applyNumberFormat="1" applyFont="1" applyAlignment="1">
      <alignment horizontal="left" vertical="top" wrapText="1"/>
    </xf>
    <xf numFmtId="49" fontId="19" fillId="0" borderId="0" xfId="1192" applyNumberFormat="1" applyAlignment="1">
      <alignment horizontal="left" vertical="top" wrapText="1"/>
    </xf>
    <xf numFmtId="0" fontId="26" fillId="0" borderId="4" xfId="0" applyFont="1" applyBorder="1" applyAlignment="1">
      <alignment horizontal="left"/>
    </xf>
    <xf numFmtId="4" fontId="37" fillId="0" borderId="0" xfId="0" applyNumberFormat="1" applyFont="1" applyAlignment="1">
      <alignment horizontal="left"/>
    </xf>
    <xf numFmtId="0" fontId="26" fillId="0" borderId="0" xfId="1192" applyFont="1" applyAlignment="1">
      <alignment horizontal="left" vertical="top" wrapText="1"/>
    </xf>
    <xf numFmtId="4" fontId="19" fillId="0" borderId="0" xfId="569" applyNumberFormat="1" applyAlignment="1">
      <alignment horizontal="left" vertical="top" wrapText="1"/>
    </xf>
    <xf numFmtId="4" fontId="19" fillId="0" borderId="0" xfId="569" applyNumberFormat="1" applyAlignment="1">
      <alignment horizontal="left"/>
    </xf>
    <xf numFmtId="0" fontId="37" fillId="0" borderId="0" xfId="569" applyFont="1" applyAlignment="1">
      <alignment horizontal="left" vertical="top"/>
    </xf>
    <xf numFmtId="4" fontId="19" fillId="0" borderId="0" xfId="0" applyNumberFormat="1" applyFont="1" applyAlignment="1">
      <alignment horizontal="left"/>
    </xf>
    <xf numFmtId="0" fontId="37" fillId="0" borderId="0" xfId="0" applyFont="1" applyAlignment="1">
      <alignment horizontal="left" vertical="top"/>
    </xf>
    <xf numFmtId="0" fontId="26" fillId="0" borderId="0" xfId="0" applyFont="1" applyAlignment="1">
      <alignment vertical="top" wrapText="1"/>
    </xf>
    <xf numFmtId="4" fontId="19" fillId="0" borderId="0" xfId="0" applyNumberFormat="1" applyFont="1" applyAlignment="1">
      <alignment horizontal="left" vertical="top" wrapText="1"/>
    </xf>
    <xf numFmtId="0" fontId="19" fillId="0" borderId="0" xfId="0" applyFont="1" applyAlignment="1">
      <alignment horizontal="left" vertical="center" wrapText="1"/>
    </xf>
    <xf numFmtId="0" fontId="19" fillId="0" borderId="0" xfId="569" applyAlignment="1">
      <alignment horizontal="left" wrapText="1"/>
    </xf>
    <xf numFmtId="0" fontId="20" fillId="0" borderId="0" xfId="244" applyFill="1" applyBorder="1" applyAlignment="1">
      <alignment horizontal="left" vertical="top" wrapText="1"/>
    </xf>
    <xf numFmtId="0" fontId="19" fillId="0" borderId="0" xfId="569" applyAlignment="1">
      <alignment horizontal="left" vertical="top" wrapText="1"/>
    </xf>
    <xf numFmtId="0" fontId="26" fillId="0" borderId="4" xfId="569" applyFont="1" applyBorder="1" applyAlignment="1">
      <alignment horizontal="left"/>
    </xf>
    <xf numFmtId="0" fontId="19" fillId="0" borderId="0" xfId="569" applyAlignment="1">
      <alignment horizontal="left"/>
    </xf>
    <xf numFmtId="0" fontId="37" fillId="0" borderId="0" xfId="569" applyFont="1" applyAlignment="1">
      <alignment horizontal="left"/>
    </xf>
    <xf numFmtId="0" fontId="26" fillId="0" borderId="4" xfId="569" applyFont="1" applyBorder="1" applyAlignment="1">
      <alignment horizontal="left" vertical="top"/>
    </xf>
    <xf numFmtId="0" fontId="20" fillId="0" borderId="0" xfId="244" quotePrefix="1" applyAlignment="1" applyProtection="1">
      <alignment horizontal="left"/>
    </xf>
    <xf numFmtId="0" fontId="19" fillId="0" borderId="0" xfId="569" applyAlignment="1">
      <alignment horizontal="left" vertical="top"/>
    </xf>
    <xf numFmtId="0" fontId="19" fillId="0" borderId="0" xfId="0" quotePrefix="1" applyFont="1" applyAlignment="1">
      <alignment horizontal="left" vertical="top"/>
    </xf>
    <xf numFmtId="0" fontId="37" fillId="0" borderId="0" xfId="0" applyFont="1" applyAlignment="1">
      <alignment horizontal="left" vertical="top" wrapText="1"/>
    </xf>
    <xf numFmtId="0" fontId="19" fillId="0" borderId="0" xfId="0" quotePrefix="1" applyFont="1" applyAlignment="1">
      <alignment horizontal="left" vertical="top" wrapText="1"/>
    </xf>
    <xf numFmtId="0" fontId="19" fillId="0" borderId="0" xfId="1192" applyAlignment="1">
      <alignment horizontal="left"/>
    </xf>
    <xf numFmtId="0" fontId="26" fillId="0" borderId="16" xfId="569" applyFont="1" applyBorder="1" applyAlignment="1">
      <alignment horizontal="left"/>
    </xf>
    <xf numFmtId="4" fontId="37" fillId="0" borderId="0" xfId="569" applyNumberFormat="1" applyFont="1" applyAlignment="1">
      <alignment horizontal="left" vertical="top" wrapText="1"/>
    </xf>
    <xf numFmtId="0" fontId="19" fillId="0" borderId="0" xfId="1192" applyAlignment="1" applyProtection="1">
      <alignment horizontal="left" vertical="top" wrapText="1"/>
      <protection locked="0"/>
    </xf>
    <xf numFmtId="0" fontId="0" fillId="0" borderId="0" xfId="0" applyAlignment="1">
      <alignment horizontal="left" vertical="top" wrapText="1"/>
    </xf>
    <xf numFmtId="0" fontId="37" fillId="0" borderId="0" xfId="1192" applyFont="1" applyAlignment="1">
      <alignment horizontal="left" vertical="top" wrapText="1"/>
    </xf>
    <xf numFmtId="4" fontId="19" fillId="0" borderId="0" xfId="1192" applyNumberFormat="1" applyAlignment="1">
      <alignment horizontal="left" vertical="top" wrapText="1"/>
    </xf>
    <xf numFmtId="4" fontId="37" fillId="0" borderId="0" xfId="0" applyNumberFormat="1" applyFont="1" applyAlignment="1">
      <alignment horizontal="left" vertical="top" wrapText="1"/>
    </xf>
    <xf numFmtId="0" fontId="26" fillId="0" borderId="4" xfId="0" applyFont="1" applyBorder="1" applyAlignment="1">
      <alignment horizontal="left" vertical="top"/>
    </xf>
    <xf numFmtId="0" fontId="37" fillId="0" borderId="0" xfId="569" applyFont="1" applyAlignment="1">
      <alignment horizontal="left" vertical="top" wrapText="1"/>
    </xf>
    <xf numFmtId="0" fontId="19" fillId="0" borderId="27" xfId="569" applyBorder="1" applyAlignment="1">
      <alignment horizontal="left"/>
    </xf>
    <xf numFmtId="0" fontId="26" fillId="0" borderId="0" xfId="569" applyFont="1" applyAlignment="1">
      <alignment horizontal="center"/>
    </xf>
    <xf numFmtId="0" fontId="20" fillId="0" borderId="0" xfId="244" applyNumberFormat="1" applyFill="1" applyAlignment="1" applyProtection="1">
      <alignment horizontal="left"/>
    </xf>
    <xf numFmtId="0" fontId="37" fillId="0" borderId="0" xfId="569" applyFont="1" applyAlignment="1">
      <alignment horizontal="left" wrapText="1"/>
    </xf>
    <xf numFmtId="0" fontId="37" fillId="0" borderId="0" xfId="569" applyFont="1" applyAlignment="1">
      <alignment horizontal="center" wrapText="1"/>
    </xf>
    <xf numFmtId="0" fontId="19" fillId="0" borderId="0" xfId="569" applyAlignment="1">
      <alignment horizontal="left" vertical="center" wrapText="1"/>
    </xf>
    <xf numFmtId="0" fontId="26" fillId="0" borderId="0" xfId="0" applyFont="1" applyAlignment="1">
      <alignment horizontal="left" vertical="top"/>
    </xf>
    <xf numFmtId="0" fontId="26" fillId="0" borderId="0" xfId="569" applyFont="1" applyAlignment="1">
      <alignment horizontal="left"/>
    </xf>
    <xf numFmtId="0" fontId="37" fillId="0" borderId="0" xfId="1192" applyFont="1" applyAlignment="1">
      <alignment horizontal="left"/>
    </xf>
    <xf numFmtId="0" fontId="20" fillId="0" borderId="0" xfId="244" applyAlignment="1" applyProtection="1">
      <alignment horizontal="left" vertical="top" wrapText="1"/>
    </xf>
    <xf numFmtId="0" fontId="37" fillId="0" borderId="0" xfId="569" applyFont="1" applyAlignment="1">
      <alignment horizontal="center"/>
    </xf>
    <xf numFmtId="0" fontId="60" fillId="2" borderId="3" xfId="0" applyFont="1" applyFill="1" applyBorder="1" applyAlignment="1">
      <alignment horizontal="center" vertical="top"/>
    </xf>
    <xf numFmtId="0" fontId="60" fillId="2" borderId="4" xfId="0" applyFont="1" applyFill="1" applyBorder="1" applyAlignment="1">
      <alignment horizontal="center" vertical="top"/>
    </xf>
    <xf numFmtId="0" fontId="60" fillId="2" borderId="5" xfId="0" applyFont="1" applyFill="1" applyBorder="1" applyAlignment="1">
      <alignment horizontal="center" vertical="top"/>
    </xf>
    <xf numFmtId="0" fontId="28" fillId="0" borderId="6" xfId="0" applyFont="1" applyBorder="1" applyAlignment="1">
      <alignment vertical="top" wrapText="1"/>
    </xf>
    <xf numFmtId="177" fontId="28" fillId="5" borderId="6" xfId="0" applyNumberFormat="1" applyFont="1" applyFill="1" applyBorder="1" applyAlignment="1" applyProtection="1">
      <alignment horizontal="left" vertical="top" wrapText="1"/>
      <protection locked="0"/>
    </xf>
    <xf numFmtId="0" fontId="28" fillId="0" borderId="2" xfId="0" applyFont="1" applyBorder="1" applyAlignment="1">
      <alignment vertical="top" wrapText="1"/>
    </xf>
    <xf numFmtId="0" fontId="55" fillId="0" borderId="0" xfId="0" applyFont="1" applyAlignment="1">
      <alignment vertical="top" wrapText="1"/>
    </xf>
    <xf numFmtId="0" fontId="28" fillId="0" borderId="2" xfId="0" applyFont="1" applyBorder="1" applyAlignment="1">
      <alignment horizontal="left" vertical="top" wrapText="1"/>
    </xf>
    <xf numFmtId="0" fontId="56" fillId="0" borderId="0" xfId="0" applyFont="1" applyAlignment="1">
      <alignment vertical="top" wrapText="1"/>
    </xf>
    <xf numFmtId="0" fontId="28" fillId="0" borderId="0" xfId="0" applyFont="1" applyAlignment="1">
      <alignment vertical="top" wrapText="1"/>
    </xf>
    <xf numFmtId="0" fontId="28" fillId="0" borderId="6" xfId="0" applyFont="1" applyBorder="1" applyAlignment="1">
      <alignment horizontal="right" vertical="top" wrapText="1"/>
    </xf>
    <xf numFmtId="0" fontId="56" fillId="0" borderId="0" xfId="569" applyFont="1" applyAlignment="1">
      <alignment vertical="top" wrapText="1"/>
    </xf>
    <xf numFmtId="0" fontId="19" fillId="0" borderId="0" xfId="569" applyAlignment="1">
      <alignment horizontal="right" vertical="top" wrapText="1"/>
    </xf>
    <xf numFmtId="0" fontId="25" fillId="3" borderId="3" xfId="0" applyFont="1" applyFill="1" applyBorder="1" applyAlignment="1">
      <alignment horizontal="left" vertical="top"/>
    </xf>
    <xf numFmtId="0" fontId="25" fillId="3" borderId="4" xfId="0" applyFont="1" applyFill="1" applyBorder="1" applyAlignment="1">
      <alignment horizontal="left" vertical="top"/>
    </xf>
    <xf numFmtId="0" fontId="25" fillId="3" borderId="5" xfId="0" applyFont="1" applyFill="1" applyBorder="1" applyAlignment="1">
      <alignment horizontal="left" vertical="top"/>
    </xf>
    <xf numFmtId="0" fontId="3" fillId="45" borderId="3" xfId="8736" applyFill="1" applyBorder="1" applyAlignment="1">
      <alignment horizontal="center"/>
    </xf>
    <xf numFmtId="0" fontId="3" fillId="45" borderId="4" xfId="8736" applyFill="1" applyBorder="1" applyAlignment="1">
      <alignment horizontal="center"/>
    </xf>
    <xf numFmtId="0" fontId="3" fillId="45" borderId="5" xfId="8736" applyFill="1" applyBorder="1" applyAlignment="1">
      <alignment horizontal="center"/>
    </xf>
    <xf numFmtId="0" fontId="169" fillId="44" borderId="80" xfId="8736" applyFont="1" applyFill="1" applyBorder="1" applyAlignment="1">
      <alignment horizontal="left"/>
    </xf>
    <xf numFmtId="0" fontId="169" fillId="44" borderId="79" xfId="8736" applyFont="1" applyFill="1" applyBorder="1" applyAlignment="1">
      <alignment horizontal="left"/>
    </xf>
    <xf numFmtId="0" fontId="169" fillId="44" borderId="78" xfId="8736" applyFont="1" applyFill="1" applyBorder="1" applyAlignment="1">
      <alignment horizontal="left"/>
    </xf>
    <xf numFmtId="0" fontId="170" fillId="45" borderId="11" xfId="8736" applyFont="1" applyFill="1" applyBorder="1" applyAlignment="1">
      <alignment horizontal="right"/>
    </xf>
    <xf numFmtId="1" fontId="169" fillId="48" borderId="11" xfId="8736" applyNumberFormat="1" applyFont="1" applyFill="1" applyBorder="1" applyAlignment="1" applyProtection="1">
      <alignment horizontal="center"/>
      <protection locked="0"/>
    </xf>
    <xf numFmtId="0" fontId="181" fillId="51" borderId="65" xfId="8736" applyFont="1" applyFill="1" applyBorder="1" applyAlignment="1">
      <alignment horizontal="center"/>
    </xf>
    <xf numFmtId="0" fontId="181" fillId="51" borderId="29" xfId="8736" applyFont="1" applyFill="1" applyBorder="1" applyAlignment="1">
      <alignment horizontal="center"/>
    </xf>
    <xf numFmtId="0" fontId="181" fillId="51" borderId="31" xfId="8736" applyFont="1" applyFill="1" applyBorder="1" applyAlignment="1">
      <alignment horizontal="center"/>
    </xf>
    <xf numFmtId="0" fontId="166" fillId="48" borderId="66" xfId="8736" applyFont="1" applyFill="1" applyBorder="1" applyAlignment="1">
      <alignment horizontal="center"/>
    </xf>
    <xf numFmtId="0" fontId="166" fillId="48" borderId="0" xfId="8736" applyFont="1" applyFill="1" applyAlignment="1">
      <alignment horizontal="center"/>
    </xf>
    <xf numFmtId="0" fontId="166" fillId="48" borderId="41" xfId="8736" applyFont="1" applyFill="1" applyBorder="1" applyAlignment="1">
      <alignment horizontal="center"/>
    </xf>
    <xf numFmtId="0" fontId="166" fillId="45" borderId="3" xfId="8736" applyFont="1" applyFill="1" applyBorder="1" applyAlignment="1">
      <alignment horizontal="center"/>
    </xf>
    <xf numFmtId="0" fontId="166" fillId="45" borderId="4" xfId="8736" applyFont="1" applyFill="1" applyBorder="1" applyAlignment="1">
      <alignment horizontal="center"/>
    </xf>
    <xf numFmtId="0" fontId="166" fillId="45" borderId="5" xfId="8736" applyFont="1" applyFill="1" applyBorder="1" applyAlignment="1">
      <alignment horizontal="center"/>
    </xf>
    <xf numFmtId="0" fontId="176" fillId="45" borderId="11" xfId="8736" applyFont="1" applyFill="1" applyBorder="1" applyAlignment="1">
      <alignment horizontal="right"/>
    </xf>
    <xf numFmtId="14" fontId="169" fillId="48" borderId="11" xfId="8736" applyNumberFormat="1" applyFont="1" applyFill="1" applyBorder="1" applyAlignment="1" applyProtection="1">
      <alignment horizontal="center"/>
      <protection locked="0"/>
    </xf>
    <xf numFmtId="0" fontId="169" fillId="48" borderId="11" xfId="8736" applyFont="1" applyFill="1" applyBorder="1" applyAlignment="1" applyProtection="1">
      <alignment horizontal="center"/>
      <protection locked="0"/>
    </xf>
    <xf numFmtId="0" fontId="3" fillId="44" borderId="80" xfId="8736" applyFill="1" applyBorder="1" applyAlignment="1">
      <alignment horizontal="center"/>
    </xf>
    <xf numFmtId="0" fontId="3" fillId="44" borderId="79" xfId="8736" applyFill="1" applyBorder="1" applyAlignment="1">
      <alignment horizontal="center"/>
    </xf>
    <xf numFmtId="0" fontId="3" fillId="44" borderId="78" xfId="8736" applyFill="1" applyBorder="1" applyAlignment="1">
      <alignment horizontal="center"/>
    </xf>
    <xf numFmtId="0" fontId="103" fillId="45" borderId="80" xfId="8736" applyFont="1" applyFill="1" applyBorder="1" applyAlignment="1">
      <alignment horizontal="center"/>
    </xf>
    <xf numFmtId="0" fontId="103" fillId="45" borderId="79" xfId="8736" applyFont="1" applyFill="1" applyBorder="1" applyAlignment="1">
      <alignment horizontal="center"/>
    </xf>
    <xf numFmtId="0" fontId="103" fillId="45" borderId="78" xfId="8736" applyFont="1" applyFill="1" applyBorder="1" applyAlignment="1">
      <alignment horizontal="center"/>
    </xf>
    <xf numFmtId="0" fontId="169" fillId="48" borderId="80" xfId="8736" applyFont="1" applyFill="1" applyBorder="1" applyAlignment="1" applyProtection="1">
      <alignment horizontal="center"/>
      <protection locked="0"/>
    </xf>
    <xf numFmtId="0" fontId="169" fillId="48" borderId="79" xfId="8736" applyFont="1" applyFill="1" applyBorder="1" applyAlignment="1" applyProtection="1">
      <alignment horizontal="center"/>
      <protection locked="0"/>
    </xf>
    <xf numFmtId="0" fontId="169" fillId="48" borderId="78" xfId="8736" applyFont="1" applyFill="1" applyBorder="1" applyAlignment="1" applyProtection="1">
      <alignment horizontal="center"/>
      <protection locked="0"/>
    </xf>
    <xf numFmtId="0" fontId="173" fillId="45" borderId="11" xfId="8736" applyFont="1" applyFill="1" applyBorder="1" applyAlignment="1">
      <alignment horizontal="right"/>
    </xf>
    <xf numFmtId="1" fontId="3" fillId="44" borderId="11" xfId="8736" applyNumberFormat="1" applyFill="1" applyBorder="1" applyAlignment="1">
      <alignment horizontal="center"/>
    </xf>
    <xf numFmtId="0" fontId="3" fillId="44" borderId="11" xfId="8736" applyFill="1" applyBorder="1" applyAlignment="1">
      <alignment horizontal="center"/>
    </xf>
    <xf numFmtId="0" fontId="170" fillId="45" borderId="11" xfId="8736" applyFont="1" applyFill="1" applyBorder="1" applyAlignment="1">
      <alignment horizontal="right" wrapText="1"/>
    </xf>
    <xf numFmtId="14" fontId="169" fillId="48" borderId="11" xfId="8736" applyNumberFormat="1" applyFont="1" applyFill="1" applyBorder="1" applyAlignment="1" applyProtection="1">
      <alignment horizontal="center" vertical="center"/>
      <protection locked="0"/>
    </xf>
    <xf numFmtId="0" fontId="169" fillId="48" borderId="11" xfId="8736" applyFont="1" applyFill="1" applyBorder="1" applyAlignment="1" applyProtection="1">
      <alignment horizontal="center" vertical="center"/>
      <protection locked="0"/>
    </xf>
    <xf numFmtId="168" fontId="174" fillId="44" borderId="11" xfId="8737" applyNumberFormat="1" applyFont="1" applyFill="1" applyBorder="1" applyAlignment="1" applyProtection="1">
      <alignment horizontal="left"/>
    </xf>
    <xf numFmtId="0" fontId="103" fillId="45" borderId="80" xfId="8736" applyFont="1" applyFill="1" applyBorder="1" applyAlignment="1">
      <alignment horizontal="right"/>
    </xf>
    <xf numFmtId="0" fontId="103" fillId="45" borderId="79" xfId="8736" applyFont="1" applyFill="1" applyBorder="1" applyAlignment="1">
      <alignment horizontal="right"/>
    </xf>
    <xf numFmtId="0" fontId="103" fillId="45" borderId="103" xfId="8736" applyFont="1" applyFill="1" applyBorder="1" applyAlignment="1">
      <alignment horizontal="right"/>
    </xf>
    <xf numFmtId="0" fontId="3" fillId="44" borderId="84" xfId="8736" applyFill="1" applyBorder="1" applyAlignment="1">
      <alignment horizontal="center"/>
    </xf>
    <xf numFmtId="0" fontId="3" fillId="44" borderId="102" xfId="8736" applyFill="1" applyBorder="1" applyAlignment="1">
      <alignment horizontal="center"/>
    </xf>
    <xf numFmtId="0" fontId="166" fillId="45" borderId="93" xfId="8736" applyFont="1" applyFill="1" applyBorder="1" applyAlignment="1">
      <alignment horizontal="center"/>
    </xf>
    <xf numFmtId="0" fontId="166" fillId="45" borderId="92" xfId="8736" applyFont="1" applyFill="1" applyBorder="1" applyAlignment="1">
      <alignment horizontal="center"/>
    </xf>
    <xf numFmtId="0" fontId="166" fillId="45" borderId="91" xfId="8736" applyFont="1" applyFill="1" applyBorder="1" applyAlignment="1">
      <alignment horizontal="center"/>
    </xf>
    <xf numFmtId="0" fontId="173" fillId="45" borderId="97" xfId="8736" applyFont="1" applyFill="1" applyBorder="1" applyAlignment="1">
      <alignment horizontal="center"/>
    </xf>
    <xf numFmtId="0" fontId="173" fillId="45" borderId="2" xfId="8736" applyFont="1" applyFill="1" applyBorder="1" applyAlignment="1">
      <alignment horizontal="center"/>
    </xf>
    <xf numFmtId="0" fontId="173" fillId="45" borderId="7" xfId="8736" applyFont="1" applyFill="1" applyBorder="1" applyAlignment="1">
      <alignment horizontal="center"/>
    </xf>
    <xf numFmtId="0" fontId="173" fillId="45" borderId="3" xfId="8736" applyFont="1" applyFill="1" applyBorder="1" applyAlignment="1">
      <alignment horizontal="center"/>
    </xf>
    <xf numFmtId="0" fontId="173" fillId="45" borderId="4" xfId="8736" applyFont="1" applyFill="1" applyBorder="1" applyAlignment="1">
      <alignment horizontal="center"/>
    </xf>
    <xf numFmtId="0" fontId="173" fillId="45" borderId="5" xfId="8736" applyFont="1" applyFill="1" applyBorder="1" applyAlignment="1">
      <alignment horizontal="center"/>
    </xf>
    <xf numFmtId="0" fontId="173" fillId="45" borderId="81" xfId="8736" applyFont="1" applyFill="1" applyBorder="1" applyAlignment="1">
      <alignment horizontal="center"/>
    </xf>
    <xf numFmtId="9" fontId="172" fillId="48" borderId="90" xfId="8736" applyNumberFormat="1" applyFont="1" applyFill="1" applyBorder="1" applyAlignment="1" applyProtection="1">
      <alignment horizontal="center"/>
      <protection locked="0"/>
    </xf>
    <xf numFmtId="9" fontId="172" fillId="48" borderId="4" xfId="8736" applyNumberFormat="1" applyFont="1" applyFill="1" applyBorder="1" applyAlignment="1" applyProtection="1">
      <alignment horizontal="center"/>
      <protection locked="0"/>
    </xf>
    <xf numFmtId="9" fontId="172" fillId="48" borderId="5" xfId="8736" applyNumberFormat="1" applyFont="1" applyFill="1" applyBorder="1" applyAlignment="1" applyProtection="1">
      <alignment horizontal="center"/>
      <protection locked="0"/>
    </xf>
    <xf numFmtId="0" fontId="172" fillId="44" borderId="3" xfId="8736" applyFont="1" applyFill="1" applyBorder="1" applyAlignment="1">
      <alignment horizontal="center"/>
    </xf>
    <xf numFmtId="0" fontId="172" fillId="44" borderId="4" xfId="8736" applyFont="1" applyFill="1" applyBorder="1" applyAlignment="1">
      <alignment horizontal="center"/>
    </xf>
    <xf numFmtId="0" fontId="172" fillId="44" borderId="5" xfId="8736" applyFont="1" applyFill="1" applyBorder="1" applyAlignment="1">
      <alignment horizontal="center"/>
    </xf>
    <xf numFmtId="10" fontId="173" fillId="44" borderId="3" xfId="8736" applyNumberFormat="1" applyFont="1" applyFill="1" applyBorder="1" applyAlignment="1">
      <alignment horizontal="center"/>
    </xf>
    <xf numFmtId="10" fontId="173" fillId="44" borderId="4" xfId="8736" applyNumberFormat="1" applyFont="1" applyFill="1" applyBorder="1" applyAlignment="1">
      <alignment horizontal="center"/>
    </xf>
    <xf numFmtId="10" fontId="173" fillId="44" borderId="81" xfId="8736" applyNumberFormat="1" applyFont="1" applyFill="1" applyBorder="1" applyAlignment="1">
      <alignment horizontal="center"/>
    </xf>
    <xf numFmtId="0" fontId="172" fillId="48" borderId="3" xfId="8736" applyFont="1" applyFill="1" applyBorder="1" applyAlignment="1" applyProtection="1">
      <alignment horizontal="center"/>
      <protection locked="0"/>
    </xf>
    <xf numFmtId="0" fontId="172" fillId="48" borderId="4" xfId="8736" applyFont="1" applyFill="1" applyBorder="1" applyAlignment="1" applyProtection="1">
      <alignment horizontal="center"/>
      <protection locked="0"/>
    </xf>
    <xf numFmtId="0" fontId="172" fillId="48" borderId="5" xfId="8736" applyFont="1" applyFill="1" applyBorder="1" applyAlignment="1" applyProtection="1">
      <alignment horizontal="center"/>
      <protection locked="0"/>
    </xf>
    <xf numFmtId="0" fontId="173" fillId="44" borderId="87" xfId="8736" applyFont="1" applyFill="1" applyBorder="1" applyAlignment="1">
      <alignment horizontal="center"/>
    </xf>
    <xf numFmtId="0" fontId="173" fillId="44" borderId="86" xfId="8736" applyFont="1" applyFill="1" applyBorder="1" applyAlignment="1">
      <alignment horizontal="center"/>
    </xf>
    <xf numFmtId="0" fontId="173" fillId="44" borderId="95" xfId="8736" applyFont="1" applyFill="1" applyBorder="1" applyAlignment="1">
      <alignment horizontal="center"/>
    </xf>
    <xf numFmtId="0" fontId="172" fillId="44" borderId="94"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10" fontId="173" fillId="44" borderId="94" xfId="8736" applyNumberFormat="1" applyFont="1" applyFill="1" applyBorder="1" applyAlignment="1">
      <alignment horizontal="center"/>
    </xf>
    <xf numFmtId="10" fontId="173" fillId="44" borderId="86" xfId="8736" applyNumberFormat="1" applyFont="1" applyFill="1" applyBorder="1" applyAlignment="1">
      <alignment horizontal="center"/>
    </xf>
    <xf numFmtId="10" fontId="173" fillId="44" borderId="85" xfId="8736" applyNumberFormat="1" applyFont="1" applyFill="1" applyBorder="1" applyAlignment="1">
      <alignment horizontal="center"/>
    </xf>
    <xf numFmtId="0" fontId="173" fillId="44" borderId="101" xfId="8736" applyFont="1" applyFill="1" applyBorder="1" applyAlignment="1">
      <alignment horizontal="center"/>
    </xf>
    <xf numFmtId="0" fontId="173" fillId="44" borderId="42" xfId="8736" applyFont="1" applyFill="1" applyBorder="1" applyAlignment="1">
      <alignment horizontal="center"/>
    </xf>
    <xf numFmtId="0" fontId="173" fillId="44" borderId="96" xfId="8736" applyFont="1" applyFill="1" applyBorder="1" applyAlignment="1">
      <alignment horizontal="center"/>
    </xf>
    <xf numFmtId="9" fontId="173" fillId="44" borderId="101" xfId="1022" applyFont="1" applyFill="1" applyBorder="1" applyAlignment="1">
      <alignment horizontal="center"/>
    </xf>
    <xf numFmtId="9" fontId="173" fillId="44" borderId="42" xfId="1022" applyFont="1" applyFill="1" applyBorder="1" applyAlignment="1">
      <alignment horizontal="center"/>
    </xf>
    <xf numFmtId="9" fontId="173" fillId="44" borderId="44" xfId="1022" applyFont="1" applyFill="1" applyBorder="1" applyAlignment="1">
      <alignment horizontal="center"/>
    </xf>
    <xf numFmtId="0" fontId="166" fillId="45" borderId="80" xfId="8736" applyFont="1" applyFill="1" applyBorder="1" applyAlignment="1">
      <alignment horizontal="center"/>
    </xf>
    <xf numFmtId="0" fontId="166" fillId="45" borderId="79" xfId="8736" applyFont="1" applyFill="1" applyBorder="1" applyAlignment="1">
      <alignment horizontal="center"/>
    </xf>
    <xf numFmtId="0" fontId="166" fillId="45" borderId="78" xfId="8736" applyFont="1" applyFill="1" applyBorder="1" applyAlignment="1">
      <alignment horizontal="center"/>
    </xf>
    <xf numFmtId="0" fontId="165" fillId="45" borderId="98" xfId="8736" applyFont="1" applyFill="1" applyBorder="1" applyAlignment="1">
      <alignment horizontal="center" vertical="center" wrapText="1"/>
    </xf>
    <xf numFmtId="0" fontId="165" fillId="45" borderId="13" xfId="8736" applyFont="1" applyFill="1" applyBorder="1" applyAlignment="1">
      <alignment horizontal="center" vertical="center"/>
    </xf>
    <xf numFmtId="0" fontId="165" fillId="45" borderId="72" xfId="8736" applyFont="1" applyFill="1" applyBorder="1" applyAlignment="1">
      <alignment horizontal="center" vertical="center"/>
    </xf>
    <xf numFmtId="0" fontId="165" fillId="45" borderId="11" xfId="8736" applyFont="1" applyFill="1" applyBorder="1" applyAlignment="1">
      <alignment horizontal="center" vertical="center"/>
    </xf>
    <xf numFmtId="0" fontId="173" fillId="45" borderId="13" xfId="8736" applyFont="1" applyFill="1" applyBorder="1" applyAlignment="1">
      <alignment horizontal="center" vertical="center" wrapText="1"/>
    </xf>
    <xf numFmtId="0" fontId="173" fillId="45" borderId="13" xfId="8736" applyFont="1" applyFill="1" applyBorder="1" applyAlignment="1">
      <alignment horizontal="center" vertical="center"/>
    </xf>
    <xf numFmtId="0" fontId="173" fillId="45" borderId="11" xfId="8736" applyFont="1" applyFill="1" applyBorder="1" applyAlignment="1">
      <alignment horizontal="center" vertical="center"/>
    </xf>
    <xf numFmtId="0" fontId="173" fillId="45" borderId="9" xfId="8736" applyFont="1" applyFill="1" applyBorder="1" applyAlignment="1">
      <alignment horizontal="center" vertical="center"/>
    </xf>
    <xf numFmtId="0" fontId="173" fillId="45" borderId="3" xfId="8736" applyFont="1" applyFill="1" applyBorder="1" applyAlignment="1">
      <alignment horizontal="center" vertic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5" fillId="45" borderId="65" xfId="8736" applyFont="1" applyFill="1" applyBorder="1" applyAlignment="1">
      <alignment horizontal="center" vertical="center" wrapText="1"/>
    </xf>
    <xf numFmtId="0" fontId="165" fillId="45" borderId="29" xfId="8736" applyFont="1" applyFill="1" applyBorder="1" applyAlignment="1">
      <alignment horizontal="center" vertical="center" wrapText="1"/>
    </xf>
    <xf numFmtId="0" fontId="165" fillId="45" borderId="31" xfId="8736" applyFont="1" applyFill="1" applyBorder="1" applyAlignment="1">
      <alignment horizontal="center" vertical="center" wrapText="1"/>
    </xf>
    <xf numFmtId="0" fontId="165" fillId="45" borderId="73" xfId="8736" applyFont="1" applyFill="1" applyBorder="1" applyAlignment="1">
      <alignment horizontal="center" vertical="center" wrapText="1"/>
    </xf>
    <xf numFmtId="0" fontId="165" fillId="45" borderId="42" xfId="8736" applyFont="1" applyFill="1" applyBorder="1" applyAlignment="1">
      <alignment horizontal="center" vertical="center" wrapText="1"/>
    </xf>
    <xf numFmtId="0" fontId="165" fillId="45" borderId="44" xfId="8736" applyFont="1" applyFill="1" applyBorder="1" applyAlignment="1">
      <alignment horizontal="center" vertical="center" wrapText="1"/>
    </xf>
    <xf numFmtId="9" fontId="173" fillId="48" borderId="13" xfId="8736" applyNumberFormat="1" applyFont="1" applyFill="1" applyBorder="1" applyAlignment="1" applyProtection="1">
      <alignment horizontal="center"/>
      <protection locked="0"/>
    </xf>
    <xf numFmtId="0" fontId="173" fillId="44" borderId="73" xfId="8736" applyFont="1" applyFill="1" applyBorder="1" applyAlignment="1">
      <alignment horizontal="center"/>
    </xf>
    <xf numFmtId="0" fontId="165" fillId="44" borderId="9" xfId="8736" applyFont="1" applyFill="1" applyBorder="1" applyAlignment="1">
      <alignment horizontal="center"/>
    </xf>
    <xf numFmtId="0" fontId="165" fillId="44" borderId="6" xfId="8736" applyFont="1" applyFill="1" applyBorder="1" applyAlignment="1">
      <alignment horizontal="center"/>
    </xf>
    <xf numFmtId="0" fontId="165" fillId="44" borderId="82" xfId="8736" applyFont="1" applyFill="1" applyBorder="1" applyAlignment="1">
      <alignment horizontal="center"/>
    </xf>
    <xf numFmtId="9" fontId="173" fillId="48" borderId="9" xfId="8736" applyNumberFormat="1" applyFont="1" applyFill="1" applyBorder="1" applyAlignment="1" applyProtection="1">
      <alignment horizontal="center"/>
      <protection locked="0"/>
    </xf>
    <xf numFmtId="9" fontId="173" fillId="48" borderId="6" xfId="8736" applyNumberFormat="1" applyFont="1" applyFill="1" applyBorder="1" applyAlignment="1" applyProtection="1">
      <alignment horizontal="center"/>
      <protection locked="0"/>
    </xf>
    <xf numFmtId="9" fontId="173" fillId="48" borderId="10" xfId="8736" applyNumberFormat="1" applyFont="1" applyFill="1" applyBorder="1" applyAlignment="1" applyProtection="1">
      <alignment horizontal="center"/>
      <protection locked="0"/>
    </xf>
    <xf numFmtId="9" fontId="165" fillId="48" borderId="9" xfId="8736" applyNumberFormat="1" applyFont="1" applyFill="1" applyBorder="1" applyAlignment="1" applyProtection="1">
      <alignment horizontal="center"/>
      <protection locked="0"/>
    </xf>
    <xf numFmtId="9" fontId="165" fillId="48" borderId="6" xfId="8736" applyNumberFormat="1" applyFont="1" applyFill="1" applyBorder="1" applyAlignment="1" applyProtection="1">
      <alignment horizontal="center"/>
      <protection locked="0"/>
    </xf>
    <xf numFmtId="9" fontId="165" fillId="48" borderId="10" xfId="8736" applyNumberFormat="1" applyFont="1" applyFill="1" applyBorder="1" applyAlignment="1" applyProtection="1">
      <alignment horizontal="center"/>
      <protection locked="0"/>
    </xf>
    <xf numFmtId="0" fontId="165" fillId="44" borderId="10" xfId="8736" applyFont="1" applyFill="1" applyBorder="1" applyAlignment="1">
      <alignment horizontal="center"/>
    </xf>
    <xf numFmtId="1" fontId="177" fillId="48" borderId="3" xfId="8736" applyNumberFormat="1" applyFont="1" applyFill="1" applyBorder="1" applyAlignment="1" applyProtection="1">
      <alignment horizontal="center"/>
      <protection locked="0"/>
    </xf>
    <xf numFmtId="1" fontId="177" fillId="48" borderId="4" xfId="8736" applyNumberFormat="1" applyFont="1" applyFill="1" applyBorder="1" applyAlignment="1" applyProtection="1">
      <alignment horizontal="center"/>
      <protection locked="0"/>
    </xf>
    <xf numFmtId="1" fontId="177" fillId="48" borderId="5" xfId="8736" applyNumberFormat="1" applyFont="1" applyFill="1" applyBorder="1" applyAlignment="1" applyProtection="1">
      <alignment horizontal="center"/>
      <protection locked="0"/>
    </xf>
    <xf numFmtId="1" fontId="165" fillId="44" borderId="3" xfId="8736" applyNumberFormat="1" applyFont="1" applyFill="1" applyBorder="1" applyAlignment="1">
      <alignment horizontal="center"/>
    </xf>
    <xf numFmtId="1" fontId="165" fillId="44" borderId="4" xfId="8736" applyNumberFormat="1" applyFont="1" applyFill="1" applyBorder="1" applyAlignment="1">
      <alignment horizontal="center"/>
    </xf>
    <xf numFmtId="1" fontId="165" fillId="44" borderId="5" xfId="8736" applyNumberFormat="1" applyFont="1" applyFill="1" applyBorder="1" applyAlignment="1">
      <alignment horizontal="center"/>
    </xf>
    <xf numFmtId="9" fontId="165" fillId="44" borderId="3" xfId="8738" applyFont="1" applyFill="1" applyBorder="1" applyAlignment="1">
      <alignment horizontal="center"/>
    </xf>
    <xf numFmtId="9" fontId="165" fillId="44" borderId="4" xfId="8738" applyFont="1" applyFill="1" applyBorder="1" applyAlignment="1">
      <alignment horizontal="center"/>
    </xf>
    <xf numFmtId="9" fontId="165" fillId="44" borderId="81" xfId="8738" applyFont="1" applyFill="1" applyBorder="1" applyAlignment="1">
      <alignment horizontal="center"/>
    </xf>
    <xf numFmtId="0" fontId="174" fillId="48" borderId="72" xfId="8736" applyFont="1" applyFill="1" applyBorder="1" applyAlignment="1" applyProtection="1">
      <alignment horizontal="right"/>
      <protection locked="0"/>
    </xf>
    <xf numFmtId="0" fontId="174" fillId="48" borderId="11" xfId="8736" applyFont="1" applyFill="1" applyBorder="1" applyAlignment="1" applyProtection="1">
      <alignment horizontal="right"/>
      <protection locked="0"/>
    </xf>
    <xf numFmtId="0" fontId="177" fillId="48" borderId="11" xfId="8736" applyFont="1" applyFill="1" applyBorder="1" applyAlignment="1" applyProtection="1">
      <alignment horizontal="center"/>
      <protection locked="0"/>
    </xf>
    <xf numFmtId="1" fontId="177" fillId="48" borderId="11" xfId="8736" applyNumberFormat="1" applyFont="1" applyFill="1" applyBorder="1" applyAlignment="1" applyProtection="1">
      <alignment horizontal="center"/>
      <protection locked="0"/>
    </xf>
    <xf numFmtId="0" fontId="172" fillId="48" borderId="72" xfId="8736" applyFont="1" applyFill="1" applyBorder="1" applyAlignment="1" applyProtection="1">
      <alignment horizontal="right"/>
      <protection locked="0"/>
    </xf>
    <xf numFmtId="0" fontId="172" fillId="48" borderId="11" xfId="8736" applyFont="1" applyFill="1" applyBorder="1" applyAlignment="1" applyProtection="1">
      <alignment horizontal="right"/>
      <protection locked="0"/>
    </xf>
    <xf numFmtId="0" fontId="172" fillId="48" borderId="69" xfId="8736" applyFont="1" applyFill="1" applyBorder="1" applyAlignment="1" applyProtection="1">
      <alignment horizontal="right"/>
      <protection locked="0"/>
    </xf>
    <xf numFmtId="0" fontId="172" fillId="48" borderId="70" xfId="8736" applyFont="1" applyFill="1" applyBorder="1" applyAlignment="1" applyProtection="1">
      <alignment horizontal="right"/>
      <protection locked="0"/>
    </xf>
    <xf numFmtId="0" fontId="177" fillId="48" borderId="70" xfId="8736" applyFont="1" applyFill="1" applyBorder="1" applyAlignment="1" applyProtection="1">
      <alignment horizontal="center"/>
      <protection locked="0"/>
    </xf>
    <xf numFmtId="1" fontId="177" fillId="48" borderId="70" xfId="8736" applyNumberFormat="1" applyFont="1" applyFill="1" applyBorder="1" applyAlignment="1" applyProtection="1">
      <alignment horizontal="center"/>
      <protection locked="0"/>
    </xf>
    <xf numFmtId="9" fontId="165" fillId="44" borderId="94" xfId="8738" applyFont="1" applyFill="1" applyBorder="1" applyAlignment="1">
      <alignment horizontal="center"/>
    </xf>
    <xf numFmtId="9" fontId="165" fillId="44" borderId="86" xfId="8738" applyFont="1" applyFill="1" applyBorder="1" applyAlignment="1">
      <alignment horizontal="center"/>
    </xf>
    <xf numFmtId="9" fontId="165" fillId="44" borderId="85" xfId="8738" applyFont="1" applyFill="1" applyBorder="1" applyAlignment="1">
      <alignment horizontal="center"/>
    </xf>
    <xf numFmtId="1" fontId="177" fillId="48" borderId="94" xfId="8736" applyNumberFormat="1" applyFont="1" applyFill="1" applyBorder="1" applyAlignment="1" applyProtection="1">
      <alignment horizontal="center"/>
      <protection locked="0"/>
    </xf>
    <xf numFmtId="1" fontId="177" fillId="48" borderId="86" xfId="8736" applyNumberFormat="1" applyFont="1" applyFill="1" applyBorder="1" applyAlignment="1" applyProtection="1">
      <alignment horizontal="center"/>
      <protection locked="0"/>
    </xf>
    <xf numFmtId="1" fontId="177" fillId="48" borderId="95" xfId="8736" applyNumberFormat="1" applyFont="1" applyFill="1" applyBorder="1" applyAlignment="1" applyProtection="1">
      <alignment horizontal="center"/>
      <protection locked="0"/>
    </xf>
    <xf numFmtId="0" fontId="166" fillId="45" borderId="67" xfId="8736" applyFont="1" applyFill="1" applyBorder="1" applyAlignment="1">
      <alignment horizontal="center"/>
    </xf>
    <xf numFmtId="0" fontId="166" fillId="45" borderId="68" xfId="8736" applyFont="1" applyFill="1" applyBorder="1" applyAlignment="1">
      <alignment horizontal="center"/>
    </xf>
    <xf numFmtId="0" fontId="166" fillId="45" borderId="71" xfId="8736" applyFont="1" applyFill="1" applyBorder="1" applyAlignment="1">
      <alignment horizontal="center"/>
    </xf>
    <xf numFmtId="0" fontId="173" fillId="45" borderId="72" xfId="8736" applyFont="1" applyFill="1" applyBorder="1" applyAlignment="1">
      <alignment horizontal="center"/>
    </xf>
    <xf numFmtId="0" fontId="173" fillId="45" borderId="11" xfId="8736" applyFont="1" applyFill="1" applyBorder="1" applyAlignment="1">
      <alignment horizontal="center"/>
    </xf>
    <xf numFmtId="0" fontId="165" fillId="45" borderId="11" xfId="8736" applyFont="1" applyFill="1" applyBorder="1" applyAlignment="1">
      <alignment horizontal="center" vertical="center" wrapText="1"/>
    </xf>
    <xf numFmtId="0" fontId="165" fillId="45" borderId="76" xfId="8736" applyFont="1" applyFill="1" applyBorder="1" applyAlignment="1">
      <alignment horizontal="center" vertical="center" wrapText="1"/>
    </xf>
    <xf numFmtId="0" fontId="172" fillId="48" borderId="11" xfId="8736" applyFont="1" applyFill="1" applyBorder="1" applyAlignment="1" applyProtection="1">
      <alignment horizontal="center"/>
      <protection locked="0"/>
    </xf>
    <xf numFmtId="168" fontId="172" fillId="48" borderId="11" xfId="8737" applyNumberFormat="1" applyFont="1" applyFill="1" applyBorder="1" applyAlignment="1" applyProtection="1">
      <alignment horizontal="center"/>
      <protection locked="0"/>
    </xf>
    <xf numFmtId="1" fontId="172" fillId="48" borderId="11" xfId="8736" applyNumberFormat="1" applyFont="1" applyFill="1" applyBorder="1" applyAlignment="1" applyProtection="1">
      <alignment horizontal="center"/>
      <protection locked="0"/>
    </xf>
    <xf numFmtId="0" fontId="172" fillId="48" borderId="11" xfId="700" applyNumberFormat="1" applyFont="1" applyFill="1" applyBorder="1" applyAlignment="1" applyProtection="1">
      <alignment horizontal="left"/>
      <protection locked="0"/>
    </xf>
    <xf numFmtId="0" fontId="172" fillId="48" borderId="76" xfId="700" applyNumberFormat="1" applyFont="1" applyFill="1" applyBorder="1" applyAlignment="1" applyProtection="1">
      <alignment horizontal="left"/>
      <protection locked="0"/>
    </xf>
    <xf numFmtId="0" fontId="166" fillId="45" borderId="65" xfId="8736" applyFont="1" applyFill="1" applyBorder="1" applyAlignment="1">
      <alignment horizontal="center"/>
    </xf>
    <xf numFmtId="0" fontId="166" fillId="45" borderId="29" xfId="8736" applyFont="1" applyFill="1" applyBorder="1" applyAlignment="1">
      <alignment horizontal="center"/>
    </xf>
    <xf numFmtId="0" fontId="166" fillId="45" borderId="31" xfId="8736" applyFont="1" applyFill="1" applyBorder="1" applyAlignment="1">
      <alignment horizontal="center"/>
    </xf>
    <xf numFmtId="0" fontId="172" fillId="44" borderId="72" xfId="8736" applyFont="1" applyFill="1" applyBorder="1" applyAlignment="1" applyProtection="1">
      <alignment horizontal="right"/>
      <protection locked="0"/>
    </xf>
    <xf numFmtId="0" fontId="172" fillId="44" borderId="11" xfId="8736" applyFont="1" applyFill="1" applyBorder="1" applyAlignment="1" applyProtection="1">
      <alignment horizontal="right"/>
      <protection locked="0"/>
    </xf>
    <xf numFmtId="0" fontId="172" fillId="44" borderId="76" xfId="8736" applyFont="1" applyFill="1" applyBorder="1" applyAlignment="1" applyProtection="1">
      <alignment horizontal="right"/>
      <protection locked="0"/>
    </xf>
    <xf numFmtId="0" fontId="172" fillId="48" borderId="5" xfId="8736" applyFont="1" applyFill="1" applyBorder="1" applyAlignment="1" applyProtection="1">
      <alignment horizontal="left"/>
      <protection locked="0"/>
    </xf>
    <xf numFmtId="0" fontId="172" fillId="48" borderId="11" xfId="8736" applyFont="1" applyFill="1" applyBorder="1" applyAlignment="1" applyProtection="1">
      <alignment horizontal="left"/>
      <protection locked="0"/>
    </xf>
    <xf numFmtId="0" fontId="172" fillId="48" borderId="76" xfId="8736" applyFont="1" applyFill="1" applyBorder="1" applyAlignment="1" applyProtection="1">
      <alignment horizontal="left"/>
      <protection locked="0"/>
    </xf>
    <xf numFmtId="0" fontId="173" fillId="45" borderId="69" xfId="8736" applyFont="1" applyFill="1" applyBorder="1" applyAlignment="1">
      <alignment horizontal="center"/>
    </xf>
    <xf numFmtId="0" fontId="173" fillId="45" borderId="70" xfId="8736" applyFont="1" applyFill="1" applyBorder="1" applyAlignment="1">
      <alignment horizontal="center"/>
    </xf>
    <xf numFmtId="168" fontId="173" fillId="45" borderId="70" xfId="8737" applyNumberFormat="1" applyFont="1" applyFill="1" applyBorder="1" applyAlignment="1">
      <alignment horizontal="center"/>
    </xf>
    <xf numFmtId="1" fontId="173" fillId="45" borderId="70" xfId="8737" applyNumberFormat="1" applyFont="1" applyFill="1" applyBorder="1" applyAlignment="1">
      <alignment horizontal="center"/>
    </xf>
    <xf numFmtId="0" fontId="173" fillId="45" borderId="70" xfId="8737" applyNumberFormat="1" applyFont="1" applyFill="1" applyBorder="1" applyAlignment="1">
      <alignment horizontal="center"/>
    </xf>
    <xf numFmtId="0" fontId="173" fillId="45" borderId="77" xfId="8737" applyNumberFormat="1" applyFont="1" applyFill="1" applyBorder="1" applyAlignment="1">
      <alignment horizontal="center"/>
    </xf>
    <xf numFmtId="0" fontId="169" fillId="48" borderId="74" xfId="8736" applyFont="1" applyFill="1" applyBorder="1" applyAlignment="1" applyProtection="1">
      <alignment horizontal="left"/>
      <protection locked="0"/>
    </xf>
    <xf numFmtId="0" fontId="169" fillId="48" borderId="68" xfId="8736" applyFont="1" applyFill="1" applyBorder="1" applyAlignment="1" applyProtection="1">
      <alignment horizontal="left"/>
      <protection locked="0"/>
    </xf>
    <xf numFmtId="0" fontId="169" fillId="48" borderId="71" xfId="8736" applyFont="1" applyFill="1" applyBorder="1" applyAlignment="1" applyProtection="1">
      <alignment horizontal="left"/>
      <protection locked="0"/>
    </xf>
    <xf numFmtId="0" fontId="166" fillId="45" borderId="72" xfId="8736" applyFont="1" applyFill="1" applyBorder="1" applyAlignment="1">
      <alignment horizontal="center"/>
    </xf>
    <xf numFmtId="0" fontId="166" fillId="45" borderId="11" xfId="8736" applyFont="1" applyFill="1" applyBorder="1" applyAlignment="1">
      <alignment horizontal="center"/>
    </xf>
    <xf numFmtId="0" fontId="166" fillId="45" borderId="81" xfId="8736" applyFont="1" applyFill="1" applyBorder="1" applyAlignment="1">
      <alignment horizontal="center"/>
    </xf>
    <xf numFmtId="0" fontId="103" fillId="45" borderId="69" xfId="8736" applyFont="1" applyFill="1" applyBorder="1" applyAlignment="1">
      <alignment horizontal="center"/>
    </xf>
    <xf numFmtId="0" fontId="103" fillId="45" borderId="70" xfId="8736" applyFont="1" applyFill="1" applyBorder="1" applyAlignment="1">
      <alignment horizontal="center"/>
    </xf>
    <xf numFmtId="0" fontId="172" fillId="44" borderId="69" xfId="8736" applyFont="1" applyFill="1" applyBorder="1" applyAlignment="1" applyProtection="1">
      <alignment horizontal="right"/>
      <protection locked="0"/>
    </xf>
    <xf numFmtId="0" fontId="172" fillId="44" borderId="70" xfId="8736" applyFont="1" applyFill="1" applyBorder="1" applyAlignment="1" applyProtection="1">
      <alignment horizontal="right"/>
      <protection locked="0"/>
    </xf>
    <xf numFmtId="0" fontId="172" fillId="44" borderId="77" xfId="8736" applyFont="1" applyFill="1" applyBorder="1" applyAlignment="1" applyProtection="1">
      <alignment horizontal="right"/>
      <protection locked="0"/>
    </xf>
    <xf numFmtId="0" fontId="172" fillId="48" borderId="95" xfId="8736" applyFont="1" applyFill="1" applyBorder="1" applyAlignment="1" applyProtection="1">
      <alignment horizontal="left"/>
      <protection locked="0"/>
    </xf>
    <xf numFmtId="0" fontId="172" fillId="48" borderId="70" xfId="8736" applyFont="1" applyFill="1" applyBorder="1" applyAlignment="1" applyProtection="1">
      <alignment horizontal="left"/>
      <protection locked="0"/>
    </xf>
    <xf numFmtId="0" fontId="172" fillId="48" borderId="77" xfId="8736" applyFont="1" applyFill="1" applyBorder="1" applyAlignment="1" applyProtection="1">
      <alignment horizontal="left"/>
      <protection locked="0"/>
    </xf>
    <xf numFmtId="168" fontId="174" fillId="48" borderId="11" xfId="700" applyNumberFormat="1" applyFont="1" applyFill="1" applyBorder="1" applyAlignment="1" applyProtection="1">
      <alignment horizontal="left"/>
      <protection locked="0"/>
    </xf>
    <xf numFmtId="168" fontId="174" fillId="48" borderId="76" xfId="700" applyNumberFormat="1" applyFont="1" applyFill="1" applyBorder="1" applyAlignment="1" applyProtection="1">
      <alignment horizontal="left"/>
      <protection locked="0"/>
    </xf>
    <xf numFmtId="0" fontId="172" fillId="48" borderId="68" xfId="8736" applyFont="1" applyFill="1" applyBorder="1" applyAlignment="1" applyProtection="1">
      <alignment horizontal="left"/>
      <protection locked="0"/>
    </xf>
    <xf numFmtId="0" fontId="172" fillId="48" borderId="71" xfId="8736" applyFont="1" applyFill="1" applyBorder="1" applyAlignment="1" applyProtection="1">
      <alignment horizontal="left"/>
      <protection locked="0"/>
    </xf>
    <xf numFmtId="0" fontId="166" fillId="45" borderId="69" xfId="8736" applyFont="1" applyFill="1" applyBorder="1" applyAlignment="1">
      <alignment horizontal="center"/>
    </xf>
    <xf numFmtId="0" fontId="166" fillId="45" borderId="70" xfId="8736" applyFont="1" applyFill="1" applyBorder="1" applyAlignment="1">
      <alignment horizontal="center"/>
    </xf>
    <xf numFmtId="0" fontId="103" fillId="45" borderId="67" xfId="8736" applyFont="1" applyFill="1" applyBorder="1" applyAlignment="1">
      <alignment horizontal="center"/>
    </xf>
    <xf numFmtId="0" fontId="103" fillId="45" borderId="68" xfId="8736" applyFont="1" applyFill="1" applyBorder="1" applyAlignment="1">
      <alignment horizontal="center"/>
    </xf>
    <xf numFmtId="0" fontId="166" fillId="45" borderId="98" xfId="8736" applyFont="1" applyFill="1" applyBorder="1" applyAlignment="1">
      <alignment horizontal="center"/>
    </xf>
    <xf numFmtId="0" fontId="166" fillId="45" borderId="13" xfId="8736" applyFont="1" applyFill="1" applyBorder="1" applyAlignment="1">
      <alignment horizontal="center"/>
    </xf>
    <xf numFmtId="0" fontId="172" fillId="48" borderId="72" xfId="8736" applyFont="1" applyFill="1" applyBorder="1" applyAlignment="1" applyProtection="1">
      <alignment horizontal="left" vertical="top"/>
      <protection locked="0"/>
    </xf>
    <xf numFmtId="0" fontId="172" fillId="48" borderId="11" xfId="8736" applyFont="1" applyFill="1" applyBorder="1" applyAlignment="1" applyProtection="1">
      <alignment horizontal="left" vertical="top"/>
      <protection locked="0"/>
    </xf>
    <xf numFmtId="0" fontId="172" fillId="48" borderId="76" xfId="8736" applyFont="1" applyFill="1" applyBorder="1" applyAlignment="1" applyProtection="1">
      <alignment horizontal="left" vertical="top"/>
      <protection locked="0"/>
    </xf>
    <xf numFmtId="0" fontId="172" fillId="48" borderId="69" xfId="8736" applyFont="1" applyFill="1" applyBorder="1" applyAlignment="1" applyProtection="1">
      <alignment horizontal="left" vertical="top"/>
      <protection locked="0"/>
    </xf>
    <xf numFmtId="0" fontId="172" fillId="48" borderId="70" xfId="8736" applyFont="1" applyFill="1" applyBorder="1" applyAlignment="1" applyProtection="1">
      <alignment horizontal="left" vertical="top"/>
      <protection locked="0"/>
    </xf>
    <xf numFmtId="0" fontId="172" fillId="48" borderId="77" xfId="8736" applyFont="1" applyFill="1" applyBorder="1" applyAlignment="1" applyProtection="1">
      <alignment horizontal="left" vertical="top"/>
      <protection locked="0"/>
    </xf>
    <xf numFmtId="0" fontId="172" fillId="48" borderId="72" xfId="8736" applyFont="1" applyFill="1" applyBorder="1" applyAlignment="1" applyProtection="1">
      <alignment horizontal="center"/>
      <protection locked="0"/>
    </xf>
    <xf numFmtId="0" fontId="166" fillId="45" borderId="89" xfId="8736" applyFont="1" applyFill="1" applyBorder="1" applyAlignment="1">
      <alignment horizontal="right"/>
    </xf>
    <xf numFmtId="0" fontId="166" fillId="45" borderId="43" xfId="8736" applyFont="1" applyFill="1" applyBorder="1" applyAlignment="1">
      <alignment horizontal="right"/>
    </xf>
    <xf numFmtId="168" fontId="166" fillId="45" borderId="43" xfId="8736" applyNumberFormat="1" applyFont="1" applyFill="1" applyBorder="1" applyAlignment="1">
      <alignment horizontal="left"/>
    </xf>
    <xf numFmtId="168" fontId="166" fillId="45" borderId="88" xfId="8736" applyNumberFormat="1" applyFont="1" applyFill="1" applyBorder="1" applyAlignment="1">
      <alignment horizontal="left"/>
    </xf>
    <xf numFmtId="0" fontId="3" fillId="48" borderId="9" xfId="8736" applyFill="1" applyBorder="1" applyAlignment="1" applyProtection="1">
      <alignment horizontal="center"/>
      <protection locked="0"/>
    </xf>
    <xf numFmtId="0" fontId="3" fillId="48" borderId="6" xfId="8736" applyFill="1" applyBorder="1" applyAlignment="1" applyProtection="1">
      <alignment horizontal="center"/>
      <protection locked="0"/>
    </xf>
    <xf numFmtId="0" fontId="3" fillId="48" borderId="82" xfId="8736" applyFill="1" applyBorder="1" applyAlignment="1" applyProtection="1">
      <alignment horizontal="center"/>
      <protection locked="0"/>
    </xf>
    <xf numFmtId="0" fontId="103" fillId="45" borderId="67" xfId="8736" applyFont="1" applyFill="1" applyBorder="1" applyAlignment="1">
      <alignment horizontal="center" wrapText="1"/>
    </xf>
    <xf numFmtId="0" fontId="103" fillId="45" borderId="68" xfId="8736" applyFont="1" applyFill="1" applyBorder="1" applyAlignment="1">
      <alignment horizontal="center" wrapText="1"/>
    </xf>
    <xf numFmtId="0" fontId="103" fillId="45" borderId="71" xfId="8736" applyFont="1" applyFill="1" applyBorder="1" applyAlignment="1">
      <alignment horizontal="center" wrapText="1"/>
    </xf>
    <xf numFmtId="0" fontId="103" fillId="45" borderId="67" xfId="8736" applyFont="1" applyFill="1" applyBorder="1" applyAlignment="1">
      <alignment horizontal="left" wrapText="1"/>
    </xf>
    <xf numFmtId="0" fontId="103" fillId="45" borderId="68" xfId="8736" applyFont="1" applyFill="1" applyBorder="1" applyAlignment="1">
      <alignment horizontal="left" wrapText="1"/>
    </xf>
    <xf numFmtId="0" fontId="103" fillId="45" borderId="72" xfId="8736" applyFont="1" applyFill="1" applyBorder="1" applyAlignment="1">
      <alignment horizontal="left" wrapText="1"/>
    </xf>
    <xf numFmtId="0" fontId="103" fillId="45" borderId="11" xfId="8736" applyFont="1" applyFill="1" applyBorder="1" applyAlignment="1">
      <alignment horizontal="left" wrapText="1"/>
    </xf>
    <xf numFmtId="0" fontId="169" fillId="48" borderId="68" xfId="8736" applyFont="1" applyFill="1" applyBorder="1" applyAlignment="1" applyProtection="1">
      <alignment horizontal="left" wrapText="1"/>
      <protection locked="0"/>
    </xf>
    <xf numFmtId="0" fontId="169" fillId="48" borderId="71" xfId="8736" applyFont="1" applyFill="1" applyBorder="1" applyAlignment="1" applyProtection="1">
      <alignment horizontal="left" wrapText="1"/>
      <protection locked="0"/>
    </xf>
    <xf numFmtId="0" fontId="169" fillId="48" borderId="11" xfId="8736" applyFont="1" applyFill="1" applyBorder="1" applyAlignment="1" applyProtection="1">
      <alignment horizontal="left" wrapText="1"/>
      <protection locked="0"/>
    </xf>
    <xf numFmtId="0" fontId="169" fillId="48" borderId="76" xfId="8736" applyFont="1" applyFill="1" applyBorder="1" applyAlignment="1" applyProtection="1">
      <alignment horizontal="left" wrapText="1"/>
      <protection locked="0"/>
    </xf>
    <xf numFmtId="0" fontId="173" fillId="45" borderId="11" xfId="8736" applyFont="1" applyFill="1" applyBorder="1" applyAlignment="1">
      <alignment horizontal="center" wrapText="1"/>
    </xf>
    <xf numFmtId="0" fontId="165" fillId="45" borderId="11" xfId="8736" applyFont="1" applyFill="1" applyBorder="1" applyAlignment="1">
      <alignment horizontal="center"/>
    </xf>
    <xf numFmtId="0" fontId="165" fillId="45" borderId="76" xfId="8736" applyFont="1" applyFill="1" applyBorder="1" applyAlignment="1">
      <alignment horizontal="center"/>
    </xf>
    <xf numFmtId="0" fontId="3" fillId="48" borderId="70" xfId="8736" applyFill="1" applyBorder="1" applyAlignment="1" applyProtection="1">
      <alignment horizontal="center"/>
      <protection locked="0"/>
    </xf>
    <xf numFmtId="0" fontId="3" fillId="48" borderId="77" xfId="8736" applyFill="1" applyBorder="1" applyAlignment="1" applyProtection="1">
      <alignment horizontal="center"/>
      <protection locked="0"/>
    </xf>
    <xf numFmtId="0" fontId="3" fillId="48" borderId="11" xfId="8736" applyFill="1" applyBorder="1" applyAlignment="1" applyProtection="1">
      <alignment horizontal="center"/>
      <protection locked="0"/>
    </xf>
    <xf numFmtId="0" fontId="3" fillId="48" borderId="76" xfId="8736" applyFill="1" applyBorder="1" applyAlignment="1" applyProtection="1">
      <alignment horizontal="center"/>
      <protection locked="0"/>
    </xf>
    <xf numFmtId="0" fontId="169" fillId="48" borderId="3" xfId="8736" applyFont="1" applyFill="1" applyBorder="1" applyAlignment="1" applyProtection="1">
      <alignment horizontal="center"/>
      <protection locked="0"/>
    </xf>
    <xf numFmtId="0" fontId="169" fillId="48" borderId="4" xfId="8736" applyFont="1" applyFill="1" applyBorder="1" applyAlignment="1" applyProtection="1">
      <alignment horizontal="center"/>
      <protection locked="0"/>
    </xf>
    <xf numFmtId="0" fontId="169" fillId="48" borderId="81" xfId="8736" applyFont="1" applyFill="1" applyBorder="1" applyAlignment="1" applyProtection="1">
      <alignment horizontal="center"/>
      <protection locked="0"/>
    </xf>
    <xf numFmtId="0" fontId="103" fillId="45" borderId="71" xfId="8736" applyFont="1" applyFill="1" applyBorder="1" applyAlignment="1">
      <alignment horizontal="center"/>
    </xf>
    <xf numFmtId="0" fontId="103" fillId="45" borderId="67" xfId="8736" applyFont="1" applyFill="1" applyBorder="1" applyAlignment="1" applyProtection="1">
      <alignment horizontal="left" vertical="center" wrapText="1"/>
      <protection locked="0"/>
    </xf>
    <xf numFmtId="0" fontId="103" fillId="45" borderId="68" xfId="8736" applyFont="1" applyFill="1" applyBorder="1" applyAlignment="1" applyProtection="1">
      <alignment horizontal="left" vertical="center" wrapText="1"/>
      <protection locked="0"/>
    </xf>
    <xf numFmtId="0" fontId="103" fillId="45" borderId="72" xfId="8736" applyFont="1" applyFill="1" applyBorder="1" applyAlignment="1" applyProtection="1">
      <alignment horizontal="left" vertical="center" wrapText="1"/>
      <protection locked="0"/>
    </xf>
    <xf numFmtId="0" fontId="103" fillId="45" borderId="11" xfId="8736" applyFont="1" applyFill="1" applyBorder="1" applyAlignment="1" applyProtection="1">
      <alignment horizontal="left" vertical="center" wrapText="1"/>
      <protection locked="0"/>
    </xf>
    <xf numFmtId="0" fontId="169" fillId="48" borderId="68" xfId="8736" applyFont="1" applyFill="1" applyBorder="1" applyAlignment="1" applyProtection="1">
      <alignment horizontal="left" vertical="center" wrapText="1"/>
      <protection locked="0"/>
    </xf>
    <xf numFmtId="0" fontId="169" fillId="48" borderId="71" xfId="8736" applyFont="1" applyFill="1" applyBorder="1" applyAlignment="1" applyProtection="1">
      <alignment horizontal="left" vertical="center" wrapText="1"/>
      <protection locked="0"/>
    </xf>
    <xf numFmtId="0" fontId="169" fillId="48" borderId="11" xfId="8736" applyFont="1" applyFill="1" applyBorder="1" applyAlignment="1" applyProtection="1">
      <alignment horizontal="left" vertical="center" wrapText="1"/>
      <protection locked="0"/>
    </xf>
    <xf numFmtId="0" fontId="169" fillId="48" borderId="76" xfId="8736" applyFont="1" applyFill="1" applyBorder="1" applyAlignment="1" applyProtection="1">
      <alignment horizontal="left" vertical="center" wrapText="1"/>
      <protection locked="0"/>
    </xf>
    <xf numFmtId="0" fontId="172" fillId="48" borderId="72" xfId="8736" applyFont="1" applyFill="1" applyBorder="1" applyAlignment="1" applyProtection="1">
      <alignment horizontal="left" vertical="top" wrapText="1"/>
      <protection locked="0"/>
    </xf>
    <xf numFmtId="0" fontId="172" fillId="48" borderId="11" xfId="8736" applyFont="1" applyFill="1" applyBorder="1" applyAlignment="1" applyProtection="1">
      <alignment horizontal="left" vertical="top" wrapText="1"/>
      <protection locked="0"/>
    </xf>
    <xf numFmtId="0" fontId="172" fillId="48" borderId="69" xfId="8736" applyFont="1" applyFill="1" applyBorder="1" applyAlignment="1" applyProtection="1">
      <alignment horizontal="left" vertical="top" wrapText="1"/>
      <protection locked="0"/>
    </xf>
    <xf numFmtId="0" fontId="172" fillId="48" borderId="70" xfId="8736" applyFont="1" applyFill="1" applyBorder="1" applyAlignment="1" applyProtection="1">
      <alignment horizontal="left" vertical="top" wrapText="1"/>
      <protection locked="0"/>
    </xf>
    <xf numFmtId="0" fontId="169" fillId="48" borderId="11" xfId="8736" applyFont="1" applyFill="1" applyBorder="1" applyAlignment="1" applyProtection="1">
      <alignment horizontal="center" vertical="center" wrapText="1"/>
      <protection locked="0"/>
    </xf>
    <xf numFmtId="0" fontId="169" fillId="48" borderId="76" xfId="8736" applyFont="1" applyFill="1" applyBorder="1" applyAlignment="1" applyProtection="1">
      <alignment horizontal="center" vertical="center" wrapText="1"/>
      <protection locked="0"/>
    </xf>
    <xf numFmtId="0" fontId="169" fillId="48" borderId="70" xfId="8736" applyFont="1" applyFill="1" applyBorder="1" applyAlignment="1" applyProtection="1">
      <alignment horizontal="center" vertical="center" wrapText="1"/>
      <protection locked="0"/>
    </xf>
    <xf numFmtId="0" fontId="169" fillId="48" borderId="77" xfId="8736" applyFont="1" applyFill="1" applyBorder="1" applyAlignment="1" applyProtection="1">
      <alignment horizontal="center" vertical="center" wrapText="1"/>
      <protection locked="0"/>
    </xf>
    <xf numFmtId="0" fontId="176" fillId="45" borderId="72" xfId="8736" applyFont="1" applyFill="1" applyBorder="1" applyAlignment="1">
      <alignment horizontal="left"/>
    </xf>
    <xf numFmtId="0" fontId="176" fillId="45" borderId="11" xfId="8736" applyFont="1" applyFill="1" applyBorder="1" applyAlignment="1">
      <alignment horizontal="left"/>
    </xf>
    <xf numFmtId="0" fontId="176" fillId="45" borderId="69" xfId="8736" applyFont="1" applyFill="1" applyBorder="1" applyAlignment="1">
      <alignment horizontal="left"/>
    </xf>
    <xf numFmtId="0" fontId="176" fillId="45" borderId="70" xfId="8736" applyFont="1" applyFill="1" applyBorder="1" applyAlignment="1">
      <alignment horizontal="left"/>
    </xf>
    <xf numFmtId="0" fontId="3" fillId="51" borderId="70" xfId="8736" applyFill="1" applyBorder="1" applyAlignment="1" applyProtection="1">
      <alignment horizontal="center"/>
      <protection locked="0"/>
    </xf>
    <xf numFmtId="0" fontId="3" fillId="51" borderId="77" xfId="8736" applyFill="1" applyBorder="1" applyAlignment="1" applyProtection="1">
      <alignment horizontal="center"/>
      <protection locked="0"/>
    </xf>
    <xf numFmtId="0" fontId="103" fillId="45" borderId="71" xfId="8736" applyFont="1" applyFill="1" applyBorder="1" applyAlignment="1">
      <alignment horizontal="left" wrapText="1"/>
    </xf>
    <xf numFmtId="0" fontId="103" fillId="45" borderId="76" xfId="8736" applyFont="1" applyFill="1" applyBorder="1" applyAlignment="1">
      <alignment horizontal="left" wrapText="1"/>
    </xf>
    <xf numFmtId="0" fontId="103" fillId="45" borderId="65" xfId="8736" applyFont="1" applyFill="1" applyBorder="1" applyAlignment="1">
      <alignment horizontal="center"/>
    </xf>
    <xf numFmtId="0" fontId="103" fillId="45" borderId="29" xfId="8736" applyFont="1" applyFill="1" applyBorder="1" applyAlignment="1">
      <alignment horizontal="center"/>
    </xf>
    <xf numFmtId="0" fontId="103" fillId="45" borderId="31" xfId="8736" applyFont="1" applyFill="1" applyBorder="1" applyAlignment="1">
      <alignment horizontal="center"/>
    </xf>
    <xf numFmtId="0" fontId="165" fillId="48" borderId="90" xfId="8736" applyFont="1" applyFill="1" applyBorder="1" applyAlignment="1">
      <alignment horizontal="left"/>
    </xf>
    <xf numFmtId="0" fontId="165" fillId="48" borderId="4" xfId="8736" applyFont="1" applyFill="1" applyBorder="1" applyAlignment="1">
      <alignment horizontal="left"/>
    </xf>
    <xf numFmtId="0" fontId="165" fillId="48" borderId="5" xfId="8736" applyFont="1" applyFill="1" applyBorder="1" applyAlignment="1">
      <alignment horizontal="left"/>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177" fillId="48" borderId="11" xfId="8736" applyFont="1" applyFill="1" applyBorder="1" applyAlignment="1" applyProtection="1">
      <alignment horizontal="left"/>
      <protection locked="0"/>
    </xf>
    <xf numFmtId="0" fontId="177" fillId="48" borderId="76" xfId="8736" applyFont="1" applyFill="1" applyBorder="1" applyAlignment="1" applyProtection="1">
      <alignment horizontal="left"/>
      <protection locked="0"/>
    </xf>
    <xf numFmtId="0" fontId="174" fillId="48" borderId="72" xfId="8736" applyFont="1" applyFill="1" applyBorder="1" applyAlignment="1" applyProtection="1">
      <alignment horizontal="left" vertical="top"/>
      <protection locked="0"/>
    </xf>
    <xf numFmtId="0" fontId="174" fillId="48" borderId="11" xfId="8736" applyFont="1" applyFill="1" applyBorder="1" applyAlignment="1" applyProtection="1">
      <alignment horizontal="left" vertical="top"/>
      <protection locked="0"/>
    </xf>
    <xf numFmtId="0" fontId="174" fillId="48" borderId="76" xfId="8736" applyFont="1" applyFill="1" applyBorder="1" applyAlignment="1" applyProtection="1">
      <alignment horizontal="left" vertical="top"/>
      <protection locked="0"/>
    </xf>
    <xf numFmtId="0" fontId="174" fillId="48" borderId="69" xfId="8736" applyFont="1" applyFill="1" applyBorder="1" applyAlignment="1" applyProtection="1">
      <alignment horizontal="left" vertical="top"/>
      <protection locked="0"/>
    </xf>
    <xf numFmtId="0" fontId="174" fillId="48" borderId="70" xfId="8736" applyFont="1" applyFill="1" applyBorder="1" applyAlignment="1" applyProtection="1">
      <alignment horizontal="left" vertical="top"/>
      <protection locked="0"/>
    </xf>
    <xf numFmtId="0" fontId="174" fillId="48" borderId="77" xfId="8736" applyFont="1" applyFill="1" applyBorder="1" applyAlignment="1" applyProtection="1">
      <alignment horizontal="left" vertical="top"/>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03" fillId="45" borderId="72" xfId="8736" applyFont="1" applyFill="1" applyBorder="1" applyAlignment="1">
      <alignment horizontal="center"/>
    </xf>
    <xf numFmtId="0" fontId="103" fillId="45" borderId="11" xfId="8736" applyFont="1" applyFill="1" applyBorder="1" applyAlignment="1">
      <alignment horizontal="center"/>
    </xf>
    <xf numFmtId="0" fontId="165" fillId="45" borderId="11" xfId="8736" applyFont="1" applyFill="1" applyBorder="1" applyAlignment="1">
      <alignment horizontal="center" wrapText="1"/>
    </xf>
    <xf numFmtId="0" fontId="165" fillId="45" borderId="76" xfId="8736" applyFont="1" applyFill="1" applyBorder="1" applyAlignment="1">
      <alignment horizontal="center" wrapText="1"/>
    </xf>
    <xf numFmtId="0" fontId="179" fillId="45" borderId="11" xfId="8736" applyFont="1" applyFill="1" applyBorder="1" applyAlignment="1">
      <alignment horizontal="left"/>
    </xf>
    <xf numFmtId="0" fontId="179" fillId="45" borderId="76" xfId="8736" applyFont="1" applyFill="1" applyBorder="1" applyAlignment="1">
      <alignment horizontal="left"/>
    </xf>
    <xf numFmtId="0" fontId="171" fillId="45" borderId="72" xfId="8736" applyFont="1" applyFill="1" applyBorder="1" applyAlignment="1">
      <alignment horizontal="center"/>
    </xf>
    <xf numFmtId="0" fontId="171" fillId="45" borderId="11" xfId="8736" applyFont="1" applyFill="1" applyBorder="1" applyAlignment="1">
      <alignment horizontal="center"/>
    </xf>
    <xf numFmtId="0" fontId="174" fillId="48" borderId="11" xfId="8736" applyFont="1" applyFill="1" applyBorder="1" applyAlignment="1" applyProtection="1">
      <alignment horizontal="center"/>
      <protection locked="0"/>
    </xf>
    <xf numFmtId="14" fontId="172" fillId="48" borderId="11" xfId="8736" applyNumberFormat="1" applyFont="1" applyFill="1" applyBorder="1" applyAlignment="1" applyProtection="1">
      <alignment horizontal="center"/>
      <protection locked="0"/>
    </xf>
    <xf numFmtId="14" fontId="174" fillId="48" borderId="11" xfId="8736" applyNumberFormat="1" applyFont="1" applyFill="1" applyBorder="1" applyAlignment="1" applyProtection="1">
      <alignment horizontal="center"/>
      <protection locked="0"/>
    </xf>
    <xf numFmtId="0" fontId="103" fillId="45" borderId="76" xfId="8736" applyFont="1" applyFill="1" applyBorder="1" applyAlignment="1">
      <alignment horizontal="center"/>
    </xf>
    <xf numFmtId="168" fontId="174" fillId="48" borderId="11" xfId="8737" applyNumberFormat="1" applyFont="1" applyFill="1" applyBorder="1" applyAlignment="1" applyProtection="1">
      <alignment horizontal="center"/>
      <protection locked="0"/>
    </xf>
    <xf numFmtId="168" fontId="174" fillId="48" borderId="76" xfId="8737" applyNumberFormat="1" applyFont="1" applyFill="1" applyBorder="1" applyAlignment="1" applyProtection="1">
      <alignment horizontal="center"/>
      <protection locked="0"/>
    </xf>
    <xf numFmtId="0" fontId="175" fillId="48" borderId="11" xfId="8736" applyFont="1" applyFill="1" applyBorder="1" applyAlignment="1" applyProtection="1">
      <alignment horizontal="left"/>
      <protection locked="0"/>
    </xf>
    <xf numFmtId="0" fontId="171" fillId="45" borderId="69" xfId="8736" applyFont="1" applyFill="1" applyBorder="1" applyAlignment="1">
      <alignment horizontal="center"/>
    </xf>
    <xf numFmtId="0" fontId="171" fillId="45" borderId="70" xfId="8736" applyFont="1" applyFill="1" applyBorder="1" applyAlignment="1">
      <alignment horizontal="center"/>
    </xf>
    <xf numFmtId="0" fontId="175" fillId="48" borderId="70" xfId="8736" applyFont="1" applyFill="1" applyBorder="1" applyAlignment="1" applyProtection="1">
      <alignment horizontal="left"/>
      <protection locked="0"/>
    </xf>
    <xf numFmtId="0" fontId="174" fillId="48" borderId="70" xfId="8736" applyFont="1" applyFill="1" applyBorder="1" applyAlignment="1" applyProtection="1">
      <alignment horizontal="center"/>
      <protection locked="0"/>
    </xf>
    <xf numFmtId="14" fontId="174" fillId="48" borderId="70" xfId="8736" applyNumberFormat="1" applyFont="1" applyFill="1" applyBorder="1" applyAlignment="1" applyProtection="1">
      <alignment horizontal="center"/>
      <protection locked="0"/>
    </xf>
    <xf numFmtId="168" fontId="174" fillId="48" borderId="70" xfId="8737" applyNumberFormat="1" applyFont="1" applyFill="1" applyBorder="1" applyAlignment="1" applyProtection="1">
      <alignment horizontal="center"/>
      <protection locked="0"/>
    </xf>
    <xf numFmtId="168" fontId="174" fillId="48" borderId="77" xfId="8737" applyNumberFormat="1" applyFont="1" applyFill="1" applyBorder="1" applyAlignment="1" applyProtection="1">
      <alignment horizontal="center"/>
      <protection locked="0"/>
    </xf>
    <xf numFmtId="0" fontId="166" fillId="45" borderId="67" xfId="8736" applyFont="1" applyFill="1" applyBorder="1" applyAlignment="1">
      <alignment horizontal="left"/>
    </xf>
    <xf numFmtId="0" fontId="166" fillId="45" borderId="68" xfId="8736" applyFont="1" applyFill="1" applyBorder="1" applyAlignment="1">
      <alignment horizontal="left"/>
    </xf>
    <xf numFmtId="0" fontId="166" fillId="45" borderId="71" xfId="8736" applyFont="1" applyFill="1" applyBorder="1" applyAlignment="1">
      <alignment horizontal="left"/>
    </xf>
    <xf numFmtId="14" fontId="172" fillId="48" borderId="76" xfId="8736" applyNumberFormat="1" applyFont="1" applyFill="1" applyBorder="1" applyAlignment="1" applyProtection="1">
      <alignment horizontal="center"/>
      <protection locked="0"/>
    </xf>
    <xf numFmtId="0" fontId="172" fillId="48" borderId="69" xfId="8736" applyFont="1" applyFill="1" applyBorder="1" applyAlignment="1" applyProtection="1">
      <alignment horizontal="center"/>
      <protection locked="0"/>
    </xf>
    <xf numFmtId="0" fontId="172" fillId="48" borderId="70" xfId="8736" applyFont="1" applyFill="1" applyBorder="1" applyAlignment="1" applyProtection="1">
      <alignment horizontal="center"/>
      <protection locked="0"/>
    </xf>
    <xf numFmtId="14" fontId="172" fillId="48" borderId="70" xfId="8736" applyNumberFormat="1" applyFont="1" applyFill="1" applyBorder="1" applyAlignment="1" applyProtection="1">
      <alignment horizontal="center"/>
      <protection locked="0"/>
    </xf>
    <xf numFmtId="14" fontId="172" fillId="48" borderId="77" xfId="8736" applyNumberFormat="1" applyFont="1" applyFill="1" applyBorder="1" applyAlignment="1" applyProtection="1">
      <alignment horizontal="center"/>
      <protection locked="0"/>
    </xf>
    <xf numFmtId="0" fontId="172" fillId="45" borderId="72" xfId="8736" applyFont="1" applyFill="1" applyBorder="1" applyAlignment="1">
      <alignment horizontal="right"/>
    </xf>
    <xf numFmtId="0" fontId="172" fillId="45" borderId="11" xfId="8736" applyFont="1" applyFill="1" applyBorder="1" applyAlignment="1">
      <alignment horizontal="right"/>
    </xf>
    <xf numFmtId="168" fontId="174" fillId="44" borderId="11" xfId="700" applyNumberFormat="1" applyFont="1" applyFill="1" applyBorder="1" applyAlignment="1">
      <alignment horizontal="left"/>
    </xf>
    <xf numFmtId="0" fontId="103" fillId="45" borderId="65" xfId="8736" applyFont="1" applyFill="1" applyBorder="1" applyAlignment="1">
      <alignment horizontal="left" wrapText="1"/>
    </xf>
    <xf numFmtId="0" fontId="103" fillId="45" borderId="29" xfId="8736" applyFont="1" applyFill="1" applyBorder="1" applyAlignment="1">
      <alignment horizontal="left" wrapText="1"/>
    </xf>
    <xf numFmtId="0" fontId="103" fillId="45" borderId="31" xfId="8736" applyFont="1" applyFill="1" applyBorder="1" applyAlignment="1">
      <alignment horizontal="left" wrapText="1"/>
    </xf>
    <xf numFmtId="0" fontId="103" fillId="45" borderId="73" xfId="8736" applyFont="1" applyFill="1" applyBorder="1" applyAlignment="1">
      <alignment horizontal="left" wrapText="1"/>
    </xf>
    <xf numFmtId="0" fontId="103" fillId="45" borderId="42" xfId="8736" applyFont="1" applyFill="1" applyBorder="1" applyAlignment="1">
      <alignment horizontal="left" wrapText="1"/>
    </xf>
    <xf numFmtId="0" fontId="103" fillId="45" borderId="44" xfId="8736" applyFont="1" applyFill="1" applyBorder="1" applyAlignment="1">
      <alignment horizontal="left" wrapText="1"/>
    </xf>
    <xf numFmtId="168" fontId="172" fillId="48" borderId="11" xfId="700" applyNumberFormat="1" applyFont="1" applyFill="1" applyBorder="1" applyAlignment="1" applyProtection="1">
      <alignment horizontal="left"/>
      <protection locked="0"/>
    </xf>
    <xf numFmtId="43" fontId="169" fillId="50" borderId="72" xfId="698" applyFont="1" applyFill="1" applyBorder="1" applyAlignment="1" applyProtection="1">
      <alignment horizontal="left"/>
      <protection hidden="1"/>
    </xf>
    <xf numFmtId="43" fontId="169" fillId="50" borderId="11" xfId="698" applyFont="1" applyFill="1" applyBorder="1" applyAlignment="1" applyProtection="1">
      <alignment horizontal="left"/>
      <protection hidden="1"/>
    </xf>
    <xf numFmtId="44" fontId="3" fillId="48" borderId="11" xfId="700" applyFont="1" applyFill="1" applyBorder="1" applyAlignment="1" applyProtection="1">
      <alignment horizontal="center"/>
      <protection locked="0"/>
    </xf>
    <xf numFmtId="0" fontId="103" fillId="47" borderId="0" xfId="8736" applyFont="1" applyFill="1" applyAlignment="1">
      <alignment horizontal="center"/>
    </xf>
    <xf numFmtId="0" fontId="173" fillId="51" borderId="11" xfId="8736" applyFont="1" applyFill="1" applyBorder="1" applyAlignment="1">
      <alignment horizontal="center"/>
    </xf>
    <xf numFmtId="0" fontId="173" fillId="51" borderId="76" xfId="8736" applyFont="1" applyFill="1" applyBorder="1" applyAlignment="1">
      <alignment horizontal="center"/>
    </xf>
    <xf numFmtId="0" fontId="174" fillId="45" borderId="72" xfId="8736" applyFont="1" applyFill="1" applyBorder="1" applyAlignment="1">
      <alignment horizontal="right"/>
    </xf>
    <xf numFmtId="0" fontId="174" fillId="45" borderId="11" xfId="8736" applyFont="1" applyFill="1" applyBorder="1" applyAlignment="1">
      <alignment horizontal="right"/>
    </xf>
    <xf numFmtId="168" fontId="172" fillId="44" borderId="11" xfId="700" applyNumberFormat="1" applyFont="1" applyFill="1" applyBorder="1" applyAlignment="1" applyProtection="1">
      <alignment horizontal="left"/>
      <protection locked="0"/>
    </xf>
    <xf numFmtId="0" fontId="3" fillId="48" borderId="3" xfId="8736" applyFill="1" applyBorder="1" applyAlignment="1">
      <alignment horizontal="center"/>
    </xf>
    <xf numFmtId="0" fontId="3" fillId="48" borderId="4" xfId="8736" applyFill="1" applyBorder="1" applyAlignment="1">
      <alignment horizontal="center"/>
    </xf>
    <xf numFmtId="0" fontId="3" fillId="48" borderId="81" xfId="8736" applyFill="1" applyBorder="1" applyAlignment="1">
      <alignment horizontal="center"/>
    </xf>
    <xf numFmtId="43" fontId="166" fillId="50" borderId="111" xfId="698" applyFont="1" applyFill="1" applyBorder="1" applyAlignment="1" applyProtection="1">
      <alignment horizontal="center"/>
      <protection hidden="1"/>
    </xf>
    <xf numFmtId="43" fontId="166" fillId="50" borderId="84" xfId="698" applyFont="1" applyFill="1" applyBorder="1" applyAlignment="1" applyProtection="1">
      <alignment horizontal="center"/>
      <protection hidden="1"/>
    </xf>
    <xf numFmtId="43" fontId="166" fillId="50" borderId="102" xfId="698" applyFont="1" applyFill="1" applyBorder="1" applyAlignment="1" applyProtection="1">
      <alignment horizontal="center"/>
      <protection hidden="1"/>
    </xf>
    <xf numFmtId="43" fontId="169" fillId="50" borderId="98" xfId="698" applyFont="1" applyFill="1" applyBorder="1" applyAlignment="1" applyProtection="1">
      <alignment horizontal="left"/>
      <protection hidden="1"/>
    </xf>
    <xf numFmtId="43" fontId="169" fillId="50" borderId="13" xfId="698" applyFont="1" applyFill="1" applyBorder="1" applyAlignment="1" applyProtection="1">
      <alignment horizontal="left"/>
      <protection hidden="1"/>
    </xf>
    <xf numFmtId="44" fontId="3" fillId="48" borderId="13" xfId="700" applyFont="1" applyFill="1" applyBorder="1" applyAlignment="1" applyProtection="1">
      <alignment horizontal="center"/>
      <protection locked="0"/>
    </xf>
    <xf numFmtId="0" fontId="172" fillId="48" borderId="9" xfId="8736" applyFont="1" applyFill="1" applyBorder="1" applyAlignment="1">
      <alignment horizontal="center"/>
    </xf>
    <xf numFmtId="0" fontId="172" fillId="48" borderId="6" xfId="8736" applyFont="1" applyFill="1" applyBorder="1" applyAlignment="1">
      <alignment horizontal="center"/>
    </xf>
    <xf numFmtId="0" fontId="172" fillId="48" borderId="82" xfId="8736" applyFont="1" applyFill="1" applyBorder="1" applyAlignment="1">
      <alignment horizontal="center"/>
    </xf>
    <xf numFmtId="0" fontId="174" fillId="48" borderId="11" xfId="8736" applyFont="1" applyFill="1" applyBorder="1" applyAlignment="1" applyProtection="1">
      <alignment horizontal="left"/>
      <protection locked="0"/>
    </xf>
    <xf numFmtId="0" fontId="3" fillId="48" borderId="1" xfId="8736" applyFill="1" applyBorder="1" applyAlignment="1">
      <alignment horizontal="center"/>
    </xf>
    <xf numFmtId="0" fontId="3" fillId="48" borderId="2" xfId="8736" applyFill="1" applyBorder="1" applyAlignment="1">
      <alignment horizontal="center"/>
    </xf>
    <xf numFmtId="0" fontId="3" fillId="48" borderId="112" xfId="8736" applyFill="1" applyBorder="1" applyAlignment="1">
      <alignment horizontal="center"/>
    </xf>
    <xf numFmtId="0" fontId="174" fillId="48" borderId="72" xfId="8736" applyFont="1" applyFill="1" applyBorder="1" applyAlignment="1" applyProtection="1">
      <alignment horizontal="center"/>
      <protection locked="0"/>
    </xf>
    <xf numFmtId="43" fontId="169" fillId="50" borderId="72" xfId="698" applyFont="1" applyFill="1" applyBorder="1" applyAlignment="1" applyProtection="1">
      <alignment horizontal="left" wrapText="1"/>
      <protection hidden="1"/>
    </xf>
    <xf numFmtId="43" fontId="169" fillId="50" borderId="11" xfId="698" applyFont="1" applyFill="1" applyBorder="1" applyAlignment="1" applyProtection="1">
      <alignment horizontal="left" wrapText="1"/>
      <protection hidden="1"/>
    </xf>
    <xf numFmtId="44" fontId="3" fillId="48" borderId="11" xfId="700" applyFont="1" applyFill="1" applyBorder="1" applyAlignment="1" applyProtection="1">
      <alignment horizontal="center"/>
      <protection hidden="1"/>
    </xf>
    <xf numFmtId="0" fontId="174" fillId="45" borderId="67" xfId="8736" applyFont="1" applyFill="1" applyBorder="1" applyAlignment="1">
      <alignment horizontal="right"/>
    </xf>
    <xf numFmtId="0" fontId="174" fillId="45" borderId="68" xfId="8736" applyFont="1" applyFill="1" applyBorder="1" applyAlignment="1">
      <alignment horizontal="right"/>
    </xf>
    <xf numFmtId="168" fontId="169" fillId="44" borderId="68" xfId="700" applyNumberFormat="1" applyFont="1" applyFill="1" applyBorder="1" applyAlignment="1">
      <alignment horizontal="left"/>
    </xf>
    <xf numFmtId="168" fontId="169" fillId="44" borderId="71" xfId="700" applyNumberFormat="1" applyFont="1" applyFill="1" applyBorder="1" applyAlignment="1">
      <alignment horizontal="left"/>
    </xf>
    <xf numFmtId="0" fontId="171" fillId="48" borderId="66" xfId="8736" applyFont="1" applyFill="1" applyBorder="1" applyAlignment="1">
      <alignment horizontal="left" wrapText="1"/>
    </xf>
    <xf numFmtId="0" fontId="171" fillId="48" borderId="0" xfId="8736" applyFont="1" applyFill="1" applyAlignment="1">
      <alignment horizontal="left" wrapText="1"/>
    </xf>
    <xf numFmtId="0" fontId="171" fillId="48" borderId="41" xfId="8736" applyFont="1" applyFill="1" applyBorder="1" applyAlignment="1">
      <alignment horizontal="left" wrapText="1"/>
    </xf>
    <xf numFmtId="0" fontId="171" fillId="48" borderId="73" xfId="8736" applyFont="1" applyFill="1" applyBorder="1" applyAlignment="1">
      <alignment horizontal="left" wrapText="1"/>
    </xf>
    <xf numFmtId="0" fontId="171" fillId="48" borderId="42" xfId="8736" applyFont="1" applyFill="1" applyBorder="1" applyAlignment="1">
      <alignment horizontal="left" wrapText="1"/>
    </xf>
    <xf numFmtId="0" fontId="171" fillId="48" borderId="44" xfId="8736" applyFont="1" applyFill="1" applyBorder="1" applyAlignment="1">
      <alignment horizontal="left" wrapText="1"/>
    </xf>
    <xf numFmtId="0" fontId="173" fillId="45" borderId="69" xfId="8736" applyFont="1" applyFill="1" applyBorder="1" applyAlignment="1">
      <alignment horizontal="right"/>
    </xf>
    <xf numFmtId="0" fontId="173" fillId="45" borderId="70" xfId="8736" applyFont="1" applyFill="1" applyBorder="1" applyAlignment="1">
      <alignment horizontal="right"/>
    </xf>
    <xf numFmtId="0" fontId="165" fillId="44" borderId="70" xfId="700" applyNumberFormat="1" applyFont="1" applyFill="1" applyBorder="1" applyAlignment="1">
      <alignment horizontal="left"/>
    </xf>
    <xf numFmtId="168" fontId="165" fillId="44" borderId="70" xfId="700" applyNumberFormat="1" applyFont="1" applyFill="1" applyBorder="1" applyAlignment="1">
      <alignment horizontal="left"/>
    </xf>
    <xf numFmtId="168" fontId="165" fillId="44" borderId="77" xfId="700" applyNumberFormat="1" applyFont="1" applyFill="1" applyBorder="1" applyAlignment="1">
      <alignment horizontal="left"/>
    </xf>
    <xf numFmtId="0" fontId="166" fillId="47" borderId="0" xfId="8736" applyFont="1" applyFill="1" applyAlignment="1">
      <alignment horizontal="right"/>
    </xf>
    <xf numFmtId="168" fontId="170" fillId="47" borderId="0" xfId="700" applyNumberFormat="1" applyFont="1" applyFill="1" applyBorder="1" applyAlignment="1" applyProtection="1">
      <alignment horizontal="left"/>
      <protection locked="0"/>
    </xf>
    <xf numFmtId="0" fontId="172" fillId="48" borderId="87" xfId="8736" applyFont="1" applyFill="1" applyBorder="1" applyAlignment="1" applyProtection="1">
      <alignment horizontal="center"/>
      <protection locked="0"/>
    </xf>
    <xf numFmtId="0" fontId="172" fillId="48" borderId="86" xfId="8736" applyFont="1" applyFill="1" applyBorder="1" applyAlignment="1" applyProtection="1">
      <alignment horizontal="center"/>
      <protection locked="0"/>
    </xf>
    <xf numFmtId="0" fontId="174" fillId="48" borderId="70" xfId="8736" applyFont="1" applyFill="1" applyBorder="1" applyAlignment="1" applyProtection="1">
      <alignment horizontal="left"/>
      <protection locked="0"/>
    </xf>
    <xf numFmtId="0" fontId="174" fillId="48" borderId="77" xfId="8736" applyFont="1" applyFill="1" applyBorder="1" applyAlignment="1" applyProtection="1">
      <alignment horizontal="left"/>
      <protection locked="0"/>
    </xf>
    <xf numFmtId="168" fontId="172" fillId="48" borderId="86" xfId="700" applyNumberFormat="1" applyFont="1" applyFill="1" applyBorder="1" applyAlignment="1" applyProtection="1">
      <alignment horizontal="left"/>
      <protection locked="0"/>
    </xf>
    <xf numFmtId="168" fontId="172" fillId="48" borderId="85" xfId="700" applyNumberFormat="1" applyFont="1" applyFill="1" applyBorder="1" applyAlignment="1" applyProtection="1">
      <alignment horizontal="left"/>
      <protection locked="0"/>
    </xf>
    <xf numFmtId="0" fontId="172" fillId="48" borderId="87" xfId="8736" applyFont="1" applyFill="1" applyBorder="1" applyAlignment="1" applyProtection="1">
      <alignment horizontal="left"/>
      <protection locked="0"/>
    </xf>
    <xf numFmtId="0" fontId="172" fillId="48" borderId="86" xfId="8736" applyFont="1" applyFill="1" applyBorder="1" applyAlignment="1" applyProtection="1">
      <alignment horizontal="left"/>
      <protection locked="0"/>
    </xf>
    <xf numFmtId="0" fontId="172" fillId="48" borderId="85" xfId="8736" applyFont="1" applyFill="1" applyBorder="1" applyAlignment="1" applyProtection="1">
      <alignment horizontal="left"/>
      <protection locked="0"/>
    </xf>
    <xf numFmtId="0" fontId="103" fillId="48" borderId="80" xfId="8736" applyFont="1" applyFill="1" applyBorder="1" applyAlignment="1">
      <alignment horizontal="left"/>
    </xf>
    <xf numFmtId="0" fontId="103" fillId="48" borderId="79" xfId="8736" applyFont="1" applyFill="1" applyBorder="1" applyAlignment="1">
      <alignment horizontal="left"/>
    </xf>
    <xf numFmtId="44" fontId="3" fillId="48" borderId="84" xfId="700" applyFont="1" applyFill="1" applyBorder="1" applyAlignment="1" applyProtection="1">
      <alignment horizontal="center"/>
      <protection locked="0"/>
    </xf>
    <xf numFmtId="0" fontId="172" fillId="45" borderId="11" xfId="8736" applyFont="1" applyFill="1" applyBorder="1" applyAlignment="1">
      <alignment horizontal="left"/>
    </xf>
    <xf numFmtId="182" fontId="3" fillId="48" borderId="11" xfId="700" applyNumberFormat="1" applyFont="1" applyFill="1" applyBorder="1" applyAlignment="1" applyProtection="1">
      <alignment horizontal="center"/>
      <protection locked="0"/>
    </xf>
    <xf numFmtId="10" fontId="172" fillId="48" borderId="11" xfId="1022" applyNumberFormat="1" applyFont="1" applyFill="1" applyBorder="1" applyAlignment="1" applyProtection="1">
      <alignment horizontal="center"/>
      <protection locked="0"/>
    </xf>
    <xf numFmtId="182" fontId="3" fillId="0" borderId="13" xfId="8736" applyNumberFormat="1" applyBorder="1" applyAlignment="1">
      <alignment horizontal="center"/>
    </xf>
    <xf numFmtId="0" fontId="3" fillId="0" borderId="13" xfId="8736" applyBorder="1" applyAlignment="1">
      <alignment horizontal="center"/>
    </xf>
    <xf numFmtId="0" fontId="165" fillId="45" borderId="80" xfId="569" applyFont="1" applyFill="1" applyBorder="1" applyAlignment="1" applyProtection="1">
      <alignment horizontal="center" wrapText="1"/>
      <protection hidden="1"/>
    </xf>
    <xf numFmtId="0" fontId="165" fillId="45" borderId="79" xfId="569" applyFont="1" applyFill="1" applyBorder="1" applyAlignment="1" applyProtection="1">
      <alignment horizontal="center" wrapText="1"/>
      <protection hidden="1"/>
    </xf>
    <xf numFmtId="0" fontId="165" fillId="45" borderId="78" xfId="569" applyFont="1" applyFill="1" applyBorder="1" applyAlignment="1" applyProtection="1">
      <alignment horizontal="center" wrapText="1"/>
      <protection hidden="1"/>
    </xf>
    <xf numFmtId="0" fontId="165" fillId="45" borderId="13" xfId="569" applyFont="1" applyFill="1" applyBorder="1" applyAlignment="1" applyProtection="1">
      <alignment horizontal="left" wrapText="1"/>
      <protection hidden="1"/>
    </xf>
    <xf numFmtId="0" fontId="165" fillId="45" borderId="13" xfId="569" applyFont="1" applyFill="1" applyBorder="1" applyAlignment="1" applyProtection="1">
      <alignment horizontal="center" wrapText="1"/>
      <protection hidden="1"/>
    </xf>
    <xf numFmtId="0" fontId="171" fillId="45" borderId="11" xfId="8736" applyFont="1" applyFill="1" applyBorder="1" applyAlignment="1">
      <alignment horizontal="left" wrapText="1"/>
    </xf>
    <xf numFmtId="43" fontId="166" fillId="45" borderId="80" xfId="698" applyFont="1" applyFill="1" applyBorder="1" applyAlignment="1" applyProtection="1">
      <alignment horizontal="center"/>
      <protection hidden="1"/>
    </xf>
    <xf numFmtId="43" fontId="166" fillId="45" borderId="79" xfId="698" applyFont="1" applyFill="1" applyBorder="1" applyAlignment="1" applyProtection="1">
      <alignment horizontal="center"/>
      <protection hidden="1"/>
    </xf>
    <xf numFmtId="43" fontId="166" fillId="45" borderId="78" xfId="698" applyFont="1" applyFill="1" applyBorder="1" applyAlignment="1" applyProtection="1">
      <alignment horizontal="center"/>
      <protection hidden="1"/>
    </xf>
    <xf numFmtId="43" fontId="170" fillId="49" borderId="66" xfId="698" applyFont="1" applyFill="1" applyBorder="1" applyAlignment="1" applyProtection="1">
      <alignment horizontal="center" wrapText="1"/>
      <protection hidden="1"/>
    </xf>
    <xf numFmtId="43" fontId="170" fillId="49" borderId="0" xfId="698" applyFont="1" applyFill="1" applyBorder="1" applyAlignment="1" applyProtection="1">
      <alignment horizontal="center" wrapText="1"/>
      <protection hidden="1"/>
    </xf>
    <xf numFmtId="43" fontId="170" fillId="49" borderId="12" xfId="698" applyFont="1" applyFill="1" applyBorder="1" applyAlignment="1" applyProtection="1">
      <alignment horizontal="center" wrapText="1"/>
      <protection hidden="1"/>
    </xf>
    <xf numFmtId="43" fontId="170" fillId="49" borderId="83" xfId="698" applyFont="1" applyFill="1" applyBorder="1" applyAlignment="1" applyProtection="1">
      <alignment horizontal="center" wrapText="1"/>
      <protection hidden="1"/>
    </xf>
    <xf numFmtId="43" fontId="170" fillId="49" borderId="6" xfId="698" applyFont="1" applyFill="1" applyBorder="1" applyAlignment="1" applyProtection="1">
      <alignment horizontal="center" wrapText="1"/>
      <protection hidden="1"/>
    </xf>
    <xf numFmtId="43" fontId="170" fillId="49" borderId="10" xfId="698" applyFont="1" applyFill="1" applyBorder="1" applyAlignment="1" applyProtection="1">
      <alignment horizontal="center" wrapText="1"/>
      <protection hidden="1"/>
    </xf>
    <xf numFmtId="43" fontId="170" fillId="49" borderId="8" xfId="698" applyFont="1" applyFill="1" applyBorder="1" applyAlignment="1" applyProtection="1">
      <alignment horizontal="center" wrapText="1"/>
      <protection hidden="1"/>
    </xf>
    <xf numFmtId="43" fontId="170" fillId="49" borderId="9" xfId="698" applyFont="1" applyFill="1" applyBorder="1" applyAlignment="1" applyProtection="1">
      <alignment horizontal="center" wrapText="1"/>
      <protection hidden="1"/>
    </xf>
    <xf numFmtId="14" fontId="170" fillId="0" borderId="8" xfId="700" applyNumberFormat="1" applyFont="1" applyFill="1" applyBorder="1" applyAlignment="1" applyProtection="1">
      <alignment horizontal="center" wrapText="1"/>
      <protection hidden="1"/>
    </xf>
    <xf numFmtId="14" fontId="170" fillId="0" borderId="0" xfId="700" applyNumberFormat="1" applyFont="1" applyFill="1" applyBorder="1" applyAlignment="1" applyProtection="1">
      <alignment horizontal="center" wrapText="1"/>
      <protection hidden="1"/>
    </xf>
    <xf numFmtId="14" fontId="170" fillId="0" borderId="12" xfId="700" applyNumberFormat="1" applyFont="1" applyFill="1" applyBorder="1" applyAlignment="1" applyProtection="1">
      <alignment horizontal="center" wrapText="1"/>
      <protection hidden="1"/>
    </xf>
    <xf numFmtId="14" fontId="170" fillId="0" borderId="9" xfId="700" applyNumberFormat="1" applyFont="1" applyFill="1" applyBorder="1" applyAlignment="1" applyProtection="1">
      <alignment horizontal="center" wrapText="1"/>
      <protection hidden="1"/>
    </xf>
    <xf numFmtId="14" fontId="170" fillId="0" borderId="6" xfId="700" applyNumberFormat="1" applyFont="1" applyFill="1" applyBorder="1" applyAlignment="1" applyProtection="1">
      <alignment horizontal="center" wrapText="1"/>
      <protection hidden="1"/>
    </xf>
    <xf numFmtId="14" fontId="170" fillId="0" borderId="10" xfId="700" applyNumberFormat="1" applyFont="1" applyFill="1" applyBorder="1" applyAlignment="1" applyProtection="1">
      <alignment horizontal="center" wrapText="1"/>
      <protection hidden="1"/>
    </xf>
    <xf numFmtId="44" fontId="170" fillId="0" borderId="8" xfId="700" applyFont="1" applyBorder="1" applyAlignment="1" applyProtection="1">
      <alignment horizontal="center" wrapText="1"/>
      <protection hidden="1"/>
    </xf>
    <xf numFmtId="44" fontId="170" fillId="0" borderId="0" xfId="700" applyFont="1" applyBorder="1" applyAlignment="1" applyProtection="1">
      <alignment horizontal="center" wrapText="1"/>
      <protection hidden="1"/>
    </xf>
    <xf numFmtId="44" fontId="170" fillId="0" borderId="12" xfId="700" applyFont="1" applyBorder="1" applyAlignment="1" applyProtection="1">
      <alignment horizontal="center" wrapText="1"/>
      <protection hidden="1"/>
    </xf>
    <xf numFmtId="44" fontId="170" fillId="0" borderId="9" xfId="700" applyFont="1" applyBorder="1" applyAlignment="1" applyProtection="1">
      <alignment horizontal="center" wrapText="1"/>
      <protection hidden="1"/>
    </xf>
    <xf numFmtId="44" fontId="170" fillId="0" borderId="6" xfId="700" applyFont="1" applyBorder="1" applyAlignment="1" applyProtection="1">
      <alignment horizontal="center" wrapText="1"/>
      <protection hidden="1"/>
    </xf>
    <xf numFmtId="44" fontId="170" fillId="0" borderId="10" xfId="700" applyFont="1" applyBorder="1" applyAlignment="1" applyProtection="1">
      <alignment horizontal="center" wrapText="1"/>
      <protection hidden="1"/>
    </xf>
    <xf numFmtId="43" fontId="170" fillId="49" borderId="41" xfId="698" applyFont="1" applyFill="1" applyBorder="1" applyAlignment="1" applyProtection="1">
      <alignment horizontal="center" wrapText="1"/>
      <protection hidden="1"/>
    </xf>
    <xf numFmtId="43" fontId="170" fillId="49" borderId="82" xfId="698" applyFont="1" applyFill="1" applyBorder="1" applyAlignment="1" applyProtection="1">
      <alignment horizontal="center" wrapText="1"/>
      <protection hidden="1"/>
    </xf>
    <xf numFmtId="0" fontId="168" fillId="50" borderId="3" xfId="698" applyNumberFormat="1" applyFont="1" applyFill="1" applyBorder="1" applyAlignment="1" applyProtection="1">
      <alignment horizontal="center"/>
      <protection locked="0"/>
    </xf>
    <xf numFmtId="0" fontId="168" fillId="50" borderId="4" xfId="698" applyNumberFormat="1" applyFont="1" applyFill="1" applyBorder="1" applyAlignment="1" applyProtection="1">
      <alignment horizontal="center"/>
      <protection locked="0"/>
    </xf>
    <xf numFmtId="0" fontId="168" fillId="50" borderId="81" xfId="698" applyNumberFormat="1" applyFont="1" applyFill="1" applyBorder="1" applyAlignment="1" applyProtection="1">
      <alignment horizontal="center"/>
      <protection locked="0"/>
    </xf>
    <xf numFmtId="0" fontId="169" fillId="49" borderId="72" xfId="698" applyNumberFormat="1" applyFont="1" applyFill="1" applyBorder="1" applyAlignment="1" applyProtection="1">
      <alignment horizontal="center"/>
      <protection hidden="1"/>
    </xf>
    <xf numFmtId="0" fontId="169" fillId="49" borderId="11" xfId="698" applyNumberFormat="1" applyFont="1" applyFill="1" applyBorder="1" applyAlignment="1" applyProtection="1">
      <alignment horizontal="center"/>
      <protection hidden="1"/>
    </xf>
    <xf numFmtId="0" fontId="169" fillId="48" borderId="11" xfId="569" applyFont="1" applyFill="1" applyBorder="1" applyAlignment="1" applyProtection="1">
      <alignment horizontal="center"/>
      <protection locked="0"/>
    </xf>
    <xf numFmtId="14" fontId="168" fillId="48" borderId="11" xfId="700" applyNumberFormat="1" applyFont="1" applyFill="1" applyBorder="1" applyAlignment="1" applyProtection="1">
      <alignment horizontal="center"/>
      <protection locked="0"/>
    </xf>
    <xf numFmtId="168" fontId="169" fillId="48" borderId="11" xfId="700" applyNumberFormat="1" applyFont="1" applyFill="1" applyBorder="1" applyAlignment="1" applyProtection="1">
      <alignment horizontal="center"/>
      <protection locked="0"/>
    </xf>
    <xf numFmtId="9" fontId="169" fillId="48" borderId="11" xfId="1022" applyFont="1" applyFill="1" applyBorder="1" applyAlignment="1" applyProtection="1">
      <alignment horizontal="center"/>
      <protection locked="0"/>
    </xf>
    <xf numFmtId="44" fontId="168" fillId="48" borderId="11" xfId="700" applyFont="1" applyFill="1" applyBorder="1" applyAlignment="1" applyProtection="1">
      <alignment horizontal="center"/>
      <protection locked="0"/>
    </xf>
    <xf numFmtId="0" fontId="167" fillId="47" borderId="65" xfId="8736" applyFont="1" applyFill="1" applyBorder="1" applyAlignment="1">
      <alignment horizontal="center"/>
    </xf>
    <xf numFmtId="0" fontId="167" fillId="47" borderId="29" xfId="8736" applyFont="1" applyFill="1" applyBorder="1" applyAlignment="1">
      <alignment horizontal="center"/>
    </xf>
    <xf numFmtId="0" fontId="167" fillId="47" borderId="31" xfId="8736" applyFont="1" applyFill="1" applyBorder="1" applyAlignment="1">
      <alignment horizontal="center"/>
    </xf>
    <xf numFmtId="0" fontId="3" fillId="47" borderId="66" xfId="8736" applyFill="1" applyBorder="1" applyAlignment="1">
      <alignment horizontal="center"/>
    </xf>
    <xf numFmtId="0" fontId="3" fillId="47" borderId="0" xfId="8736" applyFill="1" applyAlignment="1">
      <alignment horizontal="center"/>
    </xf>
    <xf numFmtId="0" fontId="3" fillId="47" borderId="41" xfId="8736" applyFill="1" applyBorder="1" applyAlignment="1">
      <alignment horizontal="center"/>
    </xf>
    <xf numFmtId="0" fontId="166" fillId="47" borderId="66" xfId="8736" applyFont="1" applyFill="1" applyBorder="1" applyAlignment="1">
      <alignment horizontal="center"/>
    </xf>
    <xf numFmtId="0" fontId="166" fillId="47" borderId="0" xfId="8736" applyFont="1" applyFill="1" applyAlignment="1">
      <alignment horizontal="center"/>
    </xf>
    <xf numFmtId="0" fontId="166" fillId="47" borderId="41" xfId="8736" applyFont="1" applyFill="1" applyBorder="1" applyAlignment="1">
      <alignment horizontal="center"/>
    </xf>
    <xf numFmtId="0" fontId="103" fillId="47" borderId="66" xfId="8736" applyFont="1" applyFill="1" applyBorder="1" applyAlignment="1">
      <alignment horizontal="center"/>
    </xf>
    <xf numFmtId="0" fontId="103" fillId="47" borderId="41" xfId="8736" applyFont="1" applyFill="1" applyBorder="1" applyAlignment="1">
      <alignment horizontal="center"/>
    </xf>
    <xf numFmtId="0" fontId="103" fillId="47" borderId="0" xfId="8736" applyFont="1" applyFill="1" applyAlignment="1">
      <alignment horizontal="left"/>
    </xf>
    <xf numFmtId="43" fontId="166" fillId="49" borderId="72" xfId="698" applyFont="1" applyFill="1" applyBorder="1" applyAlignment="1" applyProtection="1">
      <alignment horizontal="right"/>
      <protection hidden="1"/>
    </xf>
    <xf numFmtId="43" fontId="166" fillId="49" borderId="11" xfId="698" applyFont="1" applyFill="1" applyBorder="1" applyAlignment="1" applyProtection="1">
      <alignment horizontal="right"/>
      <protection hidden="1"/>
    </xf>
    <xf numFmtId="44" fontId="166" fillId="0" borderId="11" xfId="700" applyFont="1" applyBorder="1" applyAlignment="1" applyProtection="1">
      <alignment horizontal="center"/>
      <protection hidden="1"/>
    </xf>
    <xf numFmtId="168" fontId="166" fillId="0" borderId="11" xfId="700" applyNumberFormat="1" applyFont="1" applyBorder="1" applyAlignment="1" applyProtection="1">
      <alignment horizontal="center"/>
      <protection hidden="1"/>
    </xf>
    <xf numFmtId="9" fontId="166" fillId="0" borderId="11" xfId="1022" applyFont="1" applyBorder="1" applyAlignment="1" applyProtection="1">
      <alignment horizontal="center"/>
      <protection hidden="1"/>
    </xf>
    <xf numFmtId="43" fontId="166" fillId="49" borderId="3" xfId="698" applyFont="1" applyFill="1" applyBorder="1" applyAlignment="1" applyProtection="1">
      <alignment horizontal="center"/>
      <protection hidden="1"/>
    </xf>
    <xf numFmtId="43" fontId="166" fillId="49" borderId="4" xfId="698" applyFont="1" applyFill="1" applyBorder="1" applyAlignment="1" applyProtection="1">
      <alignment horizontal="center"/>
      <protection hidden="1"/>
    </xf>
    <xf numFmtId="43" fontId="166" fillId="49" borderId="81" xfId="698" applyFont="1" applyFill="1" applyBorder="1" applyAlignment="1" applyProtection="1">
      <alignment horizontal="center"/>
      <protection hidden="1"/>
    </xf>
    <xf numFmtId="0" fontId="103" fillId="44" borderId="0" xfId="8736" applyFont="1" applyFill="1" applyAlignment="1">
      <alignment horizontal="left"/>
    </xf>
    <xf numFmtId="0" fontId="3" fillId="48" borderId="80" xfId="8736" applyFill="1" applyBorder="1" applyAlignment="1" applyProtection="1">
      <alignment horizontal="left"/>
      <protection locked="0"/>
    </xf>
    <xf numFmtId="0" fontId="3" fillId="48" borderId="79" xfId="8736" applyFill="1" applyBorder="1" applyAlignment="1" applyProtection="1">
      <alignment horizontal="left"/>
      <protection locked="0"/>
    </xf>
    <xf numFmtId="0" fontId="3" fillId="48" borderId="78" xfId="8736" applyFill="1" applyBorder="1" applyAlignment="1" applyProtection="1">
      <alignment horizontal="left"/>
      <protection locked="0"/>
    </xf>
    <xf numFmtId="0" fontId="165" fillId="44" borderId="0" xfId="8736" applyFont="1" applyFill="1" applyAlignment="1">
      <alignment horizontal="left" vertical="top"/>
    </xf>
    <xf numFmtId="0" fontId="103" fillId="44" borderId="0" xfId="8730" applyFont="1" applyFill="1" applyBorder="1" applyAlignment="1">
      <alignment horizontal="left" vertical="top"/>
    </xf>
    <xf numFmtId="14" fontId="3" fillId="48" borderId="80" xfId="8736" applyNumberFormat="1" applyFill="1" applyBorder="1" applyAlignment="1" applyProtection="1">
      <alignment horizontal="center"/>
      <protection locked="0"/>
    </xf>
    <xf numFmtId="14" fontId="3" fillId="48" borderId="79" xfId="8736" applyNumberFormat="1" applyFill="1" applyBorder="1" applyAlignment="1" applyProtection="1">
      <alignment horizontal="center"/>
      <protection locked="0"/>
    </xf>
    <xf numFmtId="14" fontId="3" fillId="48" borderId="78" xfId="8736" applyNumberFormat="1" applyFill="1" applyBorder="1" applyAlignment="1" applyProtection="1">
      <alignment horizontal="center"/>
      <protection locked="0"/>
    </xf>
    <xf numFmtId="0" fontId="166" fillId="47" borderId="0" xfId="8736" applyFont="1" applyFill="1" applyAlignment="1">
      <alignment horizontal="left" vertical="top" wrapText="1"/>
    </xf>
    <xf numFmtId="0" fontId="103" fillId="47" borderId="42" xfId="8736" applyFont="1" applyFill="1" applyBorder="1" applyAlignment="1">
      <alignment horizontal="center"/>
    </xf>
    <xf numFmtId="0" fontId="3" fillId="48" borderId="80" xfId="8736" applyFill="1" applyBorder="1" applyAlignment="1" applyProtection="1">
      <alignment horizontal="center"/>
      <protection locked="0"/>
    </xf>
    <xf numFmtId="0" fontId="3" fillId="48" borderId="79" xfId="8736" applyFill="1" applyBorder="1" applyAlignment="1" applyProtection="1">
      <alignment horizontal="center"/>
      <protection locked="0"/>
    </xf>
    <xf numFmtId="0" fontId="3" fillId="48" borderId="78" xfId="8736" applyFill="1" applyBorder="1" applyAlignment="1" applyProtection="1">
      <alignment horizontal="center"/>
      <protection locked="0"/>
    </xf>
    <xf numFmtId="168" fontId="19" fillId="0" borderId="11" xfId="569" applyNumberFormat="1" applyBorder="1"/>
    <xf numFmtId="168" fontId="19" fillId="0" borderId="3" xfId="569" applyNumberFormat="1" applyBorder="1"/>
    <xf numFmtId="168" fontId="19" fillId="0" borderId="4" xfId="569" applyNumberFormat="1" applyBorder="1"/>
    <xf numFmtId="168" fontId="19" fillId="0" borderId="5" xfId="569" applyNumberFormat="1" applyBorder="1"/>
    <xf numFmtId="168" fontId="19" fillId="0" borderId="11" xfId="569" applyNumberFormat="1" applyBorder="1" applyAlignment="1">
      <alignment wrapText="1"/>
    </xf>
    <xf numFmtId="168" fontId="19" fillId="0" borderId="11" xfId="569" applyNumberFormat="1" applyBorder="1" applyAlignment="1">
      <alignment horizontal="right"/>
    </xf>
    <xf numFmtId="9" fontId="19" fillId="0" borderId="15" xfId="569" applyNumberFormat="1" applyBorder="1" applyAlignment="1">
      <alignment horizontal="center"/>
    </xf>
    <xf numFmtId="168" fontId="19" fillId="0" borderId="11" xfId="569" applyNumberFormat="1" applyBorder="1" applyAlignment="1">
      <alignment horizontal="center"/>
    </xf>
    <xf numFmtId="0" fontId="19" fillId="0" borderId="11" xfId="569" applyBorder="1" applyAlignment="1">
      <alignment horizontal="center"/>
    </xf>
    <xf numFmtId="176" fontId="19" fillId="5" borderId="3" xfId="569" applyNumberFormat="1" applyFill="1" applyBorder="1" applyAlignment="1" applyProtection="1">
      <alignment horizontal="right"/>
      <protection locked="0"/>
    </xf>
    <xf numFmtId="176" fontId="19" fillId="5" borderId="4" xfId="569" applyNumberFormat="1" applyFill="1" applyBorder="1" applyAlignment="1" applyProtection="1">
      <alignment horizontal="right"/>
      <protection locked="0"/>
    </xf>
    <xf numFmtId="176" fontId="19" fillId="5" borderId="5" xfId="569" applyNumberFormat="1" applyFill="1" applyBorder="1" applyAlignment="1" applyProtection="1">
      <alignment horizontal="right"/>
      <protection locked="0"/>
    </xf>
    <xf numFmtId="0" fontId="108" fillId="0" borderId="0" xfId="0" applyFont="1" applyAlignment="1">
      <alignment horizontal="left" vertical="top" wrapText="1"/>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26" fillId="0" borderId="6" xfId="569" applyFont="1" applyBorder="1" applyAlignment="1">
      <alignment horizontal="center"/>
    </xf>
    <xf numFmtId="168" fontId="19" fillId="0" borderId="3" xfId="569" applyNumberFormat="1" applyBorder="1" applyAlignment="1">
      <alignment horizontal="center"/>
    </xf>
    <xf numFmtId="0" fontId="19" fillId="0" borderId="4" xfId="569" applyBorder="1" applyAlignment="1">
      <alignment horizontal="center"/>
    </xf>
    <xf numFmtId="0" fontId="19" fillId="0" borderId="5" xfId="569" applyBorder="1" applyAlignment="1">
      <alignment horizontal="center"/>
    </xf>
    <xf numFmtId="0" fontId="108" fillId="0" borderId="0" xfId="569" applyFont="1" applyAlignment="1">
      <alignment horizontal="left" wrapText="1"/>
    </xf>
    <xf numFmtId="168" fontId="19" fillId="0" borderId="3" xfId="569" applyNumberFormat="1" applyBorder="1" applyAlignment="1">
      <alignment horizontal="right"/>
    </xf>
    <xf numFmtId="168" fontId="19" fillId="0" borderId="4" xfId="569" applyNumberFormat="1" applyBorder="1" applyAlignment="1">
      <alignment horizontal="right"/>
    </xf>
    <xf numFmtId="168" fontId="19" fillId="0" borderId="5" xfId="569" applyNumberFormat="1" applyBorder="1" applyAlignment="1">
      <alignment horizontal="right"/>
    </xf>
    <xf numFmtId="0" fontId="26" fillId="0" borderId="16" xfId="271" applyFont="1" applyBorder="1" applyAlignment="1">
      <alignment horizontal="center"/>
    </xf>
    <xf numFmtId="168" fontId="19" fillId="0" borderId="4" xfId="569" applyNumberFormat="1" applyBorder="1" applyAlignment="1">
      <alignment horizontal="center"/>
    </xf>
    <xf numFmtId="168" fontId="19" fillId="0" borderId="5" xfId="569" applyNumberFormat="1" applyBorder="1" applyAlignment="1">
      <alignment horizontal="center"/>
    </xf>
    <xf numFmtId="0" fontId="26" fillId="0" borderId="11" xfId="569" applyFont="1" applyBorder="1" applyAlignment="1">
      <alignment horizontal="center" wrapText="1"/>
    </xf>
    <xf numFmtId="0" fontId="26" fillId="0" borderId="11" xfId="569" applyFont="1" applyBorder="1" applyAlignment="1">
      <alignment horizontal="center"/>
    </xf>
    <xf numFmtId="165" fontId="19" fillId="0" borderId="11" xfId="569" applyNumberFormat="1" applyBorder="1" applyAlignment="1" applyProtection="1">
      <alignment horizontal="center"/>
      <protection locked="0"/>
    </xf>
    <xf numFmtId="0" fontId="55" fillId="0" borderId="0" xfId="569" applyFont="1" applyAlignment="1">
      <alignment horizontal="left"/>
    </xf>
    <xf numFmtId="5" fontId="19" fillId="0" borderId="5" xfId="569" applyNumberFormat="1" applyBorder="1" applyAlignment="1">
      <alignment horizontal="center"/>
    </xf>
    <xf numFmtId="5" fontId="19" fillId="0" borderId="11" xfId="569" applyNumberFormat="1" applyBorder="1" applyAlignment="1">
      <alignment horizontal="center"/>
    </xf>
    <xf numFmtId="5" fontId="19" fillId="0" borderId="3" xfId="569" applyNumberFormat="1" applyBorder="1" applyAlignment="1">
      <alignment horizontal="center"/>
    </xf>
    <xf numFmtId="5" fontId="19" fillId="0" borderId="4" xfId="569" applyNumberFormat="1" applyBorder="1" applyAlignment="1">
      <alignment horizontal="center"/>
    </xf>
    <xf numFmtId="168" fontId="19" fillId="5" borderId="5" xfId="569" applyNumberFormat="1" applyFill="1" applyBorder="1" applyAlignment="1" applyProtection="1">
      <alignment horizontal="center"/>
      <protection locked="0"/>
    </xf>
    <xf numFmtId="168" fontId="19" fillId="5" borderId="11" xfId="569" applyNumberFormat="1" applyFill="1" applyBorder="1" applyAlignment="1" applyProtection="1">
      <alignment horizontal="center"/>
      <protection locked="0"/>
    </xf>
    <xf numFmtId="9" fontId="19" fillId="0" borderId="5" xfId="569" applyNumberFormat="1" applyBorder="1" applyAlignment="1">
      <alignment horizontal="center"/>
    </xf>
    <xf numFmtId="9" fontId="19" fillId="0" borderId="11" xfId="569" applyNumberFormat="1" applyBorder="1" applyAlignment="1">
      <alignment horizontal="center"/>
    </xf>
    <xf numFmtId="9" fontId="19" fillId="0" borderId="9" xfId="569" applyNumberFormat="1" applyBorder="1" applyAlignment="1">
      <alignment horizontal="center" vertical="center"/>
    </xf>
    <xf numFmtId="9" fontId="19" fillId="0" borderId="6" xfId="569" applyNumberFormat="1" applyBorder="1" applyAlignment="1">
      <alignment horizontal="center" vertical="center"/>
    </xf>
    <xf numFmtId="9" fontId="19" fillId="0" borderId="10" xfId="569" applyNumberFormat="1" applyBorder="1" applyAlignment="1">
      <alignment horizontal="center" vertical="center"/>
    </xf>
    <xf numFmtId="168" fontId="19" fillId="2" borderId="3" xfId="569" applyNumberFormat="1" applyFill="1" applyBorder="1" applyAlignment="1">
      <alignment horizontal="center"/>
    </xf>
    <xf numFmtId="168" fontId="19" fillId="2" borderId="4" xfId="569" applyNumberFormat="1" applyFill="1" applyBorder="1" applyAlignment="1">
      <alignment horizontal="center"/>
    </xf>
    <xf numFmtId="168" fontId="19" fillId="2" borderId="5" xfId="569" applyNumberFormat="1" applyFill="1" applyBorder="1" applyAlignment="1">
      <alignment horizontal="center"/>
    </xf>
    <xf numFmtId="168" fontId="19" fillId="5" borderId="10" xfId="569" applyNumberFormat="1" applyFill="1" applyBorder="1" applyAlignment="1" applyProtection="1">
      <alignment horizontal="center"/>
      <protection locked="0"/>
    </xf>
    <xf numFmtId="168" fontId="19" fillId="5" borderId="13" xfId="569" applyNumberFormat="1" applyFill="1" applyBorder="1" applyAlignment="1" applyProtection="1">
      <alignment horizontal="center"/>
      <protection locked="0"/>
    </xf>
    <xf numFmtId="0" fontId="25" fillId="3" borderId="2" xfId="569" applyFont="1" applyFill="1" applyBorder="1" applyAlignment="1">
      <alignment horizontal="center" vertical="center"/>
    </xf>
    <xf numFmtId="0" fontId="25" fillId="3" borderId="16" xfId="569" applyFont="1" applyFill="1" applyBorder="1" applyAlignment="1">
      <alignment horizontal="center" vertical="center"/>
    </xf>
    <xf numFmtId="168" fontId="19" fillId="0" borderId="7" xfId="569" applyNumberFormat="1" applyBorder="1" applyAlignment="1">
      <alignment horizontal="center"/>
    </xf>
    <xf numFmtId="168" fontId="19" fillId="0" borderId="15" xfId="569" applyNumberFormat="1" applyBorder="1" applyAlignment="1">
      <alignment horizontal="center"/>
    </xf>
    <xf numFmtId="0" fontId="26" fillId="0" borderId="3" xfId="569" applyFont="1" applyBorder="1" applyAlignment="1">
      <alignment horizontal="left"/>
    </xf>
    <xf numFmtId="0" fontId="26" fillId="0" borderId="5" xfId="569" applyFont="1" applyBorder="1" applyAlignment="1">
      <alignment horizontal="left"/>
    </xf>
    <xf numFmtId="0" fontId="27" fillId="0" borderId="4" xfId="569" applyFont="1" applyBorder="1" applyAlignment="1">
      <alignment horizontal="left"/>
    </xf>
    <xf numFmtId="0" fontId="27" fillId="0" borderId="5" xfId="569" applyFont="1" applyBorder="1" applyAlignment="1">
      <alignment horizontal="left"/>
    </xf>
    <xf numFmtId="179" fontId="26" fillId="0" borderId="0" xfId="569" applyNumberFormat="1" applyFont="1" applyAlignment="1">
      <alignment horizontal="center" wrapText="1"/>
    </xf>
    <xf numFmtId="164" fontId="26" fillId="0" borderId="0" xfId="569" applyNumberFormat="1" applyFont="1" applyAlignment="1">
      <alignment horizontal="center" wrapText="1"/>
    </xf>
    <xf numFmtId="0" fontId="19" fillId="0" borderId="3" xfId="569" applyBorder="1" applyAlignment="1">
      <alignment horizontal="right"/>
    </xf>
    <xf numFmtId="0" fontId="19" fillId="0" borderId="4" xfId="569" applyBorder="1" applyAlignment="1">
      <alignment horizontal="right"/>
    </xf>
    <xf numFmtId="0" fontId="19" fillId="0" borderId="5" xfId="569" applyBorder="1" applyAlignment="1">
      <alignment horizontal="right"/>
    </xf>
    <xf numFmtId="0" fontId="27" fillId="0" borderId="3" xfId="569" applyFont="1" applyBorder="1" applyAlignment="1">
      <alignment horizontal="right"/>
    </xf>
    <xf numFmtId="0" fontId="27" fillId="0" borderId="4" xfId="569" applyFont="1" applyBorder="1" applyAlignment="1">
      <alignment horizontal="right"/>
    </xf>
    <xf numFmtId="0" fontId="27" fillId="0" borderId="5" xfId="569" applyFont="1" applyBorder="1" applyAlignment="1">
      <alignment horizontal="right"/>
    </xf>
    <xf numFmtId="0" fontId="0" fillId="5" borderId="4" xfId="0" applyFill="1" applyBorder="1" applyAlignment="1" applyProtection="1">
      <alignment horizontal="left" wrapText="1"/>
      <protection locked="0"/>
    </xf>
    <xf numFmtId="0" fontId="27" fillId="0" borderId="0" xfId="4495" applyFont="1" applyAlignment="1">
      <alignment horizontal="left" vertical="top" wrapText="1"/>
    </xf>
    <xf numFmtId="0" fontId="123" fillId="5" borderId="6" xfId="4496" applyFont="1" applyFill="1" applyBorder="1" applyAlignment="1" applyProtection="1">
      <alignment horizontal="center"/>
      <protection locked="0"/>
    </xf>
    <xf numFmtId="0" fontId="19" fillId="0" borderId="50" xfId="4495" applyFont="1" applyBorder="1" applyAlignment="1">
      <alignment vertical="center" wrapText="1"/>
    </xf>
    <xf numFmtId="0" fontId="19" fillId="0" borderId="51" xfId="4495" applyFont="1" applyBorder="1" applyAlignment="1">
      <alignment vertical="center" wrapText="1"/>
    </xf>
    <xf numFmtId="0" fontId="19" fillId="0" borderId="52" xfId="4495" applyFont="1" applyBorder="1" applyAlignment="1">
      <alignment vertical="center" wrapText="1"/>
    </xf>
    <xf numFmtId="0" fontId="19" fillId="0" borderId="57" xfId="4495" applyFont="1" applyBorder="1" applyAlignment="1">
      <alignment vertical="center" wrapText="1"/>
    </xf>
    <xf numFmtId="0" fontId="19" fillId="0" borderId="58" xfId="4495" applyFont="1" applyBorder="1" applyAlignment="1">
      <alignment vertical="center" wrapText="1"/>
    </xf>
    <xf numFmtId="0" fontId="19" fillId="0" borderId="59" xfId="4495" applyFont="1" applyBorder="1" applyAlignment="1">
      <alignment vertical="center" wrapText="1"/>
    </xf>
    <xf numFmtId="0" fontId="19" fillId="0" borderId="47" xfId="4495" applyFont="1" applyBorder="1" applyAlignment="1">
      <alignment horizontal="left" vertical="center" wrapText="1"/>
    </xf>
    <xf numFmtId="0" fontId="19" fillId="0" borderId="48" xfId="4495" applyFont="1" applyBorder="1" applyAlignment="1">
      <alignment horizontal="left" vertical="center" wrapText="1"/>
    </xf>
    <xf numFmtId="0" fontId="19" fillId="0" borderId="49" xfId="4495" applyFont="1" applyBorder="1" applyAlignment="1">
      <alignment horizontal="left" vertical="center" wrapText="1"/>
    </xf>
    <xf numFmtId="0" fontId="123" fillId="0" borderId="50" xfId="4496" applyFont="1" applyBorder="1" applyAlignment="1">
      <alignment horizontal="left" vertical="top" wrapText="1"/>
    </xf>
    <xf numFmtId="0" fontId="123" fillId="0" borderId="51" xfId="4496" applyFont="1" applyBorder="1" applyAlignment="1">
      <alignment horizontal="left" vertical="top" wrapText="1"/>
    </xf>
    <xf numFmtId="0" fontId="123" fillId="0" borderId="52" xfId="4496" applyFont="1" applyBorder="1" applyAlignment="1">
      <alignment horizontal="left" vertical="top" wrapText="1"/>
    </xf>
    <xf numFmtId="0" fontId="123" fillId="0" borderId="57" xfId="4496" applyFont="1" applyBorder="1" applyAlignment="1">
      <alignment horizontal="left" vertical="top" wrapText="1"/>
    </xf>
    <xf numFmtId="0" fontId="123" fillId="0" borderId="58" xfId="4496" applyFont="1" applyBorder="1" applyAlignment="1">
      <alignment horizontal="left" vertical="top" wrapText="1"/>
    </xf>
    <xf numFmtId="0" fontId="123" fillId="0" borderId="59" xfId="4496" applyFont="1" applyBorder="1" applyAlignment="1">
      <alignment horizontal="left" vertical="top" wrapText="1"/>
    </xf>
    <xf numFmtId="0" fontId="19" fillId="0" borderId="50" xfId="4495" applyFont="1" applyBorder="1" applyAlignment="1">
      <alignment horizontal="left" vertical="center" wrapText="1"/>
    </xf>
    <xf numFmtId="0" fontId="19" fillId="0" borderId="51" xfId="4495" applyFont="1" applyBorder="1" applyAlignment="1">
      <alignment horizontal="left" vertical="center" wrapText="1"/>
    </xf>
    <xf numFmtId="0" fontId="19" fillId="0" borderId="52" xfId="4495" applyFont="1" applyBorder="1" applyAlignment="1">
      <alignment horizontal="left" vertical="center" wrapText="1"/>
    </xf>
    <xf numFmtId="0" fontId="19" fillId="0" borderId="57" xfId="4495" applyFont="1" applyBorder="1" applyAlignment="1">
      <alignment horizontal="left" vertical="center" wrapText="1"/>
    </xf>
    <xf numFmtId="0" fontId="19" fillId="0" borderId="58" xfId="4495" applyFont="1" applyBorder="1" applyAlignment="1">
      <alignment horizontal="left" vertical="center" wrapText="1"/>
    </xf>
    <xf numFmtId="0" fontId="19" fillId="0" borderId="59" xfId="4495" applyFont="1" applyBorder="1" applyAlignment="1">
      <alignment horizontal="left" vertical="center" wrapText="1"/>
    </xf>
    <xf numFmtId="165" fontId="123" fillId="0" borderId="55" xfId="4496" applyNumberFormat="1" applyFont="1" applyBorder="1" applyAlignment="1">
      <alignment horizontal="center" vertical="top" wrapText="1"/>
    </xf>
    <xf numFmtId="165" fontId="123" fillId="0" borderId="6" xfId="4496" applyNumberFormat="1" applyFont="1" applyBorder="1" applyAlignment="1">
      <alignment horizontal="center" vertical="top" wrapText="1"/>
    </xf>
    <xf numFmtId="165" fontId="123" fillId="0" borderId="60" xfId="4496" applyNumberFormat="1" applyFont="1" applyBorder="1" applyAlignment="1">
      <alignment horizontal="center" vertical="top" wrapText="1"/>
    </xf>
    <xf numFmtId="165" fontId="123" fillId="0" borderId="4" xfId="4496" applyNumberFormat="1" applyFont="1" applyBorder="1" applyAlignment="1">
      <alignment horizontal="center" vertical="top" wrapText="1"/>
    </xf>
    <xf numFmtId="0" fontId="123" fillId="5" borderId="60" xfId="4496" applyFont="1" applyFill="1" applyBorder="1" applyAlignment="1" applyProtection="1">
      <alignment horizontal="center"/>
      <protection locked="0"/>
    </xf>
    <xf numFmtId="0" fontId="123" fillId="5" borderId="4" xfId="4496" applyFont="1" applyFill="1" applyBorder="1" applyAlignment="1" applyProtection="1">
      <alignment horizontal="center"/>
      <protection locked="0"/>
    </xf>
    <xf numFmtId="0" fontId="26" fillId="0" borderId="0" xfId="4495" applyFont="1" applyAlignment="1">
      <alignment horizontal="right"/>
    </xf>
    <xf numFmtId="0" fontId="123" fillId="0" borderId="53" xfId="4496" applyFont="1" applyBorder="1" applyAlignment="1">
      <alignment horizontal="left" vertical="top" wrapText="1"/>
    </xf>
    <xf numFmtId="0" fontId="123" fillId="0" borderId="0" xfId="4496" applyFont="1" applyAlignment="1">
      <alignment horizontal="left" vertical="top" wrapText="1"/>
    </xf>
    <xf numFmtId="0" fontId="123" fillId="0" borderId="54" xfId="4496" applyFont="1" applyBorder="1" applyAlignment="1">
      <alignment horizontal="left" vertical="top" wrapText="1"/>
    </xf>
    <xf numFmtId="0" fontId="123" fillId="5" borderId="55" xfId="4496" applyFont="1" applyFill="1" applyBorder="1" applyAlignment="1" applyProtection="1">
      <alignment horizontal="center"/>
      <protection locked="0"/>
    </xf>
    <xf numFmtId="168" fontId="123" fillId="0" borderId="55" xfId="4496" applyNumberFormat="1" applyFont="1" applyBorder="1" applyAlignment="1">
      <alignment horizontal="center" vertical="top"/>
    </xf>
    <xf numFmtId="168" fontId="123" fillId="0" borderId="6" xfId="4496" applyNumberFormat="1" applyFont="1" applyBorder="1" applyAlignment="1">
      <alignment horizontal="center" vertical="top"/>
    </xf>
    <xf numFmtId="0" fontId="25" fillId="3" borderId="2" xfId="4495" applyFont="1" applyFill="1" applyBorder="1" applyAlignment="1">
      <alignment horizontal="center" vertical="center"/>
    </xf>
    <xf numFmtId="0" fontId="25" fillId="3" borderId="16" xfId="4495" applyFont="1" applyFill="1" applyBorder="1" applyAlignment="1">
      <alignment horizontal="center" vertical="center"/>
    </xf>
    <xf numFmtId="0" fontId="26" fillId="0" borderId="48" xfId="4495" applyFont="1" applyBorder="1" applyAlignment="1">
      <alignment horizontal="left" vertical="top"/>
    </xf>
    <xf numFmtId="0" fontId="26" fillId="0" borderId="49" xfId="4495" applyFont="1" applyBorder="1" applyAlignment="1">
      <alignment horizontal="left" vertical="top"/>
    </xf>
    <xf numFmtId="1" fontId="19" fillId="0" borderId="3" xfId="4495" applyNumberFormat="1" applyFont="1" applyBorder="1" applyAlignment="1">
      <alignment horizontal="center"/>
    </xf>
    <xf numFmtId="1" fontId="19" fillId="0" borderId="4" xfId="4495" applyNumberFormat="1" applyFont="1" applyBorder="1" applyAlignment="1">
      <alignment horizontal="center"/>
    </xf>
    <xf numFmtId="1" fontId="19" fillId="0" borderId="5" xfId="4495" applyNumberFormat="1" applyFont="1" applyBorder="1" applyAlignment="1">
      <alignment horizontal="center"/>
    </xf>
    <xf numFmtId="0" fontId="19" fillId="0" borderId="53" xfId="4495" applyFont="1" applyBorder="1" applyAlignment="1">
      <alignment vertical="center" wrapText="1"/>
    </xf>
    <xf numFmtId="0" fontId="19" fillId="0" borderId="0" xfId="4495" applyFont="1" applyAlignment="1">
      <alignment vertical="center" wrapText="1"/>
    </xf>
    <xf numFmtId="0" fontId="19" fillId="0" borderId="54" xfId="4495" applyFont="1" applyBorder="1" applyAlignment="1">
      <alignment vertical="center" wrapText="1"/>
    </xf>
    <xf numFmtId="0" fontId="19" fillId="0" borderId="53" xfId="4495" applyFont="1" applyBorder="1" applyAlignment="1">
      <alignment horizontal="left" vertical="center" wrapText="1"/>
    </xf>
    <xf numFmtId="0" fontId="19" fillId="0" borderId="0" xfId="4495" applyFont="1" applyAlignment="1">
      <alignment horizontal="left" vertical="center" wrapText="1"/>
    </xf>
    <xf numFmtId="0" fontId="19" fillId="0" borderId="54" xfId="4495" applyFont="1" applyBorder="1" applyAlignment="1">
      <alignment horizontal="left" vertical="center" wrapText="1"/>
    </xf>
    <xf numFmtId="10" fontId="123" fillId="0" borderId="3" xfId="4496" applyNumberFormat="1" applyFont="1" applyBorder="1" applyAlignment="1">
      <alignment horizontal="center" vertical="top" wrapText="1"/>
    </xf>
    <xf numFmtId="10" fontId="123" fillId="0" borderId="4" xfId="4496" applyNumberFormat="1" applyFont="1" applyBorder="1" applyAlignment="1">
      <alignment horizontal="center" vertical="top" wrapText="1"/>
    </xf>
    <xf numFmtId="10" fontId="123" fillId="0" borderId="5" xfId="4496" applyNumberFormat="1" applyFont="1" applyBorder="1" applyAlignment="1">
      <alignment horizontal="center" vertical="top" wrapText="1"/>
    </xf>
    <xf numFmtId="0" fontId="123" fillId="0" borderId="55" xfId="4496" applyFont="1" applyBorder="1" applyAlignment="1">
      <alignment horizontal="center" vertical="top" wrapText="1"/>
    </xf>
    <xf numFmtId="0" fontId="123" fillId="0" borderId="6" xfId="4496" applyFont="1" applyBorder="1" applyAlignment="1">
      <alignment horizontal="center" vertical="top" wrapText="1"/>
    </xf>
    <xf numFmtId="168" fontId="19" fillId="0" borderId="0" xfId="1192" applyNumberFormat="1" applyAlignment="1">
      <alignment horizontal="right"/>
    </xf>
    <xf numFmtId="1" fontId="19" fillId="5" borderId="2" xfId="1192" applyNumberFormat="1" applyFill="1" applyBorder="1" applyAlignment="1" applyProtection="1">
      <alignment horizontal="center"/>
      <protection locked="0"/>
    </xf>
    <xf numFmtId="1" fontId="19" fillId="5" borderId="4" xfId="1192" applyNumberFormat="1" applyFill="1" applyBorder="1" applyAlignment="1" applyProtection="1">
      <alignment horizontal="center"/>
      <protection locked="0"/>
    </xf>
    <xf numFmtId="0" fontId="142" fillId="0" borderId="6" xfId="1192" applyFont="1" applyBorder="1" applyAlignment="1">
      <alignment horizontal="center"/>
    </xf>
    <xf numFmtId="1" fontId="123" fillId="0" borderId="55" xfId="4496" applyNumberFormat="1" applyFont="1" applyBorder="1" applyAlignment="1">
      <alignment horizontal="center" vertical="top" wrapText="1"/>
    </xf>
    <xf numFmtId="1" fontId="123" fillId="0" borderId="6" xfId="4496" applyNumberFormat="1" applyFont="1" applyBorder="1" applyAlignment="1">
      <alignment horizontal="center" vertical="top" wrapText="1"/>
    </xf>
    <xf numFmtId="168" fontId="123" fillId="43" borderId="55" xfId="4496" applyNumberFormat="1" applyFont="1" applyFill="1" applyBorder="1" applyAlignment="1" applyProtection="1">
      <alignment horizontal="center" vertical="top" wrapText="1"/>
      <protection locked="0"/>
    </xf>
    <xf numFmtId="168" fontId="123" fillId="43" borderId="6" xfId="4496" applyNumberFormat="1" applyFont="1" applyFill="1" applyBorder="1" applyAlignment="1" applyProtection="1">
      <alignment horizontal="center" vertical="top" wrapText="1"/>
      <protection locked="0"/>
    </xf>
    <xf numFmtId="0" fontId="26" fillId="0" borderId="0" xfId="4495" applyFont="1" applyAlignment="1">
      <alignment horizontal="center" vertical="top"/>
    </xf>
    <xf numFmtId="0" fontId="19" fillId="0" borderId="0" xfId="1192" applyAlignment="1">
      <alignment horizontal="right"/>
    </xf>
    <xf numFmtId="0" fontId="19" fillId="5" borderId="6" xfId="1192" applyFill="1" applyBorder="1" applyAlignment="1" applyProtection="1">
      <alignment horizontal="left"/>
      <protection locked="0"/>
    </xf>
    <xf numFmtId="168" fontId="19" fillId="43" borderId="6" xfId="4495" applyNumberFormat="1" applyFont="1" applyFill="1" applyBorder="1" applyAlignment="1" applyProtection="1">
      <alignment horizontal="right"/>
      <protection locked="0"/>
    </xf>
    <xf numFmtId="9" fontId="19" fillId="0" borderId="6" xfId="1192" applyNumberFormat="1" applyBorder="1" applyAlignment="1">
      <alignment horizontal="center"/>
    </xf>
    <xf numFmtId="9" fontId="19" fillId="0" borderId="6" xfId="1192" quotePrefix="1" applyNumberFormat="1" applyBorder="1" applyAlignment="1">
      <alignment horizontal="center"/>
    </xf>
    <xf numFmtId="9" fontId="19" fillId="0" borderId="0" xfId="1192" quotePrefix="1" applyNumberFormat="1" applyAlignment="1">
      <alignment horizontal="center"/>
    </xf>
    <xf numFmtId="9" fontId="19" fillId="5" borderId="4" xfId="1192" applyNumberFormat="1" applyFill="1" applyBorder="1" applyAlignment="1" applyProtection="1">
      <alignment horizontal="left"/>
      <protection locked="0"/>
    </xf>
    <xf numFmtId="0" fontId="27" fillId="5" borderId="6" xfId="4495" applyFont="1" applyFill="1" applyBorder="1" applyAlignment="1" applyProtection="1">
      <alignment horizontal="left"/>
      <protection locked="0"/>
    </xf>
    <xf numFmtId="0" fontId="19" fillId="0" borderId="0" xfId="4495" applyFont="1" applyAlignment="1">
      <alignment horizontal="left"/>
    </xf>
    <xf numFmtId="0" fontId="19" fillId="5" borderId="6" xfId="4495" applyFont="1" applyFill="1" applyBorder="1" applyAlignment="1" applyProtection="1">
      <alignment horizontal="left"/>
      <protection locked="0"/>
    </xf>
    <xf numFmtId="0" fontId="55" fillId="5" borderId="6" xfId="4495" applyFont="1" applyFill="1" applyBorder="1" applyAlignment="1" applyProtection="1">
      <alignment horizontal="left"/>
      <protection locked="0"/>
    </xf>
    <xf numFmtId="0" fontId="19" fillId="5" borderId="6" xfId="4495" applyFont="1" applyFill="1" applyBorder="1" applyAlignment="1" applyProtection="1">
      <alignment horizontal="center"/>
      <protection locked="0"/>
    </xf>
    <xf numFmtId="0" fontId="19" fillId="44" borderId="6" xfId="4495" applyFont="1" applyFill="1" applyBorder="1" applyAlignment="1">
      <alignment horizontal="left"/>
    </xf>
    <xf numFmtId="1" fontId="19" fillId="0" borderId="11" xfId="4495" applyNumberFormat="1" applyFont="1" applyBorder="1" applyAlignment="1">
      <alignment horizontal="center"/>
    </xf>
    <xf numFmtId="0" fontId="19" fillId="0" borderId="11" xfId="4495" applyFont="1" applyBorder="1" applyAlignment="1">
      <alignment horizontal="center"/>
    </xf>
    <xf numFmtId="0" fontId="19" fillId="0" borderId="53" xfId="4495" applyFont="1" applyBorder="1" applyAlignment="1">
      <alignment horizontal="left" vertical="top" wrapText="1"/>
    </xf>
    <xf numFmtId="0" fontId="19" fillId="0" borderId="0" xfId="4495" applyFont="1" applyAlignment="1">
      <alignment horizontal="left" vertical="top" wrapText="1"/>
    </xf>
    <xf numFmtId="0" fontId="19" fillId="0" borderId="54" xfId="4495" applyFont="1" applyBorder="1" applyAlignment="1">
      <alignment horizontal="left" vertical="top" wrapText="1"/>
    </xf>
    <xf numFmtId="0" fontId="19" fillId="0" borderId="57" xfId="4495" applyFont="1" applyBorder="1" applyAlignment="1">
      <alignment horizontal="left" vertical="top" wrapText="1"/>
    </xf>
    <xf numFmtId="0" fontId="19" fillId="0" borderId="58" xfId="4495" applyFont="1" applyBorder="1" applyAlignment="1">
      <alignment horizontal="left" vertical="top" wrapText="1"/>
    </xf>
    <xf numFmtId="0" fontId="19" fillId="0" borderId="59" xfId="4495" applyFont="1" applyBorder="1" applyAlignment="1">
      <alignment horizontal="left" vertical="top" wrapText="1"/>
    </xf>
    <xf numFmtId="0" fontId="121" fillId="5" borderId="6" xfId="4495" applyFill="1" applyBorder="1" applyAlignment="1" applyProtection="1">
      <alignment horizontal="center"/>
      <protection locked="0"/>
    </xf>
    <xf numFmtId="0" fontId="26" fillId="0" borderId="0" xfId="4495" applyFont="1" applyAlignment="1">
      <alignment horizontal="left" vertical="top"/>
    </xf>
    <xf numFmtId="0" fontId="121" fillId="0" borderId="0" xfId="4495" applyAlignment="1" applyProtection="1">
      <alignment horizontal="center"/>
      <protection locked="0"/>
    </xf>
    <xf numFmtId="0" fontId="19" fillId="0" borderId="3" xfId="4495" applyFont="1" applyBorder="1" applyAlignment="1">
      <alignment horizontal="center"/>
    </xf>
    <xf numFmtId="0" fontId="19" fillId="0" borderId="4" xfId="4495" applyFont="1" applyBorder="1" applyAlignment="1">
      <alignment horizontal="center"/>
    </xf>
    <xf numFmtId="0" fontId="19" fillId="0" borderId="5" xfId="4495" applyFont="1" applyBorder="1" applyAlignment="1">
      <alignment horizontal="center"/>
    </xf>
    <xf numFmtId="168" fontId="19" fillId="0" borderId="6" xfId="4496" applyNumberFormat="1" applyFont="1" applyBorder="1" applyAlignment="1">
      <alignment horizontal="center"/>
    </xf>
    <xf numFmtId="9" fontId="19" fillId="0" borderId="4" xfId="543" applyNumberFormat="1" applyBorder="1" applyAlignment="1">
      <alignment horizontal="center"/>
    </xf>
    <xf numFmtId="0" fontId="19" fillId="0" borderId="4" xfId="4496" applyFont="1" applyBorder="1" applyAlignment="1">
      <alignment horizontal="center"/>
    </xf>
    <xf numFmtId="0" fontId="19" fillId="0" borderId="5" xfId="4496" applyFont="1" applyBorder="1" applyAlignment="1">
      <alignment horizontal="center"/>
    </xf>
    <xf numFmtId="168" fontId="19" fillId="0" borderId="6" xfId="4495" applyNumberFormat="1" applyFont="1" applyBorder="1" applyAlignment="1">
      <alignment horizontal="right"/>
    </xf>
    <xf numFmtId="168" fontId="119" fillId="0" borderId="6" xfId="4495" applyNumberFormat="1" applyFont="1" applyBorder="1" applyAlignment="1">
      <alignment horizontal="right"/>
    </xf>
    <xf numFmtId="6" fontId="19" fillId="0" borderId="3" xfId="1192" applyNumberFormat="1" applyBorder="1" applyAlignment="1">
      <alignment horizontal="right"/>
    </xf>
    <xf numFmtId="6" fontId="19" fillId="0" borderId="4" xfId="1192" applyNumberFormat="1" applyBorder="1" applyAlignment="1">
      <alignment horizontal="right"/>
    </xf>
    <xf numFmtId="6" fontId="19" fillId="0" borderId="5" xfId="1192" applyNumberFormat="1" applyBorder="1" applyAlignment="1">
      <alignment horizontal="right"/>
    </xf>
    <xf numFmtId="168" fontId="19" fillId="0" borderId="4" xfId="4495" applyNumberFormat="1" applyFont="1" applyBorder="1" applyAlignment="1">
      <alignment horizontal="right"/>
    </xf>
    <xf numFmtId="165" fontId="19" fillId="43" borderId="3" xfId="4495" applyNumberFormat="1" applyFont="1" applyFill="1" applyBorder="1" applyAlignment="1" applyProtection="1">
      <alignment horizontal="center"/>
      <protection locked="0"/>
    </xf>
    <xf numFmtId="165" fontId="19" fillId="43" borderId="4" xfId="4495" applyNumberFormat="1" applyFont="1" applyFill="1" applyBorder="1" applyAlignment="1" applyProtection="1">
      <alignment horizontal="center"/>
      <protection locked="0"/>
    </xf>
    <xf numFmtId="165" fontId="19" fillId="43" borderId="5" xfId="4495" applyNumberFormat="1" applyFont="1" applyFill="1" applyBorder="1" applyAlignment="1" applyProtection="1">
      <alignment horizontal="center"/>
      <protection locked="0"/>
    </xf>
    <xf numFmtId="165" fontId="19" fillId="0" borderId="6" xfId="1192" applyNumberFormat="1" applyBorder="1" applyAlignment="1">
      <alignment horizontal="right"/>
    </xf>
    <xf numFmtId="168" fontId="19" fillId="0" borderId="2" xfId="1192" applyNumberFormat="1" applyBorder="1" applyAlignment="1">
      <alignment horizontal="right"/>
    </xf>
    <xf numFmtId="165" fontId="19" fillId="0" borderId="0" xfId="1192" applyNumberFormat="1" applyAlignment="1">
      <alignment horizontal="right"/>
    </xf>
    <xf numFmtId="0" fontId="19" fillId="0" borderId="50" xfId="4495" applyFont="1" applyBorder="1" applyAlignment="1">
      <alignment horizontal="left" vertical="top" wrapText="1"/>
    </xf>
    <xf numFmtId="0" fontId="19" fillId="0" borderId="51" xfId="4495" applyFont="1" applyBorder="1" applyAlignment="1">
      <alignment horizontal="left" vertical="top" wrapText="1"/>
    </xf>
    <xf numFmtId="0" fontId="19" fillId="0" borderId="52" xfId="4495" applyFont="1" applyBorder="1" applyAlignment="1">
      <alignment horizontal="left" vertical="top" wrapText="1"/>
    </xf>
    <xf numFmtId="0" fontId="26" fillId="0" borderId="0" xfId="4495" applyFont="1"/>
    <xf numFmtId="168" fontId="19" fillId="5" borderId="4" xfId="1192" applyNumberFormat="1" applyFill="1" applyBorder="1" applyAlignment="1" applyProtection="1">
      <alignment horizontal="center"/>
      <protection locked="0"/>
    </xf>
    <xf numFmtId="0" fontId="19" fillId="0" borderId="6" xfId="1192" applyBorder="1" applyAlignment="1">
      <alignment horizontal="left"/>
    </xf>
    <xf numFmtId="2" fontId="19" fillId="0" borderId="0" xfId="1192" applyNumberFormat="1" applyAlignment="1">
      <alignment horizontal="right"/>
    </xf>
    <xf numFmtId="0" fontId="19" fillId="43" borderId="53" xfId="4495" applyFont="1" applyFill="1" applyBorder="1" applyAlignment="1" applyProtection="1">
      <alignment vertical="top" wrapText="1"/>
      <protection locked="0"/>
    </xf>
    <xf numFmtId="0" fontId="19" fillId="43" borderId="0" xfId="4495" applyFont="1" applyFill="1" applyAlignment="1" applyProtection="1">
      <alignment vertical="top" wrapText="1"/>
      <protection locked="0"/>
    </xf>
    <xf numFmtId="0" fontId="19" fillId="43" borderId="54" xfId="4495" applyFont="1" applyFill="1" applyBorder="1" applyAlignment="1" applyProtection="1">
      <alignment vertical="top" wrapText="1"/>
      <protection locked="0"/>
    </xf>
    <xf numFmtId="0" fontId="19" fillId="43" borderId="55" xfId="4495" applyFont="1" applyFill="1" applyBorder="1" applyAlignment="1" applyProtection="1">
      <alignment vertical="top" wrapText="1"/>
      <protection locked="0"/>
    </xf>
    <xf numFmtId="0" fontId="19" fillId="43" borderId="6" xfId="4495" applyFont="1" applyFill="1" applyBorder="1" applyAlignment="1" applyProtection="1">
      <alignment vertical="top" wrapText="1"/>
      <protection locked="0"/>
    </xf>
    <xf numFmtId="0" fontId="19" fillId="43" borderId="56" xfId="4495" applyFont="1" applyFill="1" applyBorder="1" applyAlignment="1" applyProtection="1">
      <alignment vertical="top" wrapText="1"/>
      <protection locked="0"/>
    </xf>
    <xf numFmtId="0" fontId="19" fillId="43" borderId="0" xfId="4495" applyFont="1" applyFill="1" applyAlignment="1" applyProtection="1">
      <alignment horizontal="left" vertical="center" wrapText="1"/>
      <protection locked="0"/>
    </xf>
    <xf numFmtId="0" fontId="19" fillId="43" borderId="54" xfId="4495" applyFont="1" applyFill="1" applyBorder="1" applyAlignment="1" applyProtection="1">
      <alignment horizontal="left" vertical="center" wrapText="1"/>
      <protection locked="0"/>
    </xf>
    <xf numFmtId="0" fontId="19" fillId="43" borderId="6" xfId="4495" applyFont="1" applyFill="1" applyBorder="1" applyAlignment="1" applyProtection="1">
      <alignment horizontal="left" vertical="center" wrapText="1"/>
      <protection locked="0"/>
    </xf>
    <xf numFmtId="0" fontId="19" fillId="43" borderId="56" xfId="4495" applyFont="1" applyFill="1" applyBorder="1" applyAlignment="1" applyProtection="1">
      <alignment horizontal="left" vertical="center" wrapText="1"/>
      <protection locked="0"/>
    </xf>
    <xf numFmtId="0" fontId="130" fillId="0" borderId="0" xfId="4495" applyFont="1" applyAlignment="1">
      <alignment horizontal="left" vertical="top" wrapText="1"/>
    </xf>
    <xf numFmtId="0" fontId="121" fillId="5" borderId="55" xfId="4495" applyFill="1" applyBorder="1" applyAlignment="1" applyProtection="1">
      <alignment horizontal="center"/>
      <protection locked="0"/>
    </xf>
    <xf numFmtId="0" fontId="26" fillId="0" borderId="0" xfId="4495" applyFont="1" applyAlignment="1">
      <alignment horizontal="center"/>
    </xf>
    <xf numFmtId="0" fontId="26" fillId="0" borderId="54" xfId="4495" applyFont="1" applyBorder="1" applyAlignment="1">
      <alignment horizontal="center"/>
    </xf>
    <xf numFmtId="0" fontId="27" fillId="0" borderId="51" xfId="4495" applyFont="1" applyBorder="1" applyAlignment="1">
      <alignment horizontal="left" vertical="top" wrapText="1"/>
    </xf>
    <xf numFmtId="0" fontId="26" fillId="0" borderId="54" xfId="4495" applyFont="1" applyBorder="1" applyAlignment="1">
      <alignment horizontal="center" vertical="top"/>
    </xf>
    <xf numFmtId="0" fontId="121" fillId="5" borderId="62" xfId="4495" applyFill="1" applyBorder="1" applyAlignment="1" applyProtection="1">
      <alignment horizontal="center"/>
      <protection locked="0"/>
    </xf>
    <xf numFmtId="0" fontId="121" fillId="5" borderId="63" xfId="4495" applyFill="1" applyBorder="1" applyAlignment="1" applyProtection="1">
      <alignment horizontal="center"/>
      <protection locked="0"/>
    </xf>
    <xf numFmtId="0" fontId="121" fillId="5" borderId="50" xfId="4495" applyFill="1" applyBorder="1" applyAlignment="1">
      <alignment horizontal="center"/>
    </xf>
    <xf numFmtId="0" fontId="121" fillId="5" borderId="51" xfId="4495" applyFill="1" applyBorder="1" applyAlignment="1">
      <alignment horizontal="center"/>
    </xf>
    <xf numFmtId="0" fontId="55" fillId="0" borderId="51" xfId="4495" applyFont="1" applyBorder="1" applyAlignment="1">
      <alignment horizontal="left" wrapText="1"/>
    </xf>
    <xf numFmtId="0" fontId="55" fillId="0" borderId="0" xfId="4495" applyFont="1" applyAlignment="1">
      <alignment horizontal="left" wrapText="1"/>
    </xf>
    <xf numFmtId="0" fontId="123" fillId="0" borderId="50" xfId="4496" applyFont="1" applyBorder="1" applyAlignment="1">
      <alignment horizontal="left" wrapText="1"/>
    </xf>
    <xf numFmtId="0" fontId="123" fillId="0" borderId="51" xfId="4496" applyFont="1" applyBorder="1" applyAlignment="1">
      <alignment horizontal="left" wrapText="1"/>
    </xf>
    <xf numFmtId="0" fontId="123" fillId="0" borderId="52" xfId="4496" applyFont="1" applyBorder="1" applyAlignment="1">
      <alignment horizontal="left" wrapText="1"/>
    </xf>
    <xf numFmtId="0" fontId="123" fillId="0" borderId="57" xfId="4496" applyFont="1" applyBorder="1" applyAlignment="1">
      <alignment horizontal="left" wrapText="1"/>
    </xf>
    <xf numFmtId="0" fontId="123" fillId="0" borderId="58" xfId="4496" applyFont="1" applyBorder="1" applyAlignment="1">
      <alignment horizontal="left" wrapText="1"/>
    </xf>
    <xf numFmtId="0" fontId="123" fillId="0" borderId="59" xfId="4496" applyFont="1" applyBorder="1" applyAlignment="1">
      <alignment horizontal="left" wrapText="1"/>
    </xf>
    <xf numFmtId="0" fontId="19" fillId="0" borderId="0" xfId="4495" applyFont="1" applyAlignment="1">
      <alignment horizontal="left" vertical="center" wrapText="1" shrinkToFit="1"/>
    </xf>
    <xf numFmtId="0" fontId="19" fillId="5" borderId="6" xfId="4495" applyFont="1" applyFill="1" applyBorder="1" applyAlignment="1" applyProtection="1">
      <alignment horizontal="center" vertical="center" wrapText="1" shrinkToFit="1"/>
      <protection locked="0"/>
    </xf>
    <xf numFmtId="0" fontId="19" fillId="5" borderId="6" xfId="4495" applyFont="1" applyFill="1" applyBorder="1" applyAlignment="1" applyProtection="1">
      <alignment horizontal="left" wrapText="1" shrinkToFit="1"/>
      <protection locked="0"/>
    </xf>
    <xf numFmtId="0" fontId="19" fillId="43" borderId="6" xfId="1192" applyFill="1" applyBorder="1" applyAlignment="1" applyProtection="1">
      <alignment horizontal="left" vertical="top"/>
      <protection locked="0"/>
    </xf>
    <xf numFmtId="0" fontId="157" fillId="0" borderId="0" xfId="0" applyFont="1" applyAlignment="1" applyProtection="1">
      <alignment horizontal="left"/>
      <protection locked="0"/>
    </xf>
    <xf numFmtId="168" fontId="156" fillId="0" borderId="0" xfId="0" applyNumberFormat="1" applyFont="1" applyAlignment="1">
      <alignment horizontal="center" vertical="top" wrapText="1"/>
    </xf>
    <xf numFmtId="168" fontId="156" fillId="0" borderId="12" xfId="0" applyNumberFormat="1" applyFont="1" applyBorder="1" applyAlignment="1">
      <alignment horizontal="center" vertical="top" wrapText="1"/>
    </xf>
    <xf numFmtId="0" fontId="27" fillId="0" borderId="0" xfId="4495" applyFont="1" applyAlignment="1">
      <alignment horizontal="center"/>
    </xf>
    <xf numFmtId="0" fontId="19" fillId="0" borderId="0" xfId="4495" applyFont="1" applyAlignment="1">
      <alignment wrapText="1"/>
    </xf>
    <xf numFmtId="0" fontId="19" fillId="0" borderId="0" xfId="4495" applyFont="1" applyAlignment="1">
      <alignment horizontal="left" vertical="top" wrapText="1" shrinkToFit="1"/>
    </xf>
    <xf numFmtId="44" fontId="19" fillId="0" borderId="0" xfId="707" applyFont="1" applyFill="1" applyBorder="1" applyAlignment="1" applyProtection="1">
      <alignment horizontal="left" vertical="top" wrapText="1"/>
    </xf>
    <xf numFmtId="0" fontId="26" fillId="0" borderId="0" xfId="4495" applyFont="1" applyAlignment="1">
      <alignment horizontal="left" vertical="top" wrapText="1"/>
    </xf>
    <xf numFmtId="0" fontId="19" fillId="45" borderId="11" xfId="4495" applyFont="1" applyFill="1" applyBorder="1" applyAlignment="1">
      <alignment horizontal="center"/>
    </xf>
    <xf numFmtId="0" fontId="130" fillId="0" borderId="0" xfId="4495" applyFont="1" applyAlignment="1">
      <alignment horizontal="left" vertical="center" wrapText="1"/>
    </xf>
    <xf numFmtId="0" fontId="26" fillId="0" borderId="11" xfId="4495" applyFont="1" applyBorder="1" applyAlignment="1">
      <alignment horizontal="center"/>
    </xf>
    <xf numFmtId="0" fontId="27" fillId="0" borderId="58" xfId="4495" applyFont="1" applyBorder="1" applyAlignment="1">
      <alignment horizontal="left" vertical="top" wrapText="1"/>
    </xf>
    <xf numFmtId="0" fontId="26" fillId="0" borderId="4" xfId="4495" applyFont="1" applyBorder="1" applyAlignment="1">
      <alignment horizontal="left"/>
    </xf>
    <xf numFmtId="0" fontId="26" fillId="0" borderId="5" xfId="4495" applyFont="1" applyBorder="1" applyAlignment="1">
      <alignment horizontal="left"/>
    </xf>
    <xf numFmtId="1" fontId="26" fillId="0" borderId="4" xfId="4495" applyNumberFormat="1" applyFont="1" applyBorder="1" applyAlignment="1">
      <alignment horizontal="center" wrapText="1"/>
    </xf>
    <xf numFmtId="0" fontId="26" fillId="0" borderId="4" xfId="4495" applyFont="1" applyBorder="1" applyAlignment="1">
      <alignment horizontal="center" wrapText="1"/>
    </xf>
    <xf numFmtId="0" fontId="26" fillId="0" borderId="5" xfId="4495" applyFont="1" applyBorder="1" applyAlignment="1">
      <alignment horizontal="center" wrapText="1"/>
    </xf>
    <xf numFmtId="0" fontId="26" fillId="0" borderId="3" xfId="4495" applyFont="1" applyBorder="1" applyAlignment="1">
      <alignment horizontal="center" wrapText="1"/>
    </xf>
    <xf numFmtId="0" fontId="19" fillId="0" borderId="50" xfId="4496" applyFont="1" applyBorder="1" applyAlignment="1">
      <alignment horizontal="left" wrapText="1"/>
    </xf>
    <xf numFmtId="0" fontId="19" fillId="0" borderId="51" xfId="4496" applyFont="1" applyBorder="1" applyAlignment="1">
      <alignment horizontal="left" wrapText="1"/>
    </xf>
    <xf numFmtId="0" fontId="19" fillId="0" borderId="52" xfId="4496" applyFont="1" applyBorder="1" applyAlignment="1">
      <alignment horizontal="left" wrapText="1"/>
    </xf>
    <xf numFmtId="0" fontId="19" fillId="0" borderId="53" xfId="4496" applyFont="1" applyBorder="1" applyAlignment="1">
      <alignment horizontal="left" wrapText="1"/>
    </xf>
    <xf numFmtId="0" fontId="19" fillId="0" borderId="0" xfId="4496" applyFont="1" applyAlignment="1">
      <alignment horizontal="left" wrapText="1"/>
    </xf>
    <xf numFmtId="0" fontId="19" fillId="0" borderId="54" xfId="4496" applyFont="1" applyBorder="1" applyAlignment="1">
      <alignment horizontal="left" wrapText="1"/>
    </xf>
    <xf numFmtId="0" fontId="19" fillId="0" borderId="57" xfId="4496" applyFont="1" applyBorder="1" applyAlignment="1">
      <alignment horizontal="left" wrapText="1"/>
    </xf>
    <xf numFmtId="0" fontId="19" fillId="0" borderId="58" xfId="4496" applyFont="1" applyBorder="1" applyAlignment="1">
      <alignment horizontal="left" wrapText="1"/>
    </xf>
    <xf numFmtId="0" fontId="19" fillId="0" borderId="59" xfId="4496" applyFont="1" applyBorder="1" applyAlignment="1">
      <alignment horizontal="left" wrapText="1"/>
    </xf>
    <xf numFmtId="1" fontId="19" fillId="0" borderId="4" xfId="4496" applyNumberFormat="1" applyFont="1" applyBorder="1" applyAlignment="1">
      <alignment horizontal="center"/>
    </xf>
    <xf numFmtId="1" fontId="19" fillId="0" borderId="5" xfId="4496" applyNumberFormat="1" applyFont="1" applyBorder="1" applyAlignment="1">
      <alignment horizontal="center"/>
    </xf>
    <xf numFmtId="49" fontId="25" fillId="3" borderId="2" xfId="4495" applyNumberFormat="1" applyFont="1" applyFill="1" applyBorder="1" applyAlignment="1">
      <alignment horizontal="center" vertical="center" wrapText="1"/>
    </xf>
    <xf numFmtId="49" fontId="25" fillId="3" borderId="2" xfId="4495" applyNumberFormat="1" applyFont="1" applyFill="1" applyBorder="1" applyAlignment="1">
      <alignment horizontal="center" vertical="center"/>
    </xf>
    <xf numFmtId="49" fontId="25" fillId="3" borderId="0" xfId="4495" applyNumberFormat="1" applyFont="1" applyFill="1" applyAlignment="1">
      <alignment horizontal="center" vertical="center"/>
    </xf>
    <xf numFmtId="0" fontId="26" fillId="0" borderId="1" xfId="4495" applyFont="1" applyBorder="1" applyAlignment="1">
      <alignment horizontal="center" wrapText="1"/>
    </xf>
    <xf numFmtId="0" fontId="26" fillId="0" borderId="2" xfId="4495" applyFont="1" applyBorder="1" applyAlignment="1">
      <alignment horizontal="center" wrapText="1"/>
    </xf>
    <xf numFmtId="0" fontId="26" fillId="0" borderId="7" xfId="4495" applyFont="1" applyBorder="1" applyAlignment="1">
      <alignment horizontal="center" wrapText="1"/>
    </xf>
    <xf numFmtId="0" fontId="26" fillId="0" borderId="9" xfId="4495" applyFont="1" applyBorder="1" applyAlignment="1">
      <alignment horizontal="center" wrapText="1"/>
    </xf>
    <xf numFmtId="0" fontId="26" fillId="0" borderId="6" xfId="4495" applyFont="1" applyBorder="1" applyAlignment="1">
      <alignment horizontal="center" wrapText="1"/>
    </xf>
    <xf numFmtId="0" fontId="26" fillId="0" borderId="10" xfId="4495" applyFont="1" applyBorder="1" applyAlignment="1">
      <alignment horizontal="center" wrapText="1"/>
    </xf>
    <xf numFmtId="1" fontId="26" fillId="0" borderId="11" xfId="4495" applyNumberFormat="1" applyFont="1" applyBorder="1" applyAlignment="1">
      <alignment horizontal="center"/>
    </xf>
    <xf numFmtId="0" fontId="19" fillId="0" borderId="4" xfId="4495" applyFont="1" applyBorder="1" applyAlignment="1">
      <alignment horizontal="left"/>
    </xf>
    <xf numFmtId="0" fontId="19" fillId="0" borderId="5" xfId="4495" applyFont="1" applyBorder="1" applyAlignment="1">
      <alignment horizontal="left"/>
    </xf>
    <xf numFmtId="1" fontId="19" fillId="46" borderId="11" xfId="4495" applyNumberFormat="1" applyFont="1" applyFill="1" applyBorder="1" applyAlignment="1">
      <alignment horizontal="center"/>
    </xf>
    <xf numFmtId="0" fontId="19" fillId="5" borderId="11" xfId="4495" applyFont="1" applyFill="1" applyBorder="1" applyAlignment="1" applyProtection="1">
      <alignment horizontal="center"/>
      <protection locked="0"/>
    </xf>
    <xf numFmtId="0" fontId="26" fillId="0" borderId="3" xfId="4495" applyFont="1" applyBorder="1" applyAlignment="1">
      <alignment horizontal="center"/>
    </xf>
    <xf numFmtId="0" fontId="26" fillId="0" borderId="4" xfId="4495" applyFont="1" applyBorder="1" applyAlignment="1">
      <alignment horizontal="center"/>
    </xf>
    <xf numFmtId="0" fontId="26" fillId="0" borderId="5" xfId="4495" applyFont="1" applyBorder="1" applyAlignment="1">
      <alignment horizontal="center"/>
    </xf>
    <xf numFmtId="164" fontId="66" fillId="0" borderId="1" xfId="4495" applyNumberFormat="1" applyFont="1" applyBorder="1" applyAlignment="1">
      <alignment horizontal="right" vertical="center"/>
    </xf>
    <xf numFmtId="164" fontId="66" fillId="0" borderId="2" xfId="4495" applyNumberFormat="1" applyFont="1" applyBorder="1" applyAlignment="1">
      <alignment horizontal="right" vertical="center"/>
    </xf>
    <xf numFmtId="164" fontId="66" fillId="0" borderId="7" xfId="4495" applyNumberFormat="1" applyFont="1" applyBorder="1" applyAlignment="1">
      <alignment horizontal="right" vertical="center"/>
    </xf>
    <xf numFmtId="164" fontId="66" fillId="0" borderId="9" xfId="4495" applyNumberFormat="1" applyFont="1" applyBorder="1" applyAlignment="1">
      <alignment horizontal="right" vertical="center"/>
    </xf>
    <xf numFmtId="164" fontId="66" fillId="0" borderId="6" xfId="4495" applyNumberFormat="1" applyFont="1" applyBorder="1" applyAlignment="1">
      <alignment horizontal="right" vertical="center"/>
    </xf>
    <xf numFmtId="164" fontId="66" fillId="0" borderId="10" xfId="4495" applyNumberFormat="1" applyFont="1" applyBorder="1" applyAlignment="1">
      <alignment horizontal="right" vertical="center"/>
    </xf>
    <xf numFmtId="180" fontId="66" fillId="0" borderId="1" xfId="4495" applyNumberFormat="1" applyFont="1" applyBorder="1" applyAlignment="1">
      <alignment horizontal="center" vertical="center"/>
    </xf>
    <xf numFmtId="180" fontId="66" fillId="0" borderId="2" xfId="4495" applyNumberFormat="1" applyFont="1" applyBorder="1" applyAlignment="1">
      <alignment horizontal="center" vertical="center"/>
    </xf>
    <xf numFmtId="180" fontId="66" fillId="0" borderId="7" xfId="4495" applyNumberFormat="1" applyFont="1" applyBorder="1" applyAlignment="1">
      <alignment horizontal="center" vertical="center"/>
    </xf>
    <xf numFmtId="180" fontId="66" fillId="0" borderId="9" xfId="4495" applyNumberFormat="1" applyFont="1" applyBorder="1" applyAlignment="1">
      <alignment horizontal="center" vertical="center"/>
    </xf>
    <xf numFmtId="180" fontId="66" fillId="0" borderId="6" xfId="4495" applyNumberFormat="1" applyFont="1" applyBorder="1" applyAlignment="1">
      <alignment horizontal="center" vertical="center"/>
    </xf>
    <xf numFmtId="180" fontId="66" fillId="0" borderId="10" xfId="4495" applyNumberFormat="1" applyFont="1" applyBorder="1" applyAlignment="1">
      <alignment horizontal="center" vertical="center"/>
    </xf>
    <xf numFmtId="0" fontId="121" fillId="0" borderId="53" xfId="4495" applyBorder="1" applyAlignment="1">
      <alignment horizontal="center"/>
    </xf>
    <xf numFmtId="0" fontId="121" fillId="0" borderId="0" xfId="4495" applyAlignment="1">
      <alignment horizontal="center"/>
    </xf>
    <xf numFmtId="0" fontId="27" fillId="5" borderId="0" xfId="4495" applyFont="1" applyFill="1" applyAlignment="1">
      <alignment horizontal="left" vertical="top"/>
    </xf>
    <xf numFmtId="0" fontId="121" fillId="5" borderId="53" xfId="4495" applyFill="1" applyBorder="1" applyAlignment="1">
      <alignment horizontal="center"/>
    </xf>
    <xf numFmtId="0" fontId="121" fillId="5" borderId="0" xfId="4495" applyFill="1" applyAlignment="1">
      <alignment horizontal="center"/>
    </xf>
    <xf numFmtId="0" fontId="121" fillId="5" borderId="55" xfId="4495" applyFill="1" applyBorder="1" applyAlignment="1">
      <alignment horizontal="center"/>
    </xf>
    <xf numFmtId="0" fontId="121" fillId="5" borderId="6" xfId="4495" applyFill="1" applyBorder="1" applyAlignment="1">
      <alignment horizontal="center"/>
    </xf>
    <xf numFmtId="0" fontId="27" fillId="5" borderId="0" xfId="4495" applyFont="1" applyFill="1" applyAlignment="1">
      <alignment horizontal="left" vertical="top" wrapText="1"/>
    </xf>
    <xf numFmtId="0" fontId="27" fillId="5" borderId="58" xfId="4495" applyFont="1" applyFill="1" applyBorder="1" applyAlignment="1">
      <alignment horizontal="left" vertical="top" wrapText="1"/>
    </xf>
    <xf numFmtId="0" fontId="26" fillId="0" borderId="51" xfId="4495" applyFont="1" applyBorder="1" applyAlignment="1">
      <alignment horizontal="center" vertical="top"/>
    </xf>
    <xf numFmtId="0" fontId="26" fillId="0" borderId="52" xfId="4495" applyFont="1" applyBorder="1" applyAlignment="1">
      <alignment horizontal="center" vertical="top"/>
    </xf>
    <xf numFmtId="168" fontId="19" fillId="43" borderId="6" xfId="543" applyNumberFormat="1" applyFill="1" applyBorder="1" applyAlignment="1" applyProtection="1">
      <alignment horizontal="center"/>
      <protection locked="0"/>
    </xf>
    <xf numFmtId="0" fontId="19" fillId="0" borderId="6" xfId="1192" applyBorder="1" applyAlignment="1">
      <alignment horizontal="right"/>
    </xf>
    <xf numFmtId="10" fontId="27" fillId="0" borderId="2" xfId="4495" applyNumberFormat="1" applyFont="1" applyBorder="1" applyAlignment="1">
      <alignment horizontal="center"/>
    </xf>
    <xf numFmtId="4" fontId="27" fillId="0" borderId="0" xfId="4495" applyNumberFormat="1" applyFont="1" applyAlignment="1">
      <alignment horizontal="center"/>
    </xf>
    <xf numFmtId="9" fontId="27" fillId="5" borderId="6" xfId="4495" applyNumberFormat="1" applyFont="1" applyFill="1" applyBorder="1" applyAlignment="1">
      <alignment horizontal="left"/>
    </xf>
    <xf numFmtId="0" fontId="35" fillId="42" borderId="2" xfId="4495" applyFont="1" applyFill="1" applyBorder="1" applyAlignment="1">
      <alignment horizontal="center"/>
    </xf>
    <xf numFmtId="0" fontId="35" fillId="42" borderId="6" xfId="4495" applyFont="1" applyFill="1" applyBorder="1" applyAlignment="1">
      <alignment horizontal="center"/>
    </xf>
    <xf numFmtId="168" fontId="19" fillId="0" borderId="4" xfId="4496" applyNumberFormat="1" applyFont="1" applyBorder="1" applyAlignment="1">
      <alignment horizontal="center"/>
    </xf>
    <xf numFmtId="9" fontId="19" fillId="0" borderId="4" xfId="4496" applyNumberFormat="1" applyFont="1" applyBorder="1" applyAlignment="1">
      <alignment horizontal="center"/>
    </xf>
    <xf numFmtId="168" fontId="19" fillId="0" borderId="6" xfId="1192" applyNumberFormat="1" applyBorder="1" applyAlignment="1">
      <alignment horizontal="right"/>
    </xf>
    <xf numFmtId="168" fontId="19" fillId="43" borderId="6" xfId="1192" applyNumberFormat="1" applyFill="1" applyBorder="1" applyAlignment="1" applyProtection="1">
      <alignment horizontal="right"/>
      <protection locked="0"/>
    </xf>
    <xf numFmtId="0" fontId="27" fillId="5" borderId="58" xfId="4495" applyFont="1" applyFill="1" applyBorder="1" applyAlignment="1">
      <alignment horizontal="left"/>
    </xf>
    <xf numFmtId="0" fontId="55" fillId="0" borderId="51" xfId="4495" applyFont="1" applyBorder="1" applyAlignment="1">
      <alignment horizontal="left" vertical="top" wrapText="1"/>
    </xf>
    <xf numFmtId="0" fontId="55" fillId="0" borderId="0" xfId="4495" applyFont="1" applyAlignment="1">
      <alignment horizontal="left" vertical="top" wrapText="1"/>
    </xf>
    <xf numFmtId="9" fontId="27" fillId="5" borderId="58" xfId="4495" applyNumberFormat="1" applyFont="1" applyFill="1" applyBorder="1" applyAlignment="1">
      <alignment horizontal="left"/>
    </xf>
    <xf numFmtId="0" fontId="27" fillId="5" borderId="6" xfId="4495" applyFont="1" applyFill="1" applyBorder="1" applyAlignment="1">
      <alignment horizontal="left"/>
    </xf>
    <xf numFmtId="4" fontId="27" fillId="0" borderId="3" xfId="4495" applyNumberFormat="1" applyFont="1" applyBorder="1" applyAlignment="1">
      <alignment horizontal="center"/>
    </xf>
    <xf numFmtId="4" fontId="27" fillId="0" borderId="4" xfId="4495" applyNumberFormat="1" applyFont="1" applyBorder="1" applyAlignment="1">
      <alignment horizontal="center"/>
    </xf>
    <xf numFmtId="4" fontId="27" fillId="0" borderId="5" xfId="4495" applyNumberFormat="1" applyFont="1" applyBorder="1" applyAlignment="1">
      <alignment horizontal="center"/>
    </xf>
    <xf numFmtId="165" fontId="123" fillId="0" borderId="3" xfId="4496" applyNumberFormat="1" applyFont="1" applyBorder="1" applyAlignment="1">
      <alignment horizontal="center" vertical="top" wrapText="1"/>
    </xf>
    <xf numFmtId="165" fontId="123" fillId="0" borderId="5" xfId="4496" applyNumberFormat="1" applyFont="1" applyBorder="1" applyAlignment="1">
      <alignment horizontal="center" vertical="top" wrapText="1"/>
    </xf>
    <xf numFmtId="3" fontId="19" fillId="43" borderId="6" xfId="1192" applyNumberFormat="1" applyFill="1" applyBorder="1" applyAlignment="1" applyProtection="1">
      <alignment horizontal="right"/>
      <protection locked="0"/>
    </xf>
    <xf numFmtId="0" fontId="142" fillId="0" borderId="0" xfId="1192" applyFont="1" applyAlignment="1">
      <alignment horizontal="center"/>
    </xf>
    <xf numFmtId="4" fontId="27" fillId="0" borderId="6" xfId="4495" applyNumberFormat="1" applyFont="1" applyBorder="1" applyAlignment="1">
      <alignment horizontal="center"/>
    </xf>
    <xf numFmtId="0" fontId="26" fillId="0" borderId="0" xfId="4495" applyFont="1" applyAlignment="1">
      <alignment horizontal="left" wrapText="1"/>
    </xf>
    <xf numFmtId="164" fontId="19" fillId="0" borderId="50" xfId="4495" applyNumberFormat="1" applyFont="1" applyBorder="1" applyAlignment="1">
      <alignment horizontal="left" vertical="top" wrapText="1"/>
    </xf>
    <xf numFmtId="164" fontId="19" fillId="0" borderId="51" xfId="4495" applyNumberFormat="1" applyFont="1" applyBorder="1" applyAlignment="1">
      <alignment horizontal="left" vertical="top" wrapText="1"/>
    </xf>
    <xf numFmtId="164" fontId="19" fillId="0" borderId="52" xfId="4495" applyNumberFormat="1" applyFont="1" applyBorder="1" applyAlignment="1">
      <alignment horizontal="left" vertical="top" wrapText="1"/>
    </xf>
    <xf numFmtId="164" fontId="19" fillId="0" borderId="53" xfId="4495" applyNumberFormat="1" applyFont="1" applyBorder="1" applyAlignment="1">
      <alignment horizontal="left" vertical="top" wrapText="1"/>
    </xf>
    <xf numFmtId="164" fontId="19" fillId="0" borderId="0" xfId="4495" applyNumberFormat="1" applyFont="1" applyAlignment="1">
      <alignment horizontal="left" vertical="top" wrapText="1"/>
    </xf>
    <xf numFmtId="164" fontId="19" fillId="0" borderId="54" xfId="4495" applyNumberFormat="1" applyFont="1" applyBorder="1" applyAlignment="1">
      <alignment horizontal="left" vertical="top" wrapText="1"/>
    </xf>
    <xf numFmtId="164" fontId="19" fillId="0" borderId="57" xfId="4495" applyNumberFormat="1" applyFont="1" applyBorder="1" applyAlignment="1">
      <alignment horizontal="left" vertical="top" wrapText="1"/>
    </xf>
    <xf numFmtId="164" fontId="19" fillId="0" borderId="58" xfId="4495" applyNumberFormat="1" applyFont="1" applyBorder="1" applyAlignment="1">
      <alignment horizontal="left" vertical="top" wrapText="1"/>
    </xf>
    <xf numFmtId="164" fontId="19" fillId="0" borderId="59" xfId="4495" applyNumberFormat="1" applyFont="1" applyBorder="1" applyAlignment="1">
      <alignment horizontal="left" vertical="top" wrapText="1"/>
    </xf>
    <xf numFmtId="168" fontId="19" fillId="0" borderId="4" xfId="1192" applyNumberFormat="1" applyBorder="1" applyAlignment="1">
      <alignment horizontal="right"/>
    </xf>
    <xf numFmtId="0" fontId="119" fillId="0" borderId="4" xfId="1192" applyFont="1" applyBorder="1" applyAlignment="1">
      <alignment horizontal="left"/>
    </xf>
    <xf numFmtId="0" fontId="121" fillId="5" borderId="62" xfId="4495" applyFill="1" applyBorder="1" applyAlignment="1">
      <alignment horizontal="center"/>
    </xf>
    <xf numFmtId="0" fontId="121" fillId="5" borderId="63" xfId="4495" applyFill="1" applyBorder="1" applyAlignment="1">
      <alignment horizontal="center"/>
    </xf>
    <xf numFmtId="0" fontId="99" fillId="0" borderId="3" xfId="4496" applyFont="1" applyBorder="1"/>
    <xf numFmtId="0" fontId="99" fillId="0" borderId="81" xfId="4496" applyFont="1" applyBorder="1"/>
    <xf numFmtId="0" fontId="99" fillId="0" borderId="94" xfId="4496" applyFont="1" applyBorder="1"/>
    <xf numFmtId="0" fontId="99" fillId="0" borderId="85" xfId="4496" applyFont="1" applyBorder="1"/>
    <xf numFmtId="49" fontId="99" fillId="45" borderId="15" xfId="4496" applyNumberFormat="1" applyFont="1" applyFill="1" applyBorder="1" applyAlignment="1">
      <alignment horizontal="center" vertical="center" wrapText="1"/>
    </xf>
    <xf numFmtId="49" fontId="99" fillId="45" borderId="13" xfId="4496" applyNumberFormat="1" applyFont="1" applyFill="1" applyBorder="1" applyAlignment="1">
      <alignment horizontal="center" vertical="center" wrapText="1"/>
    </xf>
    <xf numFmtId="0" fontId="99" fillId="0" borderId="93" xfId="4496" applyFont="1" applyBorder="1" applyAlignment="1">
      <alignment horizontal="right"/>
    </xf>
    <xf numFmtId="0" fontId="99" fillId="0" borderId="74" xfId="4496" applyFont="1" applyBorder="1" applyAlignment="1">
      <alignment horizontal="right"/>
    </xf>
    <xf numFmtId="0" fontId="99" fillId="0" borderId="75" xfId="4496" applyFont="1" applyBorder="1"/>
    <xf numFmtId="0" fontId="99" fillId="0" borderId="91" xfId="4496" applyFont="1" applyBorder="1"/>
    <xf numFmtId="0" fontId="99" fillId="0" borderId="90" xfId="4496" applyFont="1" applyBorder="1" applyAlignment="1">
      <alignment horizontal="right"/>
    </xf>
    <xf numFmtId="0" fontId="99" fillId="0" borderId="5" xfId="4496" applyFont="1" applyBorder="1" applyAlignment="1">
      <alignment horizontal="right"/>
    </xf>
    <xf numFmtId="0" fontId="99" fillId="0" borderId="69" xfId="4496" applyFont="1" applyBorder="1" applyAlignment="1">
      <alignment horizontal="right"/>
    </xf>
    <xf numFmtId="0" fontId="99" fillId="0" borderId="70" xfId="4496" applyFont="1" applyBorder="1" applyAlignment="1">
      <alignment horizontal="right"/>
    </xf>
    <xf numFmtId="168" fontId="99" fillId="0" borderId="11" xfId="4499" applyNumberFormat="1" applyFont="1" applyFill="1" applyBorder="1" applyAlignment="1" applyProtection="1">
      <alignment horizontal="left" vertical="center" indent="1"/>
    </xf>
    <xf numFmtId="0" fontId="137" fillId="0" borderId="68" xfId="4496" applyFont="1" applyBorder="1" applyAlignment="1">
      <alignment horizontal="left" indent="1"/>
    </xf>
    <xf numFmtId="168" fontId="99" fillId="0" borderId="70" xfId="4499" applyNumberFormat="1" applyFont="1" applyFill="1" applyBorder="1" applyAlignment="1" applyProtection="1">
      <alignment horizontal="left" vertical="center" indent="1"/>
    </xf>
    <xf numFmtId="49" fontId="136" fillId="3" borderId="0" xfId="1192" applyNumberFormat="1" applyFont="1" applyFill="1" applyAlignment="1">
      <alignment horizontal="center" vertical="center"/>
    </xf>
    <xf numFmtId="0" fontId="99" fillId="0" borderId="11" xfId="4496" applyFont="1" applyBorder="1" applyAlignment="1">
      <alignment horizontal="left" indent="1"/>
    </xf>
    <xf numFmtId="0" fontId="99" fillId="0" borderId="11" xfId="4496" applyFont="1" applyBorder="1" applyAlignment="1">
      <alignment horizontal="left" indent="2"/>
    </xf>
    <xf numFmtId="0" fontId="137" fillId="45" borderId="3" xfId="4496" applyFont="1" applyFill="1" applyBorder="1" applyAlignment="1">
      <alignment horizontal="center" vertical="center"/>
    </xf>
    <xf numFmtId="0" fontId="137" fillId="45" borderId="4" xfId="4496" applyFont="1" applyFill="1" applyBorder="1" applyAlignment="1">
      <alignment horizontal="center" vertical="center"/>
    </xf>
    <xf numFmtId="0" fontId="137" fillId="45" borderId="5" xfId="4496" applyFont="1" applyFill="1" applyBorder="1" applyAlignment="1">
      <alignment horizontal="center" vertical="center"/>
    </xf>
    <xf numFmtId="9" fontId="137" fillId="45" borderId="3" xfId="4499" applyFont="1" applyFill="1" applyBorder="1" applyAlignment="1" applyProtection="1">
      <alignment horizontal="center" vertical="center"/>
    </xf>
    <xf numFmtId="9" fontId="137" fillId="45" borderId="4" xfId="4499" applyFont="1" applyFill="1" applyBorder="1" applyAlignment="1" applyProtection="1">
      <alignment horizontal="center" vertical="center"/>
    </xf>
    <xf numFmtId="9" fontId="137" fillId="45" borderId="5" xfId="4499" applyFont="1" applyFill="1" applyBorder="1" applyAlignment="1" applyProtection="1">
      <alignment horizontal="center" vertical="center"/>
    </xf>
    <xf numFmtId="168" fontId="99" fillId="0" borderId="13" xfId="4499" applyNumberFormat="1" applyFont="1" applyFill="1" applyBorder="1" applyAlignment="1" applyProtection="1">
      <alignment horizontal="left" vertical="center" indent="1"/>
    </xf>
    <xf numFmtId="0" fontId="99" fillId="0" borderId="3" xfId="4496" applyFont="1" applyBorder="1" applyAlignment="1">
      <alignment horizontal="left" indent="1"/>
    </xf>
    <xf numFmtId="0" fontId="99" fillId="0" borderId="4" xfId="4496" applyFont="1" applyBorder="1" applyAlignment="1">
      <alignment horizontal="left" indent="1"/>
    </xf>
    <xf numFmtId="0" fontId="99" fillId="0" borderId="5" xfId="4496" applyFont="1" applyBorder="1" applyAlignment="1">
      <alignment horizontal="left" indent="1"/>
    </xf>
    <xf numFmtId="0" fontId="99" fillId="0" borderId="3" xfId="4496" applyFont="1" applyBorder="1" applyAlignment="1">
      <alignment horizontal="left" indent="2"/>
    </xf>
    <xf numFmtId="0" fontId="99" fillId="0" borderId="4" xfId="4496" applyFont="1" applyBorder="1" applyAlignment="1">
      <alignment horizontal="left" indent="2"/>
    </xf>
    <xf numFmtId="0" fontId="99" fillId="0" borderId="5" xfId="4496" applyFont="1" applyBorder="1" applyAlignment="1">
      <alignment horizontal="left" indent="2"/>
    </xf>
    <xf numFmtId="0" fontId="99" fillId="0" borderId="0" xfId="4496" applyFont="1" applyAlignment="1">
      <alignment wrapText="1"/>
    </xf>
    <xf numFmtId="0" fontId="137" fillId="0" borderId="75" xfId="4496" applyFont="1" applyBorder="1" applyAlignment="1">
      <alignment horizontal="center" vertical="top" wrapText="1"/>
    </xf>
    <xf numFmtId="0" fontId="137" fillId="0" borderId="74" xfId="4496" applyFont="1" applyBorder="1" applyAlignment="1">
      <alignment horizontal="center" vertical="top" wrapText="1"/>
    </xf>
    <xf numFmtId="0" fontId="99" fillId="0" borderId="0" xfId="4496" applyFont="1" applyAlignment="1">
      <alignment horizontal="left" wrapText="1"/>
    </xf>
    <xf numFmtId="0" fontId="99" fillId="0" borderId="0" xfId="4496" applyFont="1" applyAlignment="1">
      <alignment horizontal="center" vertical="center" wrapText="1"/>
    </xf>
    <xf numFmtId="0" fontId="99" fillId="43" borderId="0" xfId="4496" applyFont="1" applyFill="1" applyAlignment="1" applyProtection="1">
      <alignment horizontal="left" vertical="top" wrapText="1"/>
      <protection locked="0"/>
    </xf>
    <xf numFmtId="0" fontId="99" fillId="43" borderId="6" xfId="4496" applyFont="1" applyFill="1" applyBorder="1" applyAlignment="1" applyProtection="1">
      <alignment horizontal="left" vertical="top" wrapText="1"/>
      <protection locked="0"/>
    </xf>
    <xf numFmtId="0" fontId="99" fillId="0" borderId="0" xfId="4496" applyFont="1" applyAlignment="1">
      <alignment horizontal="left" wrapText="1" indent="1"/>
    </xf>
    <xf numFmtId="0" fontId="24" fillId="0" borderId="6" xfId="271" applyFont="1" applyBorder="1" applyAlignment="1">
      <alignment horizontal="center"/>
    </xf>
    <xf numFmtId="0" fontId="24" fillId="0" borderId="0" xfId="0" applyFont="1" applyAlignment="1" applyProtection="1">
      <alignment wrapText="1"/>
      <protection locked="0"/>
    </xf>
    <xf numFmtId="3" fontId="19" fillId="0" borderId="0" xfId="0" applyNumberFormat="1" applyFont="1" applyAlignment="1">
      <alignment horizontal="left" vertical="top" wrapText="1"/>
    </xf>
    <xf numFmtId="3" fontId="28" fillId="0" borderId="0" xfId="0" applyNumberFormat="1" applyFont="1" applyAlignment="1">
      <alignment horizontal="left" vertical="top" wrapText="1"/>
    </xf>
    <xf numFmtId="0" fontId="19" fillId="43" borderId="0" xfId="0" applyFont="1" applyFill="1" applyAlignment="1">
      <alignment horizontal="left"/>
    </xf>
  </cellXfs>
  <cellStyles count="44254">
    <cellStyle name="20% - Accent1" xfId="1" builtinId="30" customBuiltin="1"/>
    <cellStyle name="20% - Accent1 10" xfId="4504" xr:uid="{00000000-0005-0000-0000-000001000000}"/>
    <cellStyle name="20% - Accent1 10 2" xfId="23130" xr:uid="{8C5D06A3-2782-4932-A059-24FA025B9074}"/>
    <cellStyle name="20% - Accent1 10 3" xfId="31577" xr:uid="{5D3BA2C2-C87F-4492-9791-C7C7781D3331}"/>
    <cellStyle name="20% - Accent1 10 4" xfId="40024" xr:uid="{3A9253BA-D9F0-43F3-A198-AC988340C4BF}"/>
    <cellStyle name="20% - Accent1 10 5" xfId="13830" xr:uid="{7DFDEE43-7998-4408-AC9F-46FC6D1DFD3C}"/>
    <cellStyle name="20% - Accent1 11" xfId="8758" xr:uid="{2F735C8D-70CB-4E84-A95A-4445894745BC}"/>
    <cellStyle name="20% - Accent1 11 2" xfId="18082" xr:uid="{90DDC7FF-8005-4D30-9B97-308ADD41CF15}"/>
    <cellStyle name="20% - Accent1 12" xfId="18913" xr:uid="{AB2FAD16-EED7-4D2B-9FBB-A672AF2CA499}"/>
    <cellStyle name="20% - Accent1 13" xfId="27360" xr:uid="{5BF2E23A-6281-49D8-A480-85FC00F2B647}"/>
    <cellStyle name="20% - Accent1 14" xfId="35807" xr:uid="{40CF19D0-EF0F-4444-BDD4-5687EF4F7435}"/>
    <cellStyle name="20% - Accent1 15" xfId="9613" xr:uid="{CD233657-F65A-4C55-AF4F-BA3F5E875750}"/>
    <cellStyle name="20% - Accent1 2" xfId="2" xr:uid="{00000000-0005-0000-0000-000002000000}"/>
    <cellStyle name="20% - Accent1 2 10" xfId="8797" xr:uid="{7F4BEAE6-CC35-4B07-89BD-8FC5D6B3D35B}"/>
    <cellStyle name="20% - Accent1 2 10 2" xfId="18121" xr:uid="{94E42C58-2CC5-4959-9C61-736F41CF1720}"/>
    <cellStyle name="20% - Accent1 2 11" xfId="18914" xr:uid="{6A6D7845-DBA6-435A-9B34-0EE68A6C251E}"/>
    <cellStyle name="20% - Accent1 2 12" xfId="27361" xr:uid="{5FA1BCB1-849E-43F8-A424-4DD7D85D69E8}"/>
    <cellStyle name="20% - Accent1 2 13" xfId="35808" xr:uid="{5EEACBD7-F78D-4CD1-B4FD-54085C6062C6}"/>
    <cellStyle name="20% - Accent1 2 14" xfId="9614" xr:uid="{CFE40778-9297-41A2-8E42-B388E56C9F06}"/>
    <cellStyle name="20% - Accent1 2 2" xfId="3" xr:uid="{00000000-0005-0000-0000-000003000000}"/>
    <cellStyle name="20% - Accent1 2 2 10" xfId="18915" xr:uid="{35531875-CA7A-4F27-B5CB-344EA663C20D}"/>
    <cellStyle name="20% - Accent1 2 2 11" xfId="27362" xr:uid="{18052E4E-A414-4708-A548-A40B1296E58C}"/>
    <cellStyle name="20% - Accent1 2 2 12" xfId="35809" xr:uid="{38F3A39E-783C-4F48-8EAC-7B055D992B9C}"/>
    <cellStyle name="20% - Accent1 2 2 13" xfId="9615" xr:uid="{6DE65672-53AC-461A-A57D-91DF2F72113F}"/>
    <cellStyle name="20% - Accent1 2 2 2" xfId="4" xr:uid="{00000000-0005-0000-0000-000004000000}"/>
    <cellStyle name="20% - Accent1 2 2 2 10" xfId="27363" xr:uid="{6BF14076-1FB0-43FB-9EFA-CE2765D58E02}"/>
    <cellStyle name="20% - Accent1 2 2 2 11" xfId="35810" xr:uid="{F9EB7344-6113-49F3-9BD4-B2EDAB157AD7}"/>
    <cellStyle name="20% - Accent1 2 2 2 12" xfId="9616" xr:uid="{A99ABD2F-8F7D-43C1-9B90-29FCA6C288F4}"/>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2 2 2" xfId="25692" xr:uid="{088A369A-BA68-4D88-AE25-72B53A8BAAD5}"/>
    <cellStyle name="20% - Accent1 2 2 2 2 2 2 3" xfId="34139" xr:uid="{7F007F00-DBBE-4AFE-863E-8FAF99F01FA1}"/>
    <cellStyle name="20% - Accent1 2 2 2 2 2 2 4" xfId="42586" xr:uid="{0CA9ACD3-0B34-4F1A-BD7F-73DB6AFC0705}"/>
    <cellStyle name="20% - Accent1 2 2 2 2 2 2 5" xfId="16392" xr:uid="{29167B1A-7ED9-4B7F-A80B-EB25AC073D85}"/>
    <cellStyle name="20% - Accent1 2 2 2 2 2 3" xfId="21475" xr:uid="{DA20D284-62B5-44FD-B0C1-D82AD3605C19}"/>
    <cellStyle name="20% - Accent1 2 2 2 2 2 4" xfId="29922" xr:uid="{78AEF10F-B8D2-4CD5-8AA6-28B7239FFF37}"/>
    <cellStyle name="20% - Accent1 2 2 2 2 2 5" xfId="38369" xr:uid="{69D8BBBE-144A-4F17-BFB2-29C455A41CF3}"/>
    <cellStyle name="20% - Accent1 2 2 2 2 2 6" xfId="12175" xr:uid="{9ECC47C9-B0EC-4AE7-8437-05D2D5BB6B4F}"/>
    <cellStyle name="20% - Accent1 2 2 2 2 3" xfId="4921" xr:uid="{00000000-0005-0000-0000-000008000000}"/>
    <cellStyle name="20% - Accent1 2 2 2 2 3 2" xfId="23547" xr:uid="{6F5B76C0-2A73-478F-8BD3-E5314FE775BD}"/>
    <cellStyle name="20% - Accent1 2 2 2 2 3 3" xfId="31994" xr:uid="{3CC67415-6772-4BAB-B82D-60359C16B98E}"/>
    <cellStyle name="20% - Accent1 2 2 2 2 3 4" xfId="40441" xr:uid="{877CADC3-B02C-4F1E-8CAE-3523FFD785F8}"/>
    <cellStyle name="20% - Accent1 2 2 2 2 3 5" xfId="14247" xr:uid="{EEE99CF7-71E6-4520-8082-E57884EFA636}"/>
    <cellStyle name="20% - Accent1 2 2 2 2 4" xfId="9532" xr:uid="{D5FAB462-C5A9-4306-AA37-C118C84F9393}"/>
    <cellStyle name="20% - Accent1 2 2 2 2 4 2" xfId="18848" xr:uid="{0B912639-96E5-41EE-9959-E56E333C0417}"/>
    <cellStyle name="20% - Accent1 2 2 2 2 5" xfId="19330" xr:uid="{D8581EB6-6ABD-4DE3-8E98-BE786033A9DF}"/>
    <cellStyle name="20% - Accent1 2 2 2 2 6" xfId="27777" xr:uid="{48654530-B89E-42F6-BC48-6AAA90ADECBD}"/>
    <cellStyle name="20% - Accent1 2 2 2 2 7" xfId="36224" xr:uid="{76DD1FDE-FED9-4ACD-8EC0-39403B815E28}"/>
    <cellStyle name="20% - Accent1 2 2 2 2 8" xfId="10030" xr:uid="{5FAA2F9C-60C4-4268-9E51-8FD6992AEEBA}"/>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2 2 2" xfId="26105" xr:uid="{BD5C429F-E882-4B09-8690-666B897CF67D}"/>
    <cellStyle name="20% - Accent1 2 2 2 3 2 2 3" xfId="34552" xr:uid="{F3102A82-6E31-479A-B4FD-58F2A985CA89}"/>
    <cellStyle name="20% - Accent1 2 2 2 3 2 2 4" xfId="42999" xr:uid="{B2023F64-F2F0-4E1A-BDC3-FADC361BA411}"/>
    <cellStyle name="20% - Accent1 2 2 2 3 2 2 5" xfId="16805" xr:uid="{73B1862D-8F58-42F2-98BB-8E809211FD2D}"/>
    <cellStyle name="20% - Accent1 2 2 2 3 2 3" xfId="21888" xr:uid="{BDDA78D4-0412-46CD-8D5F-0A3ADF37F109}"/>
    <cellStyle name="20% - Accent1 2 2 2 3 2 4" xfId="30335" xr:uid="{757382DD-368B-42C2-9591-789DFD96F66A}"/>
    <cellStyle name="20% - Accent1 2 2 2 3 2 5" xfId="38782" xr:uid="{4826E2B3-0409-4C16-B790-35FE54D14C20}"/>
    <cellStyle name="20% - Accent1 2 2 2 3 2 6" xfId="12588" xr:uid="{BBD6D794-79F3-40E6-BBB9-4C1C0B086825}"/>
    <cellStyle name="20% - Accent1 2 2 2 3 3" xfId="5334" xr:uid="{00000000-0005-0000-0000-00000C000000}"/>
    <cellStyle name="20% - Accent1 2 2 2 3 3 2" xfId="23960" xr:uid="{185D584A-304B-447D-80D9-43667D8528FC}"/>
    <cellStyle name="20% - Accent1 2 2 2 3 3 3" xfId="32407" xr:uid="{7FBC9F46-1435-4D3A-9704-429BF5B5F5E2}"/>
    <cellStyle name="20% - Accent1 2 2 2 3 3 4" xfId="40854" xr:uid="{28C3FE28-630D-4DE8-B6DE-D9AB721690F1}"/>
    <cellStyle name="20% - Accent1 2 2 2 3 3 5" xfId="14660" xr:uid="{D6477990-E69F-4DCC-9169-EBC316BBDAF7}"/>
    <cellStyle name="20% - Accent1 2 2 2 3 4" xfId="19743" xr:uid="{C24980C8-83C0-44F0-A4DB-1D835AC8996C}"/>
    <cellStyle name="20% - Accent1 2 2 2 3 5" xfId="28190" xr:uid="{EC1ADC70-D9E8-41B2-BA7F-91C01970AF2D}"/>
    <cellStyle name="20% - Accent1 2 2 2 3 6" xfId="36637" xr:uid="{5EB35A75-6B28-457F-B70C-FA832B76A14E}"/>
    <cellStyle name="20% - Accent1 2 2 2 3 7" xfId="10443" xr:uid="{5D8C77D8-3793-401D-9E20-60E0FC27C0E5}"/>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2 2 2" xfId="26518" xr:uid="{A34B2601-3302-40C6-8F1E-5057F8F9B044}"/>
    <cellStyle name="20% - Accent1 2 2 2 4 2 2 3" xfId="34965" xr:uid="{5471C5F9-0ED1-49CA-9821-545D1E66EC43}"/>
    <cellStyle name="20% - Accent1 2 2 2 4 2 2 4" xfId="43412" xr:uid="{5C51E330-F66F-43B2-9F96-269AF17DEB64}"/>
    <cellStyle name="20% - Accent1 2 2 2 4 2 2 5" xfId="17218" xr:uid="{554839DD-BE05-4C35-8EBD-67C0648F9607}"/>
    <cellStyle name="20% - Accent1 2 2 2 4 2 3" xfId="22301" xr:uid="{BDB00CB0-7027-4A38-A23A-F0DC7B9A2611}"/>
    <cellStyle name="20% - Accent1 2 2 2 4 2 4" xfId="30748" xr:uid="{3F2075E0-DB4D-4C36-B404-FA8885A4C072}"/>
    <cellStyle name="20% - Accent1 2 2 2 4 2 5" xfId="39195" xr:uid="{5826B0BA-7727-47EE-B9EA-64D89F08F32D}"/>
    <cellStyle name="20% - Accent1 2 2 2 4 2 6" xfId="13001" xr:uid="{BD7A5106-B6FA-40B1-BB72-C5D83CD0B1D9}"/>
    <cellStyle name="20% - Accent1 2 2 2 4 3" xfId="5747" xr:uid="{00000000-0005-0000-0000-000010000000}"/>
    <cellStyle name="20% - Accent1 2 2 2 4 3 2" xfId="24373" xr:uid="{0847E9E1-DBB1-479C-A5D6-06C72DDAECE8}"/>
    <cellStyle name="20% - Accent1 2 2 2 4 3 3" xfId="32820" xr:uid="{C4186FCD-C3BB-4B91-8DDF-F02CE233A4BA}"/>
    <cellStyle name="20% - Accent1 2 2 2 4 3 4" xfId="41267" xr:uid="{2EDF7F7F-6FF8-450A-9D1F-E58CD177E0E2}"/>
    <cellStyle name="20% - Accent1 2 2 2 4 3 5" xfId="15073" xr:uid="{87CF7BEF-7E38-4661-8432-E868DB630561}"/>
    <cellStyle name="20% - Accent1 2 2 2 4 4" xfId="20156" xr:uid="{70DCD944-E610-4BA3-AA2A-9FD03739E378}"/>
    <cellStyle name="20% - Accent1 2 2 2 4 5" xfId="28603" xr:uid="{CE6B0A2E-5435-432D-8D62-0D3B722D8B01}"/>
    <cellStyle name="20% - Accent1 2 2 2 4 6" xfId="37050" xr:uid="{E0CEA3AD-7979-4632-9819-1840BB7EECC6}"/>
    <cellStyle name="20% - Accent1 2 2 2 4 7" xfId="10856" xr:uid="{597881A5-B99D-4D5F-BB41-3FF83D48CAF6}"/>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2 2 2" xfId="26931" xr:uid="{0804E4F5-15D7-444C-ABC4-1D27BFB2F7ED}"/>
    <cellStyle name="20% - Accent1 2 2 2 5 2 2 3" xfId="35378" xr:uid="{A958E790-078D-4B2F-A31B-93A1508023E9}"/>
    <cellStyle name="20% - Accent1 2 2 2 5 2 2 4" xfId="43825" xr:uid="{84CD818C-6727-4C37-9F2D-B336A0889EF0}"/>
    <cellStyle name="20% - Accent1 2 2 2 5 2 2 5" xfId="17631" xr:uid="{48172BD5-EC7A-47E9-B901-EF1FFFBE9096}"/>
    <cellStyle name="20% - Accent1 2 2 2 5 2 3" xfId="22714" xr:uid="{CE3F87BF-8FF0-4E60-B50A-D7A50F08B7B4}"/>
    <cellStyle name="20% - Accent1 2 2 2 5 2 4" xfId="31161" xr:uid="{35ED761E-75F7-412E-BFFE-643BFBF75C7A}"/>
    <cellStyle name="20% - Accent1 2 2 2 5 2 5" xfId="39608" xr:uid="{25C41CC3-8131-49D8-BC91-B9B203C73876}"/>
    <cellStyle name="20% - Accent1 2 2 2 5 2 6" xfId="13414" xr:uid="{3ACA2895-7A68-4C73-98BB-11F8D0562487}"/>
    <cellStyle name="20% - Accent1 2 2 2 5 3" xfId="6160" xr:uid="{00000000-0005-0000-0000-000014000000}"/>
    <cellStyle name="20% - Accent1 2 2 2 5 3 2" xfId="24786" xr:uid="{0A03746F-F72E-4433-AB1A-C006E9B7FDC7}"/>
    <cellStyle name="20% - Accent1 2 2 2 5 3 3" xfId="33233" xr:uid="{D743EF9E-21B2-4B4C-9DFA-B08625370AC3}"/>
    <cellStyle name="20% - Accent1 2 2 2 5 3 4" xfId="41680" xr:uid="{BF3DA5A1-40AC-4262-A670-25B7111A2127}"/>
    <cellStyle name="20% - Accent1 2 2 2 5 3 5" xfId="15486" xr:uid="{9713B4D9-A60F-4C4C-BE6C-E78F2F1834F0}"/>
    <cellStyle name="20% - Accent1 2 2 2 5 4" xfId="20569" xr:uid="{A6F87401-7C35-4E4E-A88B-CF613286A2AB}"/>
    <cellStyle name="20% - Accent1 2 2 2 5 5" xfId="29016" xr:uid="{59E8247F-57B9-4EDF-9C6A-B27AB09BA24C}"/>
    <cellStyle name="20% - Accent1 2 2 2 5 6" xfId="37463" xr:uid="{05A0FB92-56D8-490F-A3D8-C5995778C0D0}"/>
    <cellStyle name="20% - Accent1 2 2 2 5 7" xfId="11269" xr:uid="{324F9673-11FE-4168-8D28-4D069E4101D1}"/>
    <cellStyle name="20% - Accent1 2 2 2 6" xfId="2267" xr:uid="{00000000-0005-0000-0000-000015000000}"/>
    <cellStyle name="20% - Accent1 2 2 2 6 2" xfId="6573" xr:uid="{00000000-0005-0000-0000-000016000000}"/>
    <cellStyle name="20% - Accent1 2 2 2 6 2 2" xfId="25199" xr:uid="{989A550F-169D-4DC4-8944-D53653102CED}"/>
    <cellStyle name="20% - Accent1 2 2 2 6 2 3" xfId="33646" xr:uid="{1CBE9BD7-F9CB-4962-88AA-2592FAF8B1DC}"/>
    <cellStyle name="20% - Accent1 2 2 2 6 2 4" xfId="42093" xr:uid="{9C06E8D1-B5FB-4C7B-A69F-8330234E56CB}"/>
    <cellStyle name="20% - Accent1 2 2 2 6 2 5" xfId="15899" xr:uid="{27B048B0-68A3-4E49-B800-D492078AB060}"/>
    <cellStyle name="20% - Accent1 2 2 2 6 3" xfId="20982" xr:uid="{FB7AC748-250C-4050-B674-F22332189680}"/>
    <cellStyle name="20% - Accent1 2 2 2 6 4" xfId="29429" xr:uid="{CB7D2CDD-C18A-4821-9340-6A19D3A40E57}"/>
    <cellStyle name="20% - Accent1 2 2 2 6 5" xfId="37876" xr:uid="{C4F5E0DB-19B2-44AA-9261-2904319E36C4}"/>
    <cellStyle name="20% - Accent1 2 2 2 6 6" xfId="11682" xr:uid="{7E804988-0A53-4B75-810D-5D16CCDE3005}"/>
    <cellStyle name="20% - Accent1 2 2 2 7" xfId="4507" xr:uid="{00000000-0005-0000-0000-000017000000}"/>
    <cellStyle name="20% - Accent1 2 2 2 7 2" xfId="23133" xr:uid="{4B5AF423-F8EE-4045-9682-3651621258D3}"/>
    <cellStyle name="20% - Accent1 2 2 2 7 3" xfId="31580" xr:uid="{DD4269A3-89CB-4F75-8462-B418D03E5E65}"/>
    <cellStyle name="20% - Accent1 2 2 2 7 4" xfId="40027" xr:uid="{81C4CB07-9C1D-4E1D-91CC-F73C747E5765}"/>
    <cellStyle name="20% - Accent1 2 2 2 7 5" xfId="13833" xr:uid="{546F56A6-4F88-48DD-A5FC-47C5C84389D6}"/>
    <cellStyle name="20% - Accent1 2 2 2 8" xfId="9107" xr:uid="{4168D01E-823F-4E8F-9A1D-70697AC1F241}"/>
    <cellStyle name="20% - Accent1 2 2 2 8 2" xfId="18431" xr:uid="{F19DE2FF-4BCB-4DC8-A6F4-A669913A82A4}"/>
    <cellStyle name="20% - Accent1 2 2 2 9" xfId="18916" xr:uid="{26649E50-2B3E-43D2-8A00-88A9705FB691}"/>
    <cellStyle name="20% - Accent1 2 2 3" xfId="572" xr:uid="{00000000-0005-0000-0000-000018000000}"/>
    <cellStyle name="20% - Accent1 2 2 3 2" xfId="2843" xr:uid="{00000000-0005-0000-0000-000019000000}"/>
    <cellStyle name="20% - Accent1 2 2 3 2 2" xfId="7065" xr:uid="{00000000-0005-0000-0000-00001A000000}"/>
    <cellStyle name="20% - Accent1 2 2 3 2 2 2" xfId="25691" xr:uid="{45C71EE9-9035-42DC-9145-C90AD9AC8E2B}"/>
    <cellStyle name="20% - Accent1 2 2 3 2 2 3" xfId="34138" xr:uid="{2C42C340-335E-4D84-8F41-C8805F4260A1}"/>
    <cellStyle name="20% - Accent1 2 2 3 2 2 4" xfId="42585" xr:uid="{A9ADEA0E-D2D7-43F3-84D2-AFC410310C99}"/>
    <cellStyle name="20% - Accent1 2 2 3 2 2 5" xfId="16391" xr:uid="{33DCBBA7-4F5D-43E5-915D-40F22BC99872}"/>
    <cellStyle name="20% - Accent1 2 2 3 2 3" xfId="21474" xr:uid="{3C4E810B-553E-4948-A307-B453FFC418AE}"/>
    <cellStyle name="20% - Accent1 2 2 3 2 4" xfId="29921" xr:uid="{F59A5EFA-E1F8-4B80-9A42-702E72106663}"/>
    <cellStyle name="20% - Accent1 2 2 3 2 5" xfId="38368" xr:uid="{827F3C02-A4F8-4970-B747-A9AC5B370763}"/>
    <cellStyle name="20% - Accent1 2 2 3 2 6" xfId="12174" xr:uid="{04E36EE8-5527-43CC-9A0C-3AE88297CA3F}"/>
    <cellStyle name="20% - Accent1 2 2 3 3" xfId="4920" xr:uid="{00000000-0005-0000-0000-00001B000000}"/>
    <cellStyle name="20% - Accent1 2 2 3 3 2" xfId="23546" xr:uid="{72B70611-1F94-45ED-857B-DA7F383DEAEE}"/>
    <cellStyle name="20% - Accent1 2 2 3 3 3" xfId="31993" xr:uid="{748A0643-5B63-4396-96DC-0F0F9C8CAFD8}"/>
    <cellStyle name="20% - Accent1 2 2 3 3 4" xfId="40440" xr:uid="{C007DEE6-C36D-4C40-9C1F-CFF94730657B}"/>
    <cellStyle name="20% - Accent1 2 2 3 3 5" xfId="14246" xr:uid="{EE117D68-EC0B-4EFA-BED5-16AB033D5529}"/>
    <cellStyle name="20% - Accent1 2 2 3 4" xfId="9325" xr:uid="{DE19910B-698B-4F31-B25F-3533B35DDA95}"/>
    <cellStyle name="20% - Accent1 2 2 3 4 2" xfId="18641" xr:uid="{B19B3409-A5D3-49E5-9BE6-2849417EA46C}"/>
    <cellStyle name="20% - Accent1 2 2 3 5" xfId="19329" xr:uid="{F1467377-05FC-46CA-A6C5-5761889A49CF}"/>
    <cellStyle name="20% - Accent1 2 2 3 6" xfId="27776" xr:uid="{3A9B9419-1867-4AC3-AC38-5C63B826F1B7}"/>
    <cellStyle name="20% - Accent1 2 2 3 7" xfId="36223" xr:uid="{B9917188-D0D7-4901-A898-409B2B5167CE}"/>
    <cellStyle name="20% - Accent1 2 2 3 8" xfId="10029" xr:uid="{50184F11-392D-4684-8627-977CE83D391D}"/>
    <cellStyle name="20% - Accent1 2 2 4" xfId="1025" xr:uid="{00000000-0005-0000-0000-00001C000000}"/>
    <cellStyle name="20% - Accent1 2 2 4 2" xfId="3256" xr:uid="{00000000-0005-0000-0000-00001D000000}"/>
    <cellStyle name="20% - Accent1 2 2 4 2 2" xfId="7478" xr:uid="{00000000-0005-0000-0000-00001E000000}"/>
    <cellStyle name="20% - Accent1 2 2 4 2 2 2" xfId="26104" xr:uid="{41DDCD41-49A6-482C-93F5-09A071A41FEF}"/>
    <cellStyle name="20% - Accent1 2 2 4 2 2 3" xfId="34551" xr:uid="{E2931740-9710-4326-86B6-312EF60160CE}"/>
    <cellStyle name="20% - Accent1 2 2 4 2 2 4" xfId="42998" xr:uid="{DD4A9414-767F-4DF3-A0FE-1CEC7CFE5895}"/>
    <cellStyle name="20% - Accent1 2 2 4 2 2 5" xfId="16804" xr:uid="{D9E309BA-106E-4C5E-AAD1-DE0FB2A1354E}"/>
    <cellStyle name="20% - Accent1 2 2 4 2 3" xfId="21887" xr:uid="{8A3A8117-FB6D-415B-8B2D-371F012D6294}"/>
    <cellStyle name="20% - Accent1 2 2 4 2 4" xfId="30334" xr:uid="{3BBECA07-5154-458C-A516-48891F94D60E}"/>
    <cellStyle name="20% - Accent1 2 2 4 2 5" xfId="38781" xr:uid="{AF20A0D1-DF1E-482D-AB34-01157E36DF0D}"/>
    <cellStyle name="20% - Accent1 2 2 4 2 6" xfId="12587" xr:uid="{B6AB8244-86D8-4963-B0F1-2325EB99EAD1}"/>
    <cellStyle name="20% - Accent1 2 2 4 3" xfId="5333" xr:uid="{00000000-0005-0000-0000-00001F000000}"/>
    <cellStyle name="20% - Accent1 2 2 4 3 2" xfId="23959" xr:uid="{9D83F478-3D1B-4F5D-A532-2D6115FCF80D}"/>
    <cellStyle name="20% - Accent1 2 2 4 3 3" xfId="32406" xr:uid="{D04CF2DC-22E9-46A6-AB02-6314A6F9EB17}"/>
    <cellStyle name="20% - Accent1 2 2 4 3 4" xfId="40853" xr:uid="{9AA24F4B-AD6C-4DF4-9656-4EC702B95F53}"/>
    <cellStyle name="20% - Accent1 2 2 4 3 5" xfId="14659" xr:uid="{F453D3DE-56E6-4E55-91F3-A705616D817D}"/>
    <cellStyle name="20% - Accent1 2 2 4 4" xfId="19742" xr:uid="{28A553D1-F125-476B-8BA1-5A556E9F1DC8}"/>
    <cellStyle name="20% - Accent1 2 2 4 5" xfId="28189" xr:uid="{4BEF3EA7-CD8D-4A04-B90D-D52A49FC0013}"/>
    <cellStyle name="20% - Accent1 2 2 4 6" xfId="36636" xr:uid="{AFE02057-5950-4DAB-8C24-AEFBFB51048B}"/>
    <cellStyle name="20% - Accent1 2 2 4 7" xfId="10442" xr:uid="{C51E2E0F-C817-480E-B351-937968B2C113}"/>
    <cellStyle name="20% - Accent1 2 2 5" xfId="1439" xr:uid="{00000000-0005-0000-0000-000020000000}"/>
    <cellStyle name="20% - Accent1 2 2 5 2" xfId="3669" xr:uid="{00000000-0005-0000-0000-000021000000}"/>
    <cellStyle name="20% - Accent1 2 2 5 2 2" xfId="7891" xr:uid="{00000000-0005-0000-0000-000022000000}"/>
    <cellStyle name="20% - Accent1 2 2 5 2 2 2" xfId="26517" xr:uid="{4F49B49B-D4D0-4862-8063-658311AA767D}"/>
    <cellStyle name="20% - Accent1 2 2 5 2 2 3" xfId="34964" xr:uid="{A1787351-2ED5-4F21-A205-686E85A0C013}"/>
    <cellStyle name="20% - Accent1 2 2 5 2 2 4" xfId="43411" xr:uid="{8A3B3903-3402-4F82-8852-529D801BFD97}"/>
    <cellStyle name="20% - Accent1 2 2 5 2 2 5" xfId="17217" xr:uid="{5CB204EA-9509-4667-8D3B-EA2637073307}"/>
    <cellStyle name="20% - Accent1 2 2 5 2 3" xfId="22300" xr:uid="{B5688C90-A0C4-42F1-AAB2-FB3FDA548A98}"/>
    <cellStyle name="20% - Accent1 2 2 5 2 4" xfId="30747" xr:uid="{FC052F5C-BDE0-4586-B9B2-C3E2B1DA582B}"/>
    <cellStyle name="20% - Accent1 2 2 5 2 5" xfId="39194" xr:uid="{2B9D4B04-E5EE-402F-936F-51907F9261BE}"/>
    <cellStyle name="20% - Accent1 2 2 5 2 6" xfId="13000" xr:uid="{83E963A4-C2E0-4C2E-AB2A-EB165F46F08A}"/>
    <cellStyle name="20% - Accent1 2 2 5 3" xfId="5746" xr:uid="{00000000-0005-0000-0000-000023000000}"/>
    <cellStyle name="20% - Accent1 2 2 5 3 2" xfId="24372" xr:uid="{8CDF6500-BE39-48D8-AA8E-B24233BD0366}"/>
    <cellStyle name="20% - Accent1 2 2 5 3 3" xfId="32819" xr:uid="{EC1C1975-3E0B-4AD7-A4FE-BC98D199924F}"/>
    <cellStyle name="20% - Accent1 2 2 5 3 4" xfId="41266" xr:uid="{23A4DA0F-494D-4CEC-842F-E08DE1F6FB22}"/>
    <cellStyle name="20% - Accent1 2 2 5 3 5" xfId="15072" xr:uid="{0533D1D4-515D-4F20-8AFB-8DBAC576DA45}"/>
    <cellStyle name="20% - Accent1 2 2 5 4" xfId="20155" xr:uid="{7266FEC7-8B35-4A4A-A1DD-BD4359AECE96}"/>
    <cellStyle name="20% - Accent1 2 2 5 5" xfId="28602" xr:uid="{97B808BB-9DE6-4E0D-AC15-3C8028E2C764}"/>
    <cellStyle name="20% - Accent1 2 2 5 6" xfId="37049" xr:uid="{178516EF-6F4F-448B-AE62-D4FAB8BF895A}"/>
    <cellStyle name="20% - Accent1 2 2 5 7" xfId="10855" xr:uid="{1A0A38BA-09BA-4CDA-BA01-0D9BD321C014}"/>
    <cellStyle name="20% - Accent1 2 2 6" xfId="1853" xr:uid="{00000000-0005-0000-0000-000024000000}"/>
    <cellStyle name="20% - Accent1 2 2 6 2" xfId="4082" xr:uid="{00000000-0005-0000-0000-000025000000}"/>
    <cellStyle name="20% - Accent1 2 2 6 2 2" xfId="8304" xr:uid="{00000000-0005-0000-0000-000026000000}"/>
    <cellStyle name="20% - Accent1 2 2 6 2 2 2" xfId="26930" xr:uid="{003DE5B6-2572-4880-83C9-4645D0471722}"/>
    <cellStyle name="20% - Accent1 2 2 6 2 2 3" xfId="35377" xr:uid="{73E188E2-8E1A-4F58-B05B-2EF38670D98A}"/>
    <cellStyle name="20% - Accent1 2 2 6 2 2 4" xfId="43824" xr:uid="{529D597D-B383-4772-BCAC-78E79D5A9C04}"/>
    <cellStyle name="20% - Accent1 2 2 6 2 2 5" xfId="17630" xr:uid="{B7498E8D-666F-42AB-97C9-CDC49B527925}"/>
    <cellStyle name="20% - Accent1 2 2 6 2 3" xfId="22713" xr:uid="{EA839584-1F09-4427-8CA2-CCEEDE7F1352}"/>
    <cellStyle name="20% - Accent1 2 2 6 2 4" xfId="31160" xr:uid="{027F017A-A37C-455A-861F-B526E185876A}"/>
    <cellStyle name="20% - Accent1 2 2 6 2 5" xfId="39607" xr:uid="{CE09168F-A091-4766-9A60-21F05DF3C84B}"/>
    <cellStyle name="20% - Accent1 2 2 6 2 6" xfId="13413" xr:uid="{871D9575-886F-471D-B89A-9C91F1F9FA78}"/>
    <cellStyle name="20% - Accent1 2 2 6 3" xfId="6159" xr:uid="{00000000-0005-0000-0000-000027000000}"/>
    <cellStyle name="20% - Accent1 2 2 6 3 2" xfId="24785" xr:uid="{E19EDD66-ED7C-438C-AA8D-FDB1C0127B49}"/>
    <cellStyle name="20% - Accent1 2 2 6 3 3" xfId="33232" xr:uid="{0B1C066A-6213-48DB-8A97-3AE3291EC4D4}"/>
    <cellStyle name="20% - Accent1 2 2 6 3 4" xfId="41679" xr:uid="{3E4C4CCD-2E2B-4238-B503-6DE92D120D19}"/>
    <cellStyle name="20% - Accent1 2 2 6 3 5" xfId="15485" xr:uid="{E88D2489-C316-42BE-8233-15A5AB5CD2BE}"/>
    <cellStyle name="20% - Accent1 2 2 6 4" xfId="20568" xr:uid="{FCA86B28-C042-4634-9C17-614ED653F323}"/>
    <cellStyle name="20% - Accent1 2 2 6 5" xfId="29015" xr:uid="{9B3EBF40-1A75-417F-9E64-CBA33C1FE15B}"/>
    <cellStyle name="20% - Accent1 2 2 6 6" xfId="37462" xr:uid="{212E3457-01BB-4C54-9820-518205EAD897}"/>
    <cellStyle name="20% - Accent1 2 2 6 7" xfId="11268" xr:uid="{B2A76ED2-554A-4C58-BF24-4F0AE0822F88}"/>
    <cellStyle name="20% - Accent1 2 2 7" xfId="2266" xr:uid="{00000000-0005-0000-0000-000028000000}"/>
    <cellStyle name="20% - Accent1 2 2 7 2" xfId="6572" xr:uid="{00000000-0005-0000-0000-000029000000}"/>
    <cellStyle name="20% - Accent1 2 2 7 2 2" xfId="25198" xr:uid="{9F636E57-A95F-4377-9A8A-E33377B9110B}"/>
    <cellStyle name="20% - Accent1 2 2 7 2 3" xfId="33645" xr:uid="{3A43372A-2E93-4082-BA99-7835DF069B77}"/>
    <cellStyle name="20% - Accent1 2 2 7 2 4" xfId="42092" xr:uid="{6821BD4E-5A3E-4105-819B-E91F6F0F93A2}"/>
    <cellStyle name="20% - Accent1 2 2 7 2 5" xfId="15898" xr:uid="{80E653D1-BFAC-4523-8171-5D81B5A7C1EE}"/>
    <cellStyle name="20% - Accent1 2 2 7 3" xfId="20981" xr:uid="{D45C24CA-6086-416F-9C8B-C483262BB49C}"/>
    <cellStyle name="20% - Accent1 2 2 7 4" xfId="29428" xr:uid="{8647B94A-8279-419A-A396-8DDCDB7CF2CC}"/>
    <cellStyle name="20% - Accent1 2 2 7 5" xfId="37875" xr:uid="{C74E9C12-F969-481D-A787-6627637828B0}"/>
    <cellStyle name="20% - Accent1 2 2 7 6" xfId="11681" xr:uid="{69703E2B-3C22-474B-A2F3-515CE3C02511}"/>
    <cellStyle name="20% - Accent1 2 2 8" xfId="4506" xr:uid="{00000000-0005-0000-0000-00002A000000}"/>
    <cellStyle name="20% - Accent1 2 2 8 2" xfId="23132" xr:uid="{935377D8-5A37-4A03-A4A8-25F617CFD819}"/>
    <cellStyle name="20% - Accent1 2 2 8 3" xfId="31579" xr:uid="{CD9623E2-B181-4FA5-9CB5-F8FDCBE92FBD}"/>
    <cellStyle name="20% - Accent1 2 2 8 4" xfId="40026" xr:uid="{963074B6-0352-49AE-8DF4-FF6AEF535FA3}"/>
    <cellStyle name="20% - Accent1 2 2 8 5" xfId="13832" xr:uid="{EDFA7CAE-64E9-471D-BF75-EC959685ECE4}"/>
    <cellStyle name="20% - Accent1 2 2 9" xfId="8900" xr:uid="{7D7E3EAF-DF6A-403F-8C20-66BB9757790F}"/>
    <cellStyle name="20% - Accent1 2 2 9 2" xfId="18224" xr:uid="{96A8970A-A147-46F6-9C46-121101BB6CEB}"/>
    <cellStyle name="20% - Accent1 2 3" xfId="5" xr:uid="{00000000-0005-0000-0000-00002B000000}"/>
    <cellStyle name="20% - Accent1 2 3 10" xfId="27364" xr:uid="{A7C0A966-E8CA-4773-A1C0-D4884C63221B}"/>
    <cellStyle name="20% - Accent1 2 3 11" xfId="35811" xr:uid="{1A7A61FE-7CCE-4339-8626-0EFE3F47E14D}"/>
    <cellStyle name="20% - Accent1 2 3 12" xfId="9617" xr:uid="{734A8C6B-6544-408A-9E29-454209C10383}"/>
    <cellStyle name="20% - Accent1 2 3 2" xfId="574" xr:uid="{00000000-0005-0000-0000-00002C000000}"/>
    <cellStyle name="20% - Accent1 2 3 2 2" xfId="2845" xr:uid="{00000000-0005-0000-0000-00002D000000}"/>
    <cellStyle name="20% - Accent1 2 3 2 2 2" xfId="7067" xr:uid="{00000000-0005-0000-0000-00002E000000}"/>
    <cellStyle name="20% - Accent1 2 3 2 2 2 2" xfId="25693" xr:uid="{AFA6E1FC-AABF-4759-96E7-9D0267E9C6D4}"/>
    <cellStyle name="20% - Accent1 2 3 2 2 2 3" xfId="34140" xr:uid="{C0C2CC24-03B6-45BB-80F9-AD4535894132}"/>
    <cellStyle name="20% - Accent1 2 3 2 2 2 4" xfId="42587" xr:uid="{AC1439C7-87EB-428C-A7FE-D3641B0502F8}"/>
    <cellStyle name="20% - Accent1 2 3 2 2 2 5" xfId="16393" xr:uid="{3F750809-DED6-449C-BFF5-246CF96F698E}"/>
    <cellStyle name="20% - Accent1 2 3 2 2 3" xfId="21476" xr:uid="{BBEC7DD7-7B69-487B-AAC4-BDEE6CB8E0D1}"/>
    <cellStyle name="20% - Accent1 2 3 2 2 4" xfId="29923" xr:uid="{1CDFF88A-F095-402A-9FDB-DBEE0ED1A357}"/>
    <cellStyle name="20% - Accent1 2 3 2 2 5" xfId="38370" xr:uid="{38608C3F-F118-43EA-8D98-D62BE2FFD292}"/>
    <cellStyle name="20% - Accent1 2 3 2 2 6" xfId="12176" xr:uid="{97454EF8-A118-4B2C-9EF7-61B984A1AEB2}"/>
    <cellStyle name="20% - Accent1 2 3 2 3" xfId="4922" xr:uid="{00000000-0005-0000-0000-00002F000000}"/>
    <cellStyle name="20% - Accent1 2 3 2 3 2" xfId="23548" xr:uid="{C1B4D59A-EA02-4580-BD77-A8532EC3EF7C}"/>
    <cellStyle name="20% - Accent1 2 3 2 3 3" xfId="31995" xr:uid="{C9531846-C445-4724-A156-E6F68F3BB4DA}"/>
    <cellStyle name="20% - Accent1 2 3 2 3 4" xfId="40442" xr:uid="{0779FD03-0CEC-4B7C-9E91-67FAB0DF19B8}"/>
    <cellStyle name="20% - Accent1 2 3 2 3 5" xfId="14248" xr:uid="{4E175A55-1298-4CF3-B995-780E280289D4}"/>
    <cellStyle name="20% - Accent1 2 3 2 4" xfId="9429" xr:uid="{CCD4BD61-3143-497B-A316-8024A8762A6C}"/>
    <cellStyle name="20% - Accent1 2 3 2 4 2" xfId="18745" xr:uid="{18142D2D-47F1-409F-B039-A17A3188EF8C}"/>
    <cellStyle name="20% - Accent1 2 3 2 5" xfId="19331" xr:uid="{E029E5E8-B2A8-4A88-A897-C3F375EA5457}"/>
    <cellStyle name="20% - Accent1 2 3 2 6" xfId="27778" xr:uid="{A587D6DE-6B4B-4EB9-80C1-5953CE670D5F}"/>
    <cellStyle name="20% - Accent1 2 3 2 7" xfId="36225" xr:uid="{8A203B36-5171-4024-BBB0-F417A9ACE3EF}"/>
    <cellStyle name="20% - Accent1 2 3 2 8" xfId="10031" xr:uid="{AC397E53-7123-4D69-8DFA-3A99E1AFED58}"/>
    <cellStyle name="20% - Accent1 2 3 3" xfId="1027" xr:uid="{00000000-0005-0000-0000-000030000000}"/>
    <cellStyle name="20% - Accent1 2 3 3 2" xfId="3258" xr:uid="{00000000-0005-0000-0000-000031000000}"/>
    <cellStyle name="20% - Accent1 2 3 3 2 2" xfId="7480" xr:uid="{00000000-0005-0000-0000-000032000000}"/>
    <cellStyle name="20% - Accent1 2 3 3 2 2 2" xfId="26106" xr:uid="{BCF0B3D4-608C-4F15-A34E-5C348E351D79}"/>
    <cellStyle name="20% - Accent1 2 3 3 2 2 3" xfId="34553" xr:uid="{CD293EA4-7321-4012-A7B4-4FE9711BAAF9}"/>
    <cellStyle name="20% - Accent1 2 3 3 2 2 4" xfId="43000" xr:uid="{ACC84BC8-6587-4EFD-8F90-7925464274F4}"/>
    <cellStyle name="20% - Accent1 2 3 3 2 2 5" xfId="16806" xr:uid="{854EF060-01E2-4DA2-A0F4-C794093F20A7}"/>
    <cellStyle name="20% - Accent1 2 3 3 2 3" xfId="21889" xr:uid="{3EAF8ECE-5068-4074-A7C6-5B2898597660}"/>
    <cellStyle name="20% - Accent1 2 3 3 2 4" xfId="30336" xr:uid="{5FD08C28-1893-461F-AD87-C0FFE24508A6}"/>
    <cellStyle name="20% - Accent1 2 3 3 2 5" xfId="38783" xr:uid="{80DD10EA-89F7-4DCF-80D2-76E772A39CD8}"/>
    <cellStyle name="20% - Accent1 2 3 3 2 6" xfId="12589" xr:uid="{1D0DA657-A0BA-4F5B-ADB1-A4742390883D}"/>
    <cellStyle name="20% - Accent1 2 3 3 3" xfId="5335" xr:uid="{00000000-0005-0000-0000-000033000000}"/>
    <cellStyle name="20% - Accent1 2 3 3 3 2" xfId="23961" xr:uid="{4E48E2F4-0521-44FD-9BFE-D6506203D850}"/>
    <cellStyle name="20% - Accent1 2 3 3 3 3" xfId="32408" xr:uid="{A0D7B43D-5424-419B-A04E-DCDF117BC618}"/>
    <cellStyle name="20% - Accent1 2 3 3 3 4" xfId="40855" xr:uid="{200903A3-9ED5-4AEB-A380-EFB5EDB52623}"/>
    <cellStyle name="20% - Accent1 2 3 3 3 5" xfId="14661" xr:uid="{9CB31D78-F13D-4E57-B066-062EF775A02D}"/>
    <cellStyle name="20% - Accent1 2 3 3 4" xfId="19744" xr:uid="{9BA6755C-49C6-4E96-8B0E-ECC9D9EB1C70}"/>
    <cellStyle name="20% - Accent1 2 3 3 5" xfId="28191" xr:uid="{8EAFD8A2-47F5-45A3-9867-B6C316EED60D}"/>
    <cellStyle name="20% - Accent1 2 3 3 6" xfId="36638" xr:uid="{53D01C50-49BC-4BC8-B35C-8FA30153DDB9}"/>
    <cellStyle name="20% - Accent1 2 3 3 7" xfId="10444" xr:uid="{A56F3674-2987-4013-8075-6790277475C5}"/>
    <cellStyle name="20% - Accent1 2 3 4" xfId="1441" xr:uid="{00000000-0005-0000-0000-000034000000}"/>
    <cellStyle name="20% - Accent1 2 3 4 2" xfId="3671" xr:uid="{00000000-0005-0000-0000-000035000000}"/>
    <cellStyle name="20% - Accent1 2 3 4 2 2" xfId="7893" xr:uid="{00000000-0005-0000-0000-000036000000}"/>
    <cellStyle name="20% - Accent1 2 3 4 2 2 2" xfId="26519" xr:uid="{536DFA58-1C0A-475F-8704-80518FB40A1A}"/>
    <cellStyle name="20% - Accent1 2 3 4 2 2 3" xfId="34966" xr:uid="{F9382F05-8A8B-42A8-94CA-502892598668}"/>
    <cellStyle name="20% - Accent1 2 3 4 2 2 4" xfId="43413" xr:uid="{0256F693-4EDE-4CE8-B3A5-619A7300E020}"/>
    <cellStyle name="20% - Accent1 2 3 4 2 2 5" xfId="17219" xr:uid="{865FB385-CCDF-43E3-90B7-78EBC4017C72}"/>
    <cellStyle name="20% - Accent1 2 3 4 2 3" xfId="22302" xr:uid="{14292BD6-F9D6-4C77-BED7-F686BE0404E5}"/>
    <cellStyle name="20% - Accent1 2 3 4 2 4" xfId="30749" xr:uid="{B24E6F4B-2CAF-49F0-98D7-843C1B7C9709}"/>
    <cellStyle name="20% - Accent1 2 3 4 2 5" xfId="39196" xr:uid="{8255C3ED-6359-4BE5-AD17-05D44FF4D9E3}"/>
    <cellStyle name="20% - Accent1 2 3 4 2 6" xfId="13002" xr:uid="{43942149-4265-42FE-B60E-2F1C8B46700D}"/>
    <cellStyle name="20% - Accent1 2 3 4 3" xfId="5748" xr:uid="{00000000-0005-0000-0000-000037000000}"/>
    <cellStyle name="20% - Accent1 2 3 4 3 2" xfId="24374" xr:uid="{32E095BE-C4F3-4469-9B93-F4D6C7BC8D9C}"/>
    <cellStyle name="20% - Accent1 2 3 4 3 3" xfId="32821" xr:uid="{6E564C06-89BF-4782-98DB-7F55431ABEC8}"/>
    <cellStyle name="20% - Accent1 2 3 4 3 4" xfId="41268" xr:uid="{204FF4B0-C68D-48DF-AC30-12D76115239E}"/>
    <cellStyle name="20% - Accent1 2 3 4 3 5" xfId="15074" xr:uid="{23305BD2-401F-4166-998E-DC62C1612495}"/>
    <cellStyle name="20% - Accent1 2 3 4 4" xfId="20157" xr:uid="{43D7CBA6-E147-4468-BC49-5E1773382480}"/>
    <cellStyle name="20% - Accent1 2 3 4 5" xfId="28604" xr:uid="{0F657A32-DD91-4334-8771-F1504F3307D0}"/>
    <cellStyle name="20% - Accent1 2 3 4 6" xfId="37051" xr:uid="{C701F7E0-947B-477F-B6C4-A155F7DE19EA}"/>
    <cellStyle name="20% - Accent1 2 3 4 7" xfId="10857" xr:uid="{1BB5D5B6-7BAF-4816-B985-83EE9496B6F8}"/>
    <cellStyle name="20% - Accent1 2 3 5" xfId="1855" xr:uid="{00000000-0005-0000-0000-000038000000}"/>
    <cellStyle name="20% - Accent1 2 3 5 2" xfId="4084" xr:uid="{00000000-0005-0000-0000-000039000000}"/>
    <cellStyle name="20% - Accent1 2 3 5 2 2" xfId="8306" xr:uid="{00000000-0005-0000-0000-00003A000000}"/>
    <cellStyle name="20% - Accent1 2 3 5 2 2 2" xfId="26932" xr:uid="{3EE258BA-87C4-489D-B646-B561E28D7D0A}"/>
    <cellStyle name="20% - Accent1 2 3 5 2 2 3" xfId="35379" xr:uid="{4C0EA287-D4F6-4B1A-83FE-1EF7AAA53EC7}"/>
    <cellStyle name="20% - Accent1 2 3 5 2 2 4" xfId="43826" xr:uid="{7F2B39A2-A7F9-413B-AD83-5B52C33D107C}"/>
    <cellStyle name="20% - Accent1 2 3 5 2 2 5" xfId="17632" xr:uid="{10620EC5-A5E1-4295-8EFC-75F61A20DCEE}"/>
    <cellStyle name="20% - Accent1 2 3 5 2 3" xfId="22715" xr:uid="{9C7590C8-F5C9-4ADC-87FF-ABFAE9145003}"/>
    <cellStyle name="20% - Accent1 2 3 5 2 4" xfId="31162" xr:uid="{6B70A454-2DAA-4AD1-B454-CDB9B64984D5}"/>
    <cellStyle name="20% - Accent1 2 3 5 2 5" xfId="39609" xr:uid="{00918478-7134-4103-ACA0-3632131070C9}"/>
    <cellStyle name="20% - Accent1 2 3 5 2 6" xfId="13415" xr:uid="{EB95CCB7-FF33-4AE4-8A3D-2D92A45273FB}"/>
    <cellStyle name="20% - Accent1 2 3 5 3" xfId="6161" xr:uid="{00000000-0005-0000-0000-00003B000000}"/>
    <cellStyle name="20% - Accent1 2 3 5 3 2" xfId="24787" xr:uid="{BC484FFC-0385-4055-B7BA-F0240F81DE1F}"/>
    <cellStyle name="20% - Accent1 2 3 5 3 3" xfId="33234" xr:uid="{D23654E7-D0C4-47D2-8649-E44CAFDD2E55}"/>
    <cellStyle name="20% - Accent1 2 3 5 3 4" xfId="41681" xr:uid="{F384356D-0CD4-4771-A1C8-E5FE30F72A01}"/>
    <cellStyle name="20% - Accent1 2 3 5 3 5" xfId="15487" xr:uid="{26F9FA0F-19C1-4ACB-9785-715DF26FBDC4}"/>
    <cellStyle name="20% - Accent1 2 3 5 4" xfId="20570" xr:uid="{48960460-1E54-4A49-AC7C-3C9AC01E76FC}"/>
    <cellStyle name="20% - Accent1 2 3 5 5" xfId="29017" xr:uid="{12226C03-A30D-419A-B57F-7069A2563589}"/>
    <cellStyle name="20% - Accent1 2 3 5 6" xfId="37464" xr:uid="{7758C7F3-1A49-4167-AA98-E5DE67C5CB25}"/>
    <cellStyle name="20% - Accent1 2 3 5 7" xfId="11270" xr:uid="{7DC7AD8D-D2E4-419A-AE3A-6FFAA321BE5B}"/>
    <cellStyle name="20% - Accent1 2 3 6" xfId="2268" xr:uid="{00000000-0005-0000-0000-00003C000000}"/>
    <cellStyle name="20% - Accent1 2 3 6 2" xfId="6574" xr:uid="{00000000-0005-0000-0000-00003D000000}"/>
    <cellStyle name="20% - Accent1 2 3 6 2 2" xfId="25200" xr:uid="{7D0BAB0B-CA02-44CE-B3EB-1983D34B3E5E}"/>
    <cellStyle name="20% - Accent1 2 3 6 2 3" xfId="33647" xr:uid="{F33FC71D-06B1-4AB0-AEB7-B512278BC744}"/>
    <cellStyle name="20% - Accent1 2 3 6 2 4" xfId="42094" xr:uid="{207AEABC-89B2-42D4-9D71-47BAF69B9E46}"/>
    <cellStyle name="20% - Accent1 2 3 6 2 5" xfId="15900" xr:uid="{C71705CD-0AC1-4505-87D7-D5106244EB53}"/>
    <cellStyle name="20% - Accent1 2 3 6 3" xfId="20983" xr:uid="{B650F888-A6DC-43AD-A557-957A89898953}"/>
    <cellStyle name="20% - Accent1 2 3 6 4" xfId="29430" xr:uid="{78BC70C7-AC5C-4175-8341-B9BAFE130D17}"/>
    <cellStyle name="20% - Accent1 2 3 6 5" xfId="37877" xr:uid="{F8F9638E-B9CC-44FC-8487-5D14CF42F930}"/>
    <cellStyle name="20% - Accent1 2 3 6 6" xfId="11683" xr:uid="{115179BF-2272-49C1-8602-819C36D69376}"/>
    <cellStyle name="20% - Accent1 2 3 7" xfId="4508" xr:uid="{00000000-0005-0000-0000-00003E000000}"/>
    <cellStyle name="20% - Accent1 2 3 7 2" xfId="23134" xr:uid="{5819833E-5AED-4372-8D22-398EA51B5CDD}"/>
    <cellStyle name="20% - Accent1 2 3 7 3" xfId="31581" xr:uid="{D18DA10C-BB42-425C-A977-30A4117C45A6}"/>
    <cellStyle name="20% - Accent1 2 3 7 4" xfId="40028" xr:uid="{6AB228C8-1746-4A19-B93D-6C918064EDEF}"/>
    <cellStyle name="20% - Accent1 2 3 7 5" xfId="13834" xr:uid="{5CA637B4-B615-4522-B3BF-4FBA74A5C3BE}"/>
    <cellStyle name="20% - Accent1 2 3 8" xfId="9004" xr:uid="{14A9C135-BB7B-44DD-97E1-B6B10773DEE2}"/>
    <cellStyle name="20% - Accent1 2 3 8 2" xfId="18328" xr:uid="{FFFCAAAA-EBCD-4F1D-9568-4C0E8706608F}"/>
    <cellStyle name="20% - Accent1 2 3 9" xfId="18917" xr:uid="{E867ED58-4828-4E27-A4FF-5AD5DFB96284}"/>
    <cellStyle name="20% - Accent1 2 4" xfId="571" xr:uid="{00000000-0005-0000-0000-00003F000000}"/>
    <cellStyle name="20% - Accent1 2 4 2" xfId="2842" xr:uid="{00000000-0005-0000-0000-000040000000}"/>
    <cellStyle name="20% - Accent1 2 4 2 2" xfId="7064" xr:uid="{00000000-0005-0000-0000-000041000000}"/>
    <cellStyle name="20% - Accent1 2 4 2 2 2" xfId="25690" xr:uid="{966D7AFB-715E-4C1D-BEB8-95B075EBBF57}"/>
    <cellStyle name="20% - Accent1 2 4 2 2 3" xfId="34137" xr:uid="{09651548-9AFA-468C-BC4F-9D2A5F7E8859}"/>
    <cellStyle name="20% - Accent1 2 4 2 2 4" xfId="42584" xr:uid="{47C8EA61-268F-4069-B5A9-CED2E3065789}"/>
    <cellStyle name="20% - Accent1 2 4 2 2 5" xfId="16390" xr:uid="{31BD1C92-78F2-4DED-A3AE-6BEE0FC4D33E}"/>
    <cellStyle name="20% - Accent1 2 4 2 3" xfId="21473" xr:uid="{4D32D0F5-2E6C-4FD7-A894-2068595A32F4}"/>
    <cellStyle name="20% - Accent1 2 4 2 4" xfId="29920" xr:uid="{72E051A3-99AB-45AD-AB2A-9AEC124183E0}"/>
    <cellStyle name="20% - Accent1 2 4 2 5" xfId="38367" xr:uid="{C154A744-A699-478F-AEEA-2B23C26C04E8}"/>
    <cellStyle name="20% - Accent1 2 4 2 6" xfId="12173" xr:uid="{C77EDD17-64F6-4093-AB6D-E5E23B50AA89}"/>
    <cellStyle name="20% - Accent1 2 4 3" xfId="4919" xr:uid="{00000000-0005-0000-0000-000042000000}"/>
    <cellStyle name="20% - Accent1 2 4 3 2" xfId="23545" xr:uid="{D9BBB90B-FF97-484D-92DF-9B48D03BA9B2}"/>
    <cellStyle name="20% - Accent1 2 4 3 3" xfId="31992" xr:uid="{A01B3EF2-607A-4089-AA7C-63019A36EABF}"/>
    <cellStyle name="20% - Accent1 2 4 3 4" xfId="40439" xr:uid="{18686D33-7962-40D8-86B8-458AC94A9E44}"/>
    <cellStyle name="20% - Accent1 2 4 3 5" xfId="14245" xr:uid="{8C421229-62D3-415A-83FE-2F707237E4DD}"/>
    <cellStyle name="20% - Accent1 2 4 4" xfId="9221" xr:uid="{11532E3F-E59C-4FF7-9F45-291A17A69435}"/>
    <cellStyle name="20% - Accent1 2 4 4 2" xfId="18538" xr:uid="{5CCB34CE-0BD5-427B-AFCA-9D6EF051C91E}"/>
    <cellStyle name="20% - Accent1 2 4 5" xfId="19328" xr:uid="{900EA7FF-B3F1-4F71-AF7C-BC3C85F53365}"/>
    <cellStyle name="20% - Accent1 2 4 6" xfId="27775" xr:uid="{7DD64C62-3BC5-40A8-B10F-88F353F7DD2C}"/>
    <cellStyle name="20% - Accent1 2 4 7" xfId="36222" xr:uid="{7512A75A-5C6E-4E62-B64F-C7BC0672F205}"/>
    <cellStyle name="20% - Accent1 2 4 8" xfId="10028" xr:uid="{826B1A93-AC97-4FDC-804F-D66E1F4C5832}"/>
    <cellStyle name="20% - Accent1 2 5" xfId="1024" xr:uid="{00000000-0005-0000-0000-000043000000}"/>
    <cellStyle name="20% - Accent1 2 5 2" xfId="3255" xr:uid="{00000000-0005-0000-0000-000044000000}"/>
    <cellStyle name="20% - Accent1 2 5 2 2" xfId="7477" xr:uid="{00000000-0005-0000-0000-000045000000}"/>
    <cellStyle name="20% - Accent1 2 5 2 2 2" xfId="26103" xr:uid="{454A370F-7709-4A73-AE8E-C073EE8E5CA8}"/>
    <cellStyle name="20% - Accent1 2 5 2 2 3" xfId="34550" xr:uid="{5309853E-525F-4BF3-BBF1-0F9D6B625CF8}"/>
    <cellStyle name="20% - Accent1 2 5 2 2 4" xfId="42997" xr:uid="{241142AB-E3EF-4FEE-9A5B-340A549F72AB}"/>
    <cellStyle name="20% - Accent1 2 5 2 2 5" xfId="16803" xr:uid="{004210BE-CD5B-41E6-B5BE-0D3A2A37685E}"/>
    <cellStyle name="20% - Accent1 2 5 2 3" xfId="21886" xr:uid="{5078BEDA-A975-4CBA-9015-FC4CCACD141C}"/>
    <cellStyle name="20% - Accent1 2 5 2 4" xfId="30333" xr:uid="{F53D1F51-DB17-42CC-B00D-4E78C43C9499}"/>
    <cellStyle name="20% - Accent1 2 5 2 5" xfId="38780" xr:uid="{057F4227-148E-4CD6-9A57-A0421128C53F}"/>
    <cellStyle name="20% - Accent1 2 5 2 6" xfId="12586" xr:uid="{6F074D43-769C-4E18-8244-B4E817B73864}"/>
    <cellStyle name="20% - Accent1 2 5 3" xfId="5332" xr:uid="{00000000-0005-0000-0000-000046000000}"/>
    <cellStyle name="20% - Accent1 2 5 3 2" xfId="23958" xr:uid="{53941EC3-8A2D-409D-8B69-577B134487AC}"/>
    <cellStyle name="20% - Accent1 2 5 3 3" xfId="32405" xr:uid="{8453D407-0F9A-4465-98E6-9E714AE1FDF5}"/>
    <cellStyle name="20% - Accent1 2 5 3 4" xfId="40852" xr:uid="{99C8CE6C-FE10-4214-8E22-E73C35D8A502}"/>
    <cellStyle name="20% - Accent1 2 5 3 5" xfId="14658" xr:uid="{EC4946FD-0252-4431-A0C4-2B33E690BC0A}"/>
    <cellStyle name="20% - Accent1 2 5 4" xfId="19741" xr:uid="{45B40584-4B82-4FAB-B711-DE8E3EAA42BA}"/>
    <cellStyle name="20% - Accent1 2 5 5" xfId="28188" xr:uid="{9F78FEE3-83C8-4BBD-87C7-DB1F76B50269}"/>
    <cellStyle name="20% - Accent1 2 5 6" xfId="36635" xr:uid="{F9095450-193C-4ED5-9CCB-7AE42AC5F8EE}"/>
    <cellStyle name="20% - Accent1 2 5 7" xfId="10441" xr:uid="{B6B82E14-F3C7-4002-9057-06A2DE557A3A}"/>
    <cellStyle name="20% - Accent1 2 6" xfId="1438" xr:uid="{00000000-0005-0000-0000-000047000000}"/>
    <cellStyle name="20% - Accent1 2 6 2" xfId="3668" xr:uid="{00000000-0005-0000-0000-000048000000}"/>
    <cellStyle name="20% - Accent1 2 6 2 2" xfId="7890" xr:uid="{00000000-0005-0000-0000-000049000000}"/>
    <cellStyle name="20% - Accent1 2 6 2 2 2" xfId="26516" xr:uid="{A280E1F6-8595-471A-9CB1-EB37192E70CC}"/>
    <cellStyle name="20% - Accent1 2 6 2 2 3" xfId="34963" xr:uid="{725F54B8-246D-419B-A642-7799A8508F29}"/>
    <cellStyle name="20% - Accent1 2 6 2 2 4" xfId="43410" xr:uid="{F985056B-119D-46FE-AD55-6598E2C232C3}"/>
    <cellStyle name="20% - Accent1 2 6 2 2 5" xfId="17216" xr:uid="{D7D30EEC-718F-4B63-A2FF-E098B8B8B933}"/>
    <cellStyle name="20% - Accent1 2 6 2 3" xfId="22299" xr:uid="{68A55C47-98D0-4945-8F5D-89AD467D01FF}"/>
    <cellStyle name="20% - Accent1 2 6 2 4" xfId="30746" xr:uid="{D38D3F20-E5ED-449D-A296-FD826ED771F4}"/>
    <cellStyle name="20% - Accent1 2 6 2 5" xfId="39193" xr:uid="{E1258908-12BD-4A1D-A344-855E03A12B40}"/>
    <cellStyle name="20% - Accent1 2 6 2 6" xfId="12999" xr:uid="{B9E46259-4ADC-49FA-BBD8-CB222F8549D7}"/>
    <cellStyle name="20% - Accent1 2 6 3" xfId="5745" xr:uid="{00000000-0005-0000-0000-00004A000000}"/>
    <cellStyle name="20% - Accent1 2 6 3 2" xfId="24371" xr:uid="{A8959EF5-C63E-4AE4-A382-EE85966B76FB}"/>
    <cellStyle name="20% - Accent1 2 6 3 3" xfId="32818" xr:uid="{DE7E6F5A-AE16-4A60-8FD9-ED31FDC358AC}"/>
    <cellStyle name="20% - Accent1 2 6 3 4" xfId="41265" xr:uid="{4D074E81-0A13-4456-9B92-268E324F9910}"/>
    <cellStyle name="20% - Accent1 2 6 3 5" xfId="15071" xr:uid="{1D6DCA4A-B14C-4877-9959-7C516BD36C70}"/>
    <cellStyle name="20% - Accent1 2 6 4" xfId="20154" xr:uid="{D6397346-269C-4448-B0C3-FA8F107D7B1D}"/>
    <cellStyle name="20% - Accent1 2 6 5" xfId="28601" xr:uid="{022A11A8-16CE-4209-BF9E-214E560C2C94}"/>
    <cellStyle name="20% - Accent1 2 6 6" xfId="37048" xr:uid="{4A7D61C9-C26E-4612-910E-48D16865F0FF}"/>
    <cellStyle name="20% - Accent1 2 6 7" xfId="10854" xr:uid="{A9E183A8-EDDB-4EC7-8C09-3336F2F5D4D6}"/>
    <cellStyle name="20% - Accent1 2 7" xfId="1852" xr:uid="{00000000-0005-0000-0000-00004B000000}"/>
    <cellStyle name="20% - Accent1 2 7 2" xfId="4081" xr:uid="{00000000-0005-0000-0000-00004C000000}"/>
    <cellStyle name="20% - Accent1 2 7 2 2" xfId="8303" xr:uid="{00000000-0005-0000-0000-00004D000000}"/>
    <cellStyle name="20% - Accent1 2 7 2 2 2" xfId="26929" xr:uid="{EDF21FD8-674E-4E1A-86DD-598BC5129035}"/>
    <cellStyle name="20% - Accent1 2 7 2 2 3" xfId="35376" xr:uid="{8A921C00-97BC-4AF7-8B9B-D3B9BB944218}"/>
    <cellStyle name="20% - Accent1 2 7 2 2 4" xfId="43823" xr:uid="{BD0F151A-51A9-47B7-8D41-56ABBD5DE316}"/>
    <cellStyle name="20% - Accent1 2 7 2 2 5" xfId="17629" xr:uid="{7B3BEF3A-FCFB-414F-988D-4BE70F2028DC}"/>
    <cellStyle name="20% - Accent1 2 7 2 3" xfId="22712" xr:uid="{DCB93549-4801-429E-887B-FBECB90A43A1}"/>
    <cellStyle name="20% - Accent1 2 7 2 4" xfId="31159" xr:uid="{377EE4EA-F780-4DBC-BD76-1B23106178C4}"/>
    <cellStyle name="20% - Accent1 2 7 2 5" xfId="39606" xr:uid="{DFDB3A5B-8800-4E8B-8494-0781EF7A54CE}"/>
    <cellStyle name="20% - Accent1 2 7 2 6" xfId="13412" xr:uid="{6F8E93FB-5E39-43B0-8BA1-DCDA2406D49A}"/>
    <cellStyle name="20% - Accent1 2 7 3" xfId="6158" xr:uid="{00000000-0005-0000-0000-00004E000000}"/>
    <cellStyle name="20% - Accent1 2 7 3 2" xfId="24784" xr:uid="{8EE20895-F94A-44A1-877F-915440349CAD}"/>
    <cellStyle name="20% - Accent1 2 7 3 3" xfId="33231" xr:uid="{AA49D425-696C-4294-AFAC-51063274E3D8}"/>
    <cellStyle name="20% - Accent1 2 7 3 4" xfId="41678" xr:uid="{143D5C21-73B9-4AA8-89A4-2DCC1EC059EE}"/>
    <cellStyle name="20% - Accent1 2 7 3 5" xfId="15484" xr:uid="{0C0EC670-56E0-4281-88C4-A0610503CAB0}"/>
    <cellStyle name="20% - Accent1 2 7 4" xfId="20567" xr:uid="{E899ACBE-F52B-48C3-87EF-66A2C3DC86EA}"/>
    <cellStyle name="20% - Accent1 2 7 5" xfId="29014" xr:uid="{09D99A3A-B2AE-495A-9CAF-64FB26540D93}"/>
    <cellStyle name="20% - Accent1 2 7 6" xfId="37461" xr:uid="{E68D9492-D5DF-48FD-8694-426220572E49}"/>
    <cellStyle name="20% - Accent1 2 7 7" xfId="11267" xr:uid="{728BA53A-685E-4C6A-8449-28A7EC2D96DD}"/>
    <cellStyle name="20% - Accent1 2 8" xfId="2265" xr:uid="{00000000-0005-0000-0000-00004F000000}"/>
    <cellStyle name="20% - Accent1 2 8 2" xfId="6571" xr:uid="{00000000-0005-0000-0000-000050000000}"/>
    <cellStyle name="20% - Accent1 2 8 2 2" xfId="25197" xr:uid="{9CFA0B43-E7AE-41C9-A821-D5347128C703}"/>
    <cellStyle name="20% - Accent1 2 8 2 3" xfId="33644" xr:uid="{0B6458C5-63D9-4018-B7C0-6305E9E2211F}"/>
    <cellStyle name="20% - Accent1 2 8 2 4" xfId="42091" xr:uid="{116FCF58-514B-47E0-8579-EBF7B0612835}"/>
    <cellStyle name="20% - Accent1 2 8 2 5" xfId="15897" xr:uid="{270E9E0C-C388-449A-812A-05631C6A923C}"/>
    <cellStyle name="20% - Accent1 2 8 3" xfId="20980" xr:uid="{347AC4A6-FA4D-4C4C-961F-FB82AD3AC322}"/>
    <cellStyle name="20% - Accent1 2 8 4" xfId="29427" xr:uid="{967255EF-6961-414E-9927-47D9AC4DAC59}"/>
    <cellStyle name="20% - Accent1 2 8 5" xfId="37874" xr:uid="{150F338A-A755-46F1-98E1-392179F8CCC4}"/>
    <cellStyle name="20% - Accent1 2 8 6" xfId="11680" xr:uid="{D0744FA8-DA75-4A52-84BC-F8923096D0E8}"/>
    <cellStyle name="20% - Accent1 2 9" xfId="4505" xr:uid="{00000000-0005-0000-0000-000051000000}"/>
    <cellStyle name="20% - Accent1 2 9 2" xfId="23131" xr:uid="{035F7114-69EA-4F7A-9608-A9326D12F60D}"/>
    <cellStyle name="20% - Accent1 2 9 3" xfId="31578" xr:uid="{91193E78-9E6E-4790-90D7-C818DF23A10F}"/>
    <cellStyle name="20% - Accent1 2 9 4" xfId="40025" xr:uid="{4BC8D35E-8BB9-4832-96D9-FC606499CDF7}"/>
    <cellStyle name="20% - Accent1 2 9 5" xfId="13831" xr:uid="{6107463F-8E1A-4E83-9611-89C27342BA07}"/>
    <cellStyle name="20% - Accent1 3" xfId="6" xr:uid="{00000000-0005-0000-0000-000052000000}"/>
    <cellStyle name="20% - Accent1 3 10" xfId="18918" xr:uid="{074A5B14-2E28-4299-B13C-39A88ED63CBD}"/>
    <cellStyle name="20% - Accent1 3 11" xfId="27365" xr:uid="{7F50B04B-5407-4358-9DDE-19C92BE153D1}"/>
    <cellStyle name="20% - Accent1 3 12" xfId="35812" xr:uid="{9A01DE0C-DBA0-455E-98BE-0DAA6A5AA3E7}"/>
    <cellStyle name="20% - Accent1 3 13" xfId="9618" xr:uid="{A95BFCB4-3C53-4944-BBE7-8CD4D9CE694B}"/>
    <cellStyle name="20% - Accent1 3 2" xfId="7" xr:uid="{00000000-0005-0000-0000-000053000000}"/>
    <cellStyle name="20% - Accent1 3 2 10" xfId="27366" xr:uid="{A5C0FBA1-E633-4FE2-B8D2-C04520B2DE0A}"/>
    <cellStyle name="20% - Accent1 3 2 11" xfId="35813" xr:uid="{A3C5DA5C-965E-4065-8B2B-83BB0FB72BA5}"/>
    <cellStyle name="20% - Accent1 3 2 12" xfId="9619" xr:uid="{69A3376B-FEB1-45E4-A119-9572E43FE04D}"/>
    <cellStyle name="20% - Accent1 3 2 2" xfId="576" xr:uid="{00000000-0005-0000-0000-000054000000}"/>
    <cellStyle name="20% - Accent1 3 2 2 2" xfId="2847" xr:uid="{00000000-0005-0000-0000-000055000000}"/>
    <cellStyle name="20% - Accent1 3 2 2 2 2" xfId="7069" xr:uid="{00000000-0005-0000-0000-000056000000}"/>
    <cellStyle name="20% - Accent1 3 2 2 2 2 2" xfId="25695" xr:uid="{3598420B-AAF8-4D4F-BEA7-B04917B37EB8}"/>
    <cellStyle name="20% - Accent1 3 2 2 2 2 3" xfId="34142" xr:uid="{56E13BCC-B70C-41E1-A895-F05D5E4859EF}"/>
    <cellStyle name="20% - Accent1 3 2 2 2 2 4" xfId="42589" xr:uid="{522B7C17-07D7-4ABC-91A7-815CFECCBD3F}"/>
    <cellStyle name="20% - Accent1 3 2 2 2 2 5" xfId="16395" xr:uid="{8E782602-F4F1-441C-B577-6C5B126B1D9E}"/>
    <cellStyle name="20% - Accent1 3 2 2 2 3" xfId="21478" xr:uid="{E7CCA209-1F24-4C80-9729-EF94738848D4}"/>
    <cellStyle name="20% - Accent1 3 2 2 2 4" xfId="29925" xr:uid="{93930DFC-169D-4B23-ADC5-C64375883D05}"/>
    <cellStyle name="20% - Accent1 3 2 2 2 5" xfId="38372" xr:uid="{AC019DA3-B5FC-4A9C-99A5-F23D0253F01F}"/>
    <cellStyle name="20% - Accent1 3 2 2 2 6" xfId="12178" xr:uid="{CF6E3942-D386-4F58-9A7C-777F64FB7D16}"/>
    <cellStyle name="20% - Accent1 3 2 2 3" xfId="4924" xr:uid="{00000000-0005-0000-0000-000057000000}"/>
    <cellStyle name="20% - Accent1 3 2 2 3 2" xfId="23550" xr:uid="{697B1E35-5531-41EE-BA42-0B6EC6AF4BF5}"/>
    <cellStyle name="20% - Accent1 3 2 2 3 3" xfId="31997" xr:uid="{36FA3A6F-28FF-4C18-A147-B46EF7BA38CA}"/>
    <cellStyle name="20% - Accent1 3 2 2 3 4" xfId="40444" xr:uid="{03379377-4FD8-45AA-89E6-1FA34082621A}"/>
    <cellStyle name="20% - Accent1 3 2 2 3 5" xfId="14250" xr:uid="{F8509CD3-6472-4E77-8395-5DB084BC58C7}"/>
    <cellStyle name="20% - Accent1 3 2 2 4" xfId="9493" xr:uid="{FCEFE71D-2A04-4899-B62A-B225DBF7F0BF}"/>
    <cellStyle name="20% - Accent1 3 2 2 4 2" xfId="18809" xr:uid="{E65E4C41-D46C-47FB-9DEB-2465701FE253}"/>
    <cellStyle name="20% - Accent1 3 2 2 5" xfId="19333" xr:uid="{75269912-5FB6-438C-B81F-825AF824DE3D}"/>
    <cellStyle name="20% - Accent1 3 2 2 6" xfId="27780" xr:uid="{586A8E6E-C69A-4514-84C6-116CFA84B53B}"/>
    <cellStyle name="20% - Accent1 3 2 2 7" xfId="36227" xr:uid="{F6488818-269A-468C-A60E-565D3EAC243D}"/>
    <cellStyle name="20% - Accent1 3 2 2 8" xfId="10033" xr:uid="{811DA780-84C0-41BD-BC36-47FA866181B3}"/>
    <cellStyle name="20% - Accent1 3 2 3" xfId="1029" xr:uid="{00000000-0005-0000-0000-000058000000}"/>
    <cellStyle name="20% - Accent1 3 2 3 2" xfId="3260" xr:uid="{00000000-0005-0000-0000-000059000000}"/>
    <cellStyle name="20% - Accent1 3 2 3 2 2" xfId="7482" xr:uid="{00000000-0005-0000-0000-00005A000000}"/>
    <cellStyle name="20% - Accent1 3 2 3 2 2 2" xfId="26108" xr:uid="{D78A5A30-E477-4EF0-864F-751142903DFB}"/>
    <cellStyle name="20% - Accent1 3 2 3 2 2 3" xfId="34555" xr:uid="{950F022D-5196-4E8A-8034-92AF9D98225B}"/>
    <cellStyle name="20% - Accent1 3 2 3 2 2 4" xfId="43002" xr:uid="{150D5393-49B3-475F-B2B5-64EAB9D2E853}"/>
    <cellStyle name="20% - Accent1 3 2 3 2 2 5" xfId="16808" xr:uid="{4070C8A7-B2F3-41ED-9F46-3F4E1A443A4C}"/>
    <cellStyle name="20% - Accent1 3 2 3 2 3" xfId="21891" xr:uid="{923899C6-F56A-4614-B5D4-8048ADB58D26}"/>
    <cellStyle name="20% - Accent1 3 2 3 2 4" xfId="30338" xr:uid="{82CD1BCD-72B7-4705-972A-92937DBEE468}"/>
    <cellStyle name="20% - Accent1 3 2 3 2 5" xfId="38785" xr:uid="{1FB21EB0-8596-4746-92E2-4C50EB3ED98D}"/>
    <cellStyle name="20% - Accent1 3 2 3 2 6" xfId="12591" xr:uid="{856992FE-BA72-4894-B9A6-3FEE076CA428}"/>
    <cellStyle name="20% - Accent1 3 2 3 3" xfId="5337" xr:uid="{00000000-0005-0000-0000-00005B000000}"/>
    <cellStyle name="20% - Accent1 3 2 3 3 2" xfId="23963" xr:uid="{DF02F503-46D3-4264-AEF2-28FC901B4E64}"/>
    <cellStyle name="20% - Accent1 3 2 3 3 3" xfId="32410" xr:uid="{6EF95325-5F92-4726-A5CD-E107BBD06413}"/>
    <cellStyle name="20% - Accent1 3 2 3 3 4" xfId="40857" xr:uid="{C0808F52-6E67-4FF7-A052-954882BA05B6}"/>
    <cellStyle name="20% - Accent1 3 2 3 3 5" xfId="14663" xr:uid="{1F3B331F-3950-4956-BFF1-1D8ED8B70F21}"/>
    <cellStyle name="20% - Accent1 3 2 3 4" xfId="19746" xr:uid="{ADD20DEC-CD1C-481A-B0CC-672BBDCB3783}"/>
    <cellStyle name="20% - Accent1 3 2 3 5" xfId="28193" xr:uid="{0E72F362-F5B4-4CC7-A01E-F979CC485F29}"/>
    <cellStyle name="20% - Accent1 3 2 3 6" xfId="36640" xr:uid="{6962EECC-D952-470C-A336-8A767B2C79C6}"/>
    <cellStyle name="20% - Accent1 3 2 3 7" xfId="10446" xr:uid="{2443D32F-A164-405E-8A35-4E75D4102691}"/>
    <cellStyle name="20% - Accent1 3 2 4" xfId="1443" xr:uid="{00000000-0005-0000-0000-00005C000000}"/>
    <cellStyle name="20% - Accent1 3 2 4 2" xfId="3673" xr:uid="{00000000-0005-0000-0000-00005D000000}"/>
    <cellStyle name="20% - Accent1 3 2 4 2 2" xfId="7895" xr:uid="{00000000-0005-0000-0000-00005E000000}"/>
    <cellStyle name="20% - Accent1 3 2 4 2 2 2" xfId="26521" xr:uid="{6E16B1E6-5823-4B50-9AE6-107AD9F3B52B}"/>
    <cellStyle name="20% - Accent1 3 2 4 2 2 3" xfId="34968" xr:uid="{9E25D3B1-3833-4B22-8BCF-6F178B7EA41C}"/>
    <cellStyle name="20% - Accent1 3 2 4 2 2 4" xfId="43415" xr:uid="{4D466860-1466-4A00-A2FE-EB8699F1FA39}"/>
    <cellStyle name="20% - Accent1 3 2 4 2 2 5" xfId="17221" xr:uid="{0245545B-0848-4E2C-8D9B-B3EA36DCC2EF}"/>
    <cellStyle name="20% - Accent1 3 2 4 2 3" xfId="22304" xr:uid="{83CF886F-1098-48BA-8CB0-888088614584}"/>
    <cellStyle name="20% - Accent1 3 2 4 2 4" xfId="30751" xr:uid="{E9410E19-0FFE-4214-A2FD-1044ED0A27AF}"/>
    <cellStyle name="20% - Accent1 3 2 4 2 5" xfId="39198" xr:uid="{2318060B-9A8F-492E-834F-797BF07F833A}"/>
    <cellStyle name="20% - Accent1 3 2 4 2 6" xfId="13004" xr:uid="{B927988E-764B-48D1-B9C3-FD25E3C57B7F}"/>
    <cellStyle name="20% - Accent1 3 2 4 3" xfId="5750" xr:uid="{00000000-0005-0000-0000-00005F000000}"/>
    <cellStyle name="20% - Accent1 3 2 4 3 2" xfId="24376" xr:uid="{0B53C9CE-6A3E-41A0-8981-70B0B68082B0}"/>
    <cellStyle name="20% - Accent1 3 2 4 3 3" xfId="32823" xr:uid="{609F3549-537E-47D2-A011-2F859FFA4D8D}"/>
    <cellStyle name="20% - Accent1 3 2 4 3 4" xfId="41270" xr:uid="{4CD90A34-F0EB-4057-AD17-C6E19D079B61}"/>
    <cellStyle name="20% - Accent1 3 2 4 3 5" xfId="15076" xr:uid="{F0D25431-AD59-4392-B46B-13C0F2E21BDD}"/>
    <cellStyle name="20% - Accent1 3 2 4 4" xfId="20159" xr:uid="{EBC0981B-7F76-42BF-B84B-AA476C8D5374}"/>
    <cellStyle name="20% - Accent1 3 2 4 5" xfId="28606" xr:uid="{5356C6BF-1A37-49B7-A09B-1CD9F6F8B3BC}"/>
    <cellStyle name="20% - Accent1 3 2 4 6" xfId="37053" xr:uid="{F49DE07A-4573-488C-BFF7-3BD147D2C809}"/>
    <cellStyle name="20% - Accent1 3 2 4 7" xfId="10859" xr:uid="{FB790C95-228E-42F2-80A6-EF9DCF21CF34}"/>
    <cellStyle name="20% - Accent1 3 2 5" xfId="1857" xr:uid="{00000000-0005-0000-0000-000060000000}"/>
    <cellStyle name="20% - Accent1 3 2 5 2" xfId="4086" xr:uid="{00000000-0005-0000-0000-000061000000}"/>
    <cellStyle name="20% - Accent1 3 2 5 2 2" xfId="8308" xr:uid="{00000000-0005-0000-0000-000062000000}"/>
    <cellStyle name="20% - Accent1 3 2 5 2 2 2" xfId="26934" xr:uid="{25CE53EB-7EB9-477B-9085-C18567DB5012}"/>
    <cellStyle name="20% - Accent1 3 2 5 2 2 3" xfId="35381" xr:uid="{72079969-FD12-4085-B4A0-D12350729B74}"/>
    <cellStyle name="20% - Accent1 3 2 5 2 2 4" xfId="43828" xr:uid="{4BC835CB-2E0C-4C89-9686-24F913EAB086}"/>
    <cellStyle name="20% - Accent1 3 2 5 2 2 5" xfId="17634" xr:uid="{E8ADD261-C2E0-4154-B031-A2A56A67BEEC}"/>
    <cellStyle name="20% - Accent1 3 2 5 2 3" xfId="22717" xr:uid="{47EF86F1-862B-418A-B57D-3D29B9E19668}"/>
    <cellStyle name="20% - Accent1 3 2 5 2 4" xfId="31164" xr:uid="{068CB3E8-5D17-48E7-9872-1888CF239F90}"/>
    <cellStyle name="20% - Accent1 3 2 5 2 5" xfId="39611" xr:uid="{AEC71EDD-52FB-44C0-89ED-798F72B53359}"/>
    <cellStyle name="20% - Accent1 3 2 5 2 6" xfId="13417" xr:uid="{06545C4A-268A-45F1-A258-4BDB28BB8D49}"/>
    <cellStyle name="20% - Accent1 3 2 5 3" xfId="6163" xr:uid="{00000000-0005-0000-0000-000063000000}"/>
    <cellStyle name="20% - Accent1 3 2 5 3 2" xfId="24789" xr:uid="{0DAEEC6A-5491-4495-AB8C-F6BD223EA4BD}"/>
    <cellStyle name="20% - Accent1 3 2 5 3 3" xfId="33236" xr:uid="{61565C39-D1E9-41EA-964F-6753A5E86C04}"/>
    <cellStyle name="20% - Accent1 3 2 5 3 4" xfId="41683" xr:uid="{4216E5E5-8643-424B-954A-5C5E276AA58D}"/>
    <cellStyle name="20% - Accent1 3 2 5 3 5" xfId="15489" xr:uid="{1492EC7C-C58D-49D1-80DB-B004B198909C}"/>
    <cellStyle name="20% - Accent1 3 2 5 4" xfId="20572" xr:uid="{EDEF7292-EFA5-4A5C-847B-8F2E60E13B14}"/>
    <cellStyle name="20% - Accent1 3 2 5 5" xfId="29019" xr:uid="{EC8FE9DE-E079-452F-97F8-179FC50EE17A}"/>
    <cellStyle name="20% - Accent1 3 2 5 6" xfId="37466" xr:uid="{2526B289-0A8F-4E46-B510-E33D58CBFAD6}"/>
    <cellStyle name="20% - Accent1 3 2 5 7" xfId="11272" xr:uid="{6C98EAC4-E687-471A-A21B-2B0B24911EDC}"/>
    <cellStyle name="20% - Accent1 3 2 6" xfId="2270" xr:uid="{00000000-0005-0000-0000-000064000000}"/>
    <cellStyle name="20% - Accent1 3 2 6 2" xfId="6576" xr:uid="{00000000-0005-0000-0000-000065000000}"/>
    <cellStyle name="20% - Accent1 3 2 6 2 2" xfId="25202" xr:uid="{A227337B-7868-4659-9C25-1B87E8771174}"/>
    <cellStyle name="20% - Accent1 3 2 6 2 3" xfId="33649" xr:uid="{2BB88D35-2B31-4BAA-8168-151D46039A66}"/>
    <cellStyle name="20% - Accent1 3 2 6 2 4" xfId="42096" xr:uid="{F420AB5A-9497-4719-AD6A-E606DD6A5464}"/>
    <cellStyle name="20% - Accent1 3 2 6 2 5" xfId="15902" xr:uid="{1FF788AE-EE0C-4F57-B11D-AAD45028D69F}"/>
    <cellStyle name="20% - Accent1 3 2 6 3" xfId="20985" xr:uid="{21EB0A3D-1263-43C1-8ED5-3F1E51D880C7}"/>
    <cellStyle name="20% - Accent1 3 2 6 4" xfId="29432" xr:uid="{EE3CDEEE-603B-4DA9-BDDA-BDDC0895221A}"/>
    <cellStyle name="20% - Accent1 3 2 6 5" xfId="37879" xr:uid="{F833F9D3-A076-40B7-958E-4C73DCACFAAE}"/>
    <cellStyle name="20% - Accent1 3 2 6 6" xfId="11685" xr:uid="{6F50FF9A-C521-4AB5-AC3F-5FCEE3287AEE}"/>
    <cellStyle name="20% - Accent1 3 2 7" xfId="4510" xr:uid="{00000000-0005-0000-0000-000066000000}"/>
    <cellStyle name="20% - Accent1 3 2 7 2" xfId="23136" xr:uid="{1088C15F-D4DC-4399-9F49-92E57E2FE4EB}"/>
    <cellStyle name="20% - Accent1 3 2 7 3" xfId="31583" xr:uid="{840AD142-C3CE-4AB9-8CD7-6C45F9847F18}"/>
    <cellStyle name="20% - Accent1 3 2 7 4" xfId="40030" xr:uid="{3E869CD9-3B21-4C0D-8D60-FEEEBF3D65B7}"/>
    <cellStyle name="20% - Accent1 3 2 7 5" xfId="13836" xr:uid="{BF406EF4-A417-40F6-B72C-E970B68637B4}"/>
    <cellStyle name="20% - Accent1 3 2 8" xfId="9068" xr:uid="{354460C9-AD38-4FCD-882B-4DFB81DE5890}"/>
    <cellStyle name="20% - Accent1 3 2 8 2" xfId="18392" xr:uid="{FD1B9F46-227E-4F74-AE9D-83CD7208A238}"/>
    <cellStyle name="20% - Accent1 3 2 9" xfId="18919" xr:uid="{1D08FAD7-C426-4751-959B-0C9A149B6E15}"/>
    <cellStyle name="20% - Accent1 3 3" xfId="575" xr:uid="{00000000-0005-0000-0000-000067000000}"/>
    <cellStyle name="20% - Accent1 3 3 2" xfId="2846" xr:uid="{00000000-0005-0000-0000-000068000000}"/>
    <cellStyle name="20% - Accent1 3 3 2 2" xfId="7068" xr:uid="{00000000-0005-0000-0000-000069000000}"/>
    <cellStyle name="20% - Accent1 3 3 2 2 2" xfId="25694" xr:uid="{177520E3-D460-49FE-95AB-FE6D79B4CE55}"/>
    <cellStyle name="20% - Accent1 3 3 2 2 3" xfId="34141" xr:uid="{467AA04F-F811-4DD5-9C58-6CF68BEC9573}"/>
    <cellStyle name="20% - Accent1 3 3 2 2 4" xfId="42588" xr:uid="{425AE7E0-7D06-4262-AECA-AA2794B2D0C4}"/>
    <cellStyle name="20% - Accent1 3 3 2 2 5" xfId="16394" xr:uid="{952D9F75-4C5A-4B7A-89C4-3B4D9DD0F22C}"/>
    <cellStyle name="20% - Accent1 3 3 2 3" xfId="21477" xr:uid="{65C2102E-AF16-4AA2-ABB6-218AC709199B}"/>
    <cellStyle name="20% - Accent1 3 3 2 4" xfId="29924" xr:uid="{DCE124D5-74BE-49A9-A049-5E0FBB81E843}"/>
    <cellStyle name="20% - Accent1 3 3 2 5" xfId="38371" xr:uid="{BF737A6C-7170-4708-9481-17FCCCE47F98}"/>
    <cellStyle name="20% - Accent1 3 3 2 6" xfId="12177" xr:uid="{9ACFE73B-1143-4FEE-8C6E-77238B826F2C}"/>
    <cellStyle name="20% - Accent1 3 3 3" xfId="4923" xr:uid="{00000000-0005-0000-0000-00006A000000}"/>
    <cellStyle name="20% - Accent1 3 3 3 2" xfId="23549" xr:uid="{815FDD5B-4E83-4D6B-9D82-1D584204D66D}"/>
    <cellStyle name="20% - Accent1 3 3 3 3" xfId="31996" xr:uid="{ABC9491E-BE60-438B-80D9-4EF03C4B8405}"/>
    <cellStyle name="20% - Accent1 3 3 3 4" xfId="40443" xr:uid="{100907F5-AC20-4A5B-9D80-63913AD9E584}"/>
    <cellStyle name="20% - Accent1 3 3 3 5" xfId="14249" xr:uid="{009015D5-754A-4426-9DFA-56361E295A5C}"/>
    <cellStyle name="20% - Accent1 3 3 4" xfId="9286" xr:uid="{B5220C4B-EBE7-4AD0-9A24-7F16FA378184}"/>
    <cellStyle name="20% - Accent1 3 3 4 2" xfId="18602" xr:uid="{3CC55D24-F24D-4987-844C-E588BB65B300}"/>
    <cellStyle name="20% - Accent1 3 3 5" xfId="19332" xr:uid="{DBB98D71-3718-483F-B60E-F4EF1A14866A}"/>
    <cellStyle name="20% - Accent1 3 3 6" xfId="27779" xr:uid="{D3D81685-900F-4EC5-A577-B300E2AF6943}"/>
    <cellStyle name="20% - Accent1 3 3 7" xfId="36226" xr:uid="{BD80981A-E3EC-4044-BE86-6A50A7C7C1F9}"/>
    <cellStyle name="20% - Accent1 3 3 8" xfId="10032" xr:uid="{DF037EFC-F781-40F9-84B8-A16E2B2F7A7E}"/>
    <cellStyle name="20% - Accent1 3 4" xfId="1028" xr:uid="{00000000-0005-0000-0000-00006B000000}"/>
    <cellStyle name="20% - Accent1 3 4 2" xfId="3259" xr:uid="{00000000-0005-0000-0000-00006C000000}"/>
    <cellStyle name="20% - Accent1 3 4 2 2" xfId="7481" xr:uid="{00000000-0005-0000-0000-00006D000000}"/>
    <cellStyle name="20% - Accent1 3 4 2 2 2" xfId="26107" xr:uid="{F1330AFD-365C-4929-B938-080BDFF203CB}"/>
    <cellStyle name="20% - Accent1 3 4 2 2 3" xfId="34554" xr:uid="{06E4B034-CC3A-4F7A-91BF-91CA5F9EAC0D}"/>
    <cellStyle name="20% - Accent1 3 4 2 2 4" xfId="43001" xr:uid="{BE67D090-800A-4B5F-A63D-3F17323DFBD7}"/>
    <cellStyle name="20% - Accent1 3 4 2 2 5" xfId="16807" xr:uid="{FCD5ECE5-61B2-4A90-B70D-2D60A0F12DBF}"/>
    <cellStyle name="20% - Accent1 3 4 2 3" xfId="21890" xr:uid="{90018B58-0299-4532-8591-C9BF02A9F0FE}"/>
    <cellStyle name="20% - Accent1 3 4 2 4" xfId="30337" xr:uid="{BFD6C129-6464-4C6A-85E8-767885FC83E3}"/>
    <cellStyle name="20% - Accent1 3 4 2 5" xfId="38784" xr:uid="{19ED66FB-68ED-49AD-A627-105FE2E858F0}"/>
    <cellStyle name="20% - Accent1 3 4 2 6" xfId="12590" xr:uid="{510FF760-5430-40FA-BBDD-60906FA786BA}"/>
    <cellStyle name="20% - Accent1 3 4 3" xfId="5336" xr:uid="{00000000-0005-0000-0000-00006E000000}"/>
    <cellStyle name="20% - Accent1 3 4 3 2" xfId="23962" xr:uid="{43D960E6-256A-4285-9C76-74D8D8849F54}"/>
    <cellStyle name="20% - Accent1 3 4 3 3" xfId="32409" xr:uid="{6599C53E-9253-476A-BC60-B69E148DCE14}"/>
    <cellStyle name="20% - Accent1 3 4 3 4" xfId="40856" xr:uid="{410D70AC-083E-456F-8F7A-C1E452E72DAF}"/>
    <cellStyle name="20% - Accent1 3 4 3 5" xfId="14662" xr:uid="{17B4910C-3607-438B-B5C1-1C814FE5956E}"/>
    <cellStyle name="20% - Accent1 3 4 4" xfId="19745" xr:uid="{5DD5E694-3AFA-46A2-B1C9-C1FEF5B18714}"/>
    <cellStyle name="20% - Accent1 3 4 5" xfId="28192" xr:uid="{5FDF6E09-30CF-49C1-8748-D294ED5FC693}"/>
    <cellStyle name="20% - Accent1 3 4 6" xfId="36639" xr:uid="{9A38822C-4164-4706-A1BA-64418E074E0D}"/>
    <cellStyle name="20% - Accent1 3 4 7" xfId="10445" xr:uid="{07B7029E-CE9C-4296-A199-7CAC9E71EBDB}"/>
    <cellStyle name="20% - Accent1 3 5" xfId="1442" xr:uid="{00000000-0005-0000-0000-00006F000000}"/>
    <cellStyle name="20% - Accent1 3 5 2" xfId="3672" xr:uid="{00000000-0005-0000-0000-000070000000}"/>
    <cellStyle name="20% - Accent1 3 5 2 2" xfId="7894" xr:uid="{00000000-0005-0000-0000-000071000000}"/>
    <cellStyle name="20% - Accent1 3 5 2 2 2" xfId="26520" xr:uid="{6C7414BA-1E6F-4071-923F-DAB0CA05C452}"/>
    <cellStyle name="20% - Accent1 3 5 2 2 3" xfId="34967" xr:uid="{458473BF-C3FE-4557-85EB-4F49B2E6645A}"/>
    <cellStyle name="20% - Accent1 3 5 2 2 4" xfId="43414" xr:uid="{3FBF89E2-B37F-49F2-BB45-4935A77F2D32}"/>
    <cellStyle name="20% - Accent1 3 5 2 2 5" xfId="17220" xr:uid="{A8DF37E1-FA72-42D5-B9FB-2CDFECD063FB}"/>
    <cellStyle name="20% - Accent1 3 5 2 3" xfId="22303" xr:uid="{B10E543D-5BF1-426F-A7B9-1D21E0E011E1}"/>
    <cellStyle name="20% - Accent1 3 5 2 4" xfId="30750" xr:uid="{77BA64B4-210A-40E2-B2CB-B8AFF12C5318}"/>
    <cellStyle name="20% - Accent1 3 5 2 5" xfId="39197" xr:uid="{0D5FED4A-5019-4187-969B-792DA2FAF7E6}"/>
    <cellStyle name="20% - Accent1 3 5 2 6" xfId="13003" xr:uid="{6AD9B155-2DB4-49C8-A304-4BA20599068C}"/>
    <cellStyle name="20% - Accent1 3 5 3" xfId="5749" xr:uid="{00000000-0005-0000-0000-000072000000}"/>
    <cellStyle name="20% - Accent1 3 5 3 2" xfId="24375" xr:uid="{DF07BC98-E445-4748-B061-18370EF0F659}"/>
    <cellStyle name="20% - Accent1 3 5 3 3" xfId="32822" xr:uid="{1BC1BAE5-F687-4C23-93C2-FFBE72CF4515}"/>
    <cellStyle name="20% - Accent1 3 5 3 4" xfId="41269" xr:uid="{B578B01F-A467-44C6-A4F3-E7FBBE99B7A2}"/>
    <cellStyle name="20% - Accent1 3 5 3 5" xfId="15075" xr:uid="{72BA4971-7197-4CA5-9F94-CA772DE31386}"/>
    <cellStyle name="20% - Accent1 3 5 4" xfId="20158" xr:uid="{51D3ABDB-2321-4CF8-9F6E-08A8A8E9AFB1}"/>
    <cellStyle name="20% - Accent1 3 5 5" xfId="28605" xr:uid="{B367838D-B8D4-4BF7-BCAC-BF58ACFB07A6}"/>
    <cellStyle name="20% - Accent1 3 5 6" xfId="37052" xr:uid="{4DFBF835-FAFD-4365-9A88-61DD653E6E8F}"/>
    <cellStyle name="20% - Accent1 3 5 7" xfId="10858" xr:uid="{51E78FE4-9F18-4757-81DA-C47F06CC36B0}"/>
    <cellStyle name="20% - Accent1 3 6" xfId="1856" xr:uid="{00000000-0005-0000-0000-000073000000}"/>
    <cellStyle name="20% - Accent1 3 6 2" xfId="4085" xr:uid="{00000000-0005-0000-0000-000074000000}"/>
    <cellStyle name="20% - Accent1 3 6 2 2" xfId="8307" xr:uid="{00000000-0005-0000-0000-000075000000}"/>
    <cellStyle name="20% - Accent1 3 6 2 2 2" xfId="26933" xr:uid="{59B4DA59-F36D-4A2F-8B3A-36D72C4E4A25}"/>
    <cellStyle name="20% - Accent1 3 6 2 2 3" xfId="35380" xr:uid="{390058C4-10EF-437D-8013-A9811EE3B77E}"/>
    <cellStyle name="20% - Accent1 3 6 2 2 4" xfId="43827" xr:uid="{EEF0C047-8103-4531-A602-AF6124A74D8C}"/>
    <cellStyle name="20% - Accent1 3 6 2 2 5" xfId="17633" xr:uid="{C52EE5EA-00D1-461A-94E0-07962B2AA89C}"/>
    <cellStyle name="20% - Accent1 3 6 2 3" xfId="22716" xr:uid="{925B103B-C8E2-4D6B-8C13-65AF3C43D05C}"/>
    <cellStyle name="20% - Accent1 3 6 2 4" xfId="31163" xr:uid="{30E0B51F-CB60-4399-B7F6-CE7E2AA2CCE7}"/>
    <cellStyle name="20% - Accent1 3 6 2 5" xfId="39610" xr:uid="{212E58DD-891D-4AE7-81CF-E1C628567A61}"/>
    <cellStyle name="20% - Accent1 3 6 2 6" xfId="13416" xr:uid="{02F084DC-33B9-4888-90C0-A5B9C2CE717F}"/>
    <cellStyle name="20% - Accent1 3 6 3" xfId="6162" xr:uid="{00000000-0005-0000-0000-000076000000}"/>
    <cellStyle name="20% - Accent1 3 6 3 2" xfId="24788" xr:uid="{8A711676-4754-4F65-98CE-1C7673BAB15E}"/>
    <cellStyle name="20% - Accent1 3 6 3 3" xfId="33235" xr:uid="{7A8C3155-FB44-4696-AB7E-933F6EE26EBA}"/>
    <cellStyle name="20% - Accent1 3 6 3 4" xfId="41682" xr:uid="{1C671F7E-ABE3-49A4-B047-6574C2018C99}"/>
    <cellStyle name="20% - Accent1 3 6 3 5" xfId="15488" xr:uid="{8E1D6456-6DB6-4ECC-BF57-59485A4777F5}"/>
    <cellStyle name="20% - Accent1 3 6 4" xfId="20571" xr:uid="{F9417E27-7BB3-4430-B4A0-01B702ACE33C}"/>
    <cellStyle name="20% - Accent1 3 6 5" xfId="29018" xr:uid="{596497AA-8D2C-499C-A5DB-CAF39FE85E4E}"/>
    <cellStyle name="20% - Accent1 3 6 6" xfId="37465" xr:uid="{2CF217D9-335A-44F7-BD75-B863D8E54255}"/>
    <cellStyle name="20% - Accent1 3 6 7" xfId="11271" xr:uid="{30323954-16F3-4988-BF69-C00723615D7E}"/>
    <cellStyle name="20% - Accent1 3 7" xfId="2269" xr:uid="{00000000-0005-0000-0000-000077000000}"/>
    <cellStyle name="20% - Accent1 3 7 2" xfId="6575" xr:uid="{00000000-0005-0000-0000-000078000000}"/>
    <cellStyle name="20% - Accent1 3 7 2 2" xfId="25201" xr:uid="{ED4411B7-55F1-451C-88CF-AFD635EE1DA7}"/>
    <cellStyle name="20% - Accent1 3 7 2 3" xfId="33648" xr:uid="{1E1ECF58-2167-47BC-B380-F66CF28816BA}"/>
    <cellStyle name="20% - Accent1 3 7 2 4" xfId="42095" xr:uid="{FAA1421D-8C3F-40EF-8FBD-880268812440}"/>
    <cellStyle name="20% - Accent1 3 7 2 5" xfId="15901" xr:uid="{C013F20C-E7AC-45B4-85BC-4003139517F1}"/>
    <cellStyle name="20% - Accent1 3 7 3" xfId="20984" xr:uid="{866FA550-1A12-4547-B42C-D866865F18AB}"/>
    <cellStyle name="20% - Accent1 3 7 4" xfId="29431" xr:uid="{5CFFCEEF-35E0-4490-B7D9-64D56E5B80C8}"/>
    <cellStyle name="20% - Accent1 3 7 5" xfId="37878" xr:uid="{FE9BF0D5-92C9-47D9-909F-E794F06573BA}"/>
    <cellStyle name="20% - Accent1 3 7 6" xfId="11684" xr:uid="{73081337-CC59-4BB3-91E5-AC49D03E8330}"/>
    <cellStyle name="20% - Accent1 3 8" xfId="4509" xr:uid="{00000000-0005-0000-0000-000079000000}"/>
    <cellStyle name="20% - Accent1 3 8 2" xfId="23135" xr:uid="{F2305056-F205-43F1-B0F4-0F772DEE9E67}"/>
    <cellStyle name="20% - Accent1 3 8 3" xfId="31582" xr:uid="{91EE7E1C-6546-4D31-A27E-D7E5CEBEC33D}"/>
    <cellStyle name="20% - Accent1 3 8 4" xfId="40029" xr:uid="{646DB2D5-9813-44C9-8FE6-A5962B252E52}"/>
    <cellStyle name="20% - Accent1 3 8 5" xfId="13835" xr:uid="{EC1276F3-388D-434F-BAC5-DAD7B7AF342B}"/>
    <cellStyle name="20% - Accent1 3 9" xfId="8861" xr:uid="{C1B75176-75E3-4E31-86A7-851E7FD67A9E}"/>
    <cellStyle name="20% - Accent1 3 9 2" xfId="18185" xr:uid="{34EC8FB7-A9B7-4829-914A-0F0A6C332C63}"/>
    <cellStyle name="20% - Accent1 4" xfId="8" xr:uid="{00000000-0005-0000-0000-00007A000000}"/>
    <cellStyle name="20% - Accent1 4 10" xfId="27367" xr:uid="{0E90A3A9-B21F-4C10-9FAA-3E34B9B27489}"/>
    <cellStyle name="20% - Accent1 4 11" xfId="35814" xr:uid="{F31BED39-0254-4283-9F4E-D1B582A8876B}"/>
    <cellStyle name="20% - Accent1 4 12" xfId="9620" xr:uid="{04DDC083-E824-4CC0-9774-481E491D4E9F}"/>
    <cellStyle name="20% - Accent1 4 2" xfId="577" xr:uid="{00000000-0005-0000-0000-00007B000000}"/>
    <cellStyle name="20% - Accent1 4 2 2" xfId="2848" xr:uid="{00000000-0005-0000-0000-00007C000000}"/>
    <cellStyle name="20% - Accent1 4 2 2 2" xfId="7070" xr:uid="{00000000-0005-0000-0000-00007D000000}"/>
    <cellStyle name="20% - Accent1 4 2 2 2 2" xfId="25696" xr:uid="{B47D30FC-BC15-4B11-B5BE-AB2719B9D5B3}"/>
    <cellStyle name="20% - Accent1 4 2 2 2 3" xfId="34143" xr:uid="{6E825DE5-9C1E-4361-8C9D-81E1B574A00E}"/>
    <cellStyle name="20% - Accent1 4 2 2 2 4" xfId="42590" xr:uid="{26131DFB-2887-4E45-B061-90722ACAA418}"/>
    <cellStyle name="20% - Accent1 4 2 2 2 5" xfId="16396" xr:uid="{5BA7BC05-E979-4320-AB5C-FC6DE7A7242C}"/>
    <cellStyle name="20% - Accent1 4 2 2 3" xfId="21479" xr:uid="{2DF840D0-12A0-41D1-AAD6-9A1BAA661B83}"/>
    <cellStyle name="20% - Accent1 4 2 2 4" xfId="29926" xr:uid="{F083CD48-37FC-4E4B-A379-5D9C3B95C8E2}"/>
    <cellStyle name="20% - Accent1 4 2 2 5" xfId="38373" xr:uid="{41EF7108-1D36-44A0-A136-0BA7842F7B88}"/>
    <cellStyle name="20% - Accent1 4 2 2 6" xfId="12179" xr:uid="{93B93C29-9DAC-4C63-8A4C-E335CA972247}"/>
    <cellStyle name="20% - Accent1 4 2 3" xfId="4925" xr:uid="{00000000-0005-0000-0000-00007E000000}"/>
    <cellStyle name="20% - Accent1 4 2 3 2" xfId="23551" xr:uid="{6C995BF5-7334-4B4C-BBF3-F10DE07C660E}"/>
    <cellStyle name="20% - Accent1 4 2 3 3" xfId="31998" xr:uid="{6279A3ED-7506-4044-8B3E-86CB1B56492F}"/>
    <cellStyle name="20% - Accent1 4 2 3 4" xfId="40445" xr:uid="{6762A869-8473-41A3-B172-F9711FE111A2}"/>
    <cellStyle name="20% - Accent1 4 2 3 5" xfId="14251" xr:uid="{A9BFDA39-3887-49D5-90C5-230FF88702CF}"/>
    <cellStyle name="20% - Accent1 4 2 4" xfId="9372" xr:uid="{E6B08341-6F7D-4580-9BCF-4BFC252FAE31}"/>
    <cellStyle name="20% - Accent1 4 2 4 2" xfId="18688" xr:uid="{A47F13DB-D33B-4783-B499-2F9D2A147C4C}"/>
    <cellStyle name="20% - Accent1 4 2 5" xfId="19334" xr:uid="{D7E0DF7C-7201-489E-B489-B412254EC033}"/>
    <cellStyle name="20% - Accent1 4 2 6" xfId="27781" xr:uid="{0492DEAF-3EAD-4EFF-B18F-FDE06650BE21}"/>
    <cellStyle name="20% - Accent1 4 2 7" xfId="36228" xr:uid="{04A337B2-9C50-4FEA-897B-1DDF83B3B0A5}"/>
    <cellStyle name="20% - Accent1 4 2 8" xfId="10034" xr:uid="{9031BF5E-8690-4E57-9E79-2944465846EA}"/>
    <cellStyle name="20% - Accent1 4 3" xfId="1030" xr:uid="{00000000-0005-0000-0000-00007F000000}"/>
    <cellStyle name="20% - Accent1 4 3 2" xfId="3261" xr:uid="{00000000-0005-0000-0000-000080000000}"/>
    <cellStyle name="20% - Accent1 4 3 2 2" xfId="7483" xr:uid="{00000000-0005-0000-0000-000081000000}"/>
    <cellStyle name="20% - Accent1 4 3 2 2 2" xfId="26109" xr:uid="{A8848B54-49D2-455F-A723-CC2A62EBCCE7}"/>
    <cellStyle name="20% - Accent1 4 3 2 2 3" xfId="34556" xr:uid="{76B6C43A-948B-445A-BAE4-4217DB7681EB}"/>
    <cellStyle name="20% - Accent1 4 3 2 2 4" xfId="43003" xr:uid="{095BF616-01CC-4E46-B174-945760CD4B83}"/>
    <cellStyle name="20% - Accent1 4 3 2 2 5" xfId="16809" xr:uid="{C1DEBCDA-EAED-463B-9870-27D047F8863B}"/>
    <cellStyle name="20% - Accent1 4 3 2 3" xfId="21892" xr:uid="{FDE5ED19-9CB5-41ED-930B-1B32088BE35B}"/>
    <cellStyle name="20% - Accent1 4 3 2 4" xfId="30339" xr:uid="{1C3BFC54-2961-459B-B4B5-83CB657D9222}"/>
    <cellStyle name="20% - Accent1 4 3 2 5" xfId="38786" xr:uid="{1A825A34-48FD-472C-AF45-B1884A7D97E7}"/>
    <cellStyle name="20% - Accent1 4 3 2 6" xfId="12592" xr:uid="{B790D21D-613D-447D-B149-01812695A012}"/>
    <cellStyle name="20% - Accent1 4 3 3" xfId="5338" xr:uid="{00000000-0005-0000-0000-000082000000}"/>
    <cellStyle name="20% - Accent1 4 3 3 2" xfId="23964" xr:uid="{33529844-512B-45B1-8B96-C935D2431F80}"/>
    <cellStyle name="20% - Accent1 4 3 3 3" xfId="32411" xr:uid="{DA0F2A99-EB3A-4149-9545-1F0402AAF9A1}"/>
    <cellStyle name="20% - Accent1 4 3 3 4" xfId="40858" xr:uid="{98A3DC10-28D4-4065-AD79-E09F3A8FF8C2}"/>
    <cellStyle name="20% - Accent1 4 3 3 5" xfId="14664" xr:uid="{B06D0A61-BD96-47E7-8B18-6D9B82556F40}"/>
    <cellStyle name="20% - Accent1 4 3 4" xfId="19747" xr:uid="{4E20168A-0738-48D7-BDED-DCF4D43EBEF4}"/>
    <cellStyle name="20% - Accent1 4 3 5" xfId="28194" xr:uid="{C5B0AA48-FEE5-498D-814B-FBA17651391D}"/>
    <cellStyle name="20% - Accent1 4 3 6" xfId="36641" xr:uid="{33AE3FDC-9E10-44C9-B860-BEAB244FD408}"/>
    <cellStyle name="20% - Accent1 4 3 7" xfId="10447" xr:uid="{1555543D-19E6-470C-920B-32E41B5DE01C}"/>
    <cellStyle name="20% - Accent1 4 4" xfId="1444" xr:uid="{00000000-0005-0000-0000-000083000000}"/>
    <cellStyle name="20% - Accent1 4 4 2" xfId="3674" xr:uid="{00000000-0005-0000-0000-000084000000}"/>
    <cellStyle name="20% - Accent1 4 4 2 2" xfId="7896" xr:uid="{00000000-0005-0000-0000-000085000000}"/>
    <cellStyle name="20% - Accent1 4 4 2 2 2" xfId="26522" xr:uid="{2424D822-C2D0-4434-832E-EB48EF260D37}"/>
    <cellStyle name="20% - Accent1 4 4 2 2 3" xfId="34969" xr:uid="{98FF9BBE-E651-4337-8243-20095318A3CB}"/>
    <cellStyle name="20% - Accent1 4 4 2 2 4" xfId="43416" xr:uid="{F75740F4-3EEC-4431-82EE-B143339E3C26}"/>
    <cellStyle name="20% - Accent1 4 4 2 2 5" xfId="17222" xr:uid="{8294BE24-C068-4724-A180-CA6D669EBFE4}"/>
    <cellStyle name="20% - Accent1 4 4 2 3" xfId="22305" xr:uid="{B63A69A6-A4C4-4492-A934-45DFB02104E3}"/>
    <cellStyle name="20% - Accent1 4 4 2 4" xfId="30752" xr:uid="{4EC9D1B1-8680-4442-8C2B-035E2AC4F3F7}"/>
    <cellStyle name="20% - Accent1 4 4 2 5" xfId="39199" xr:uid="{CECE67F4-1F0B-4D37-8169-C4434DEFCA78}"/>
    <cellStyle name="20% - Accent1 4 4 2 6" xfId="13005" xr:uid="{6B21CF4F-D641-4679-AC50-6811302E5191}"/>
    <cellStyle name="20% - Accent1 4 4 3" xfId="5751" xr:uid="{00000000-0005-0000-0000-000086000000}"/>
    <cellStyle name="20% - Accent1 4 4 3 2" xfId="24377" xr:uid="{6CBDA72B-574D-46D2-99C8-7A12C71BEACA}"/>
    <cellStyle name="20% - Accent1 4 4 3 3" xfId="32824" xr:uid="{2E3B0C61-60D6-4964-80AD-C36B5756D83C}"/>
    <cellStyle name="20% - Accent1 4 4 3 4" xfId="41271" xr:uid="{882BDAF8-C0B1-4680-9B7A-AF339B2635E9}"/>
    <cellStyle name="20% - Accent1 4 4 3 5" xfId="15077" xr:uid="{9EC6D933-E882-41B2-95C2-D88A927FF73A}"/>
    <cellStyle name="20% - Accent1 4 4 4" xfId="20160" xr:uid="{DA24D06D-F59A-4488-B491-9C75836E00B6}"/>
    <cellStyle name="20% - Accent1 4 4 5" xfId="28607" xr:uid="{6EBD2138-FA1E-4663-AC68-AD0D3A73DBAC}"/>
    <cellStyle name="20% - Accent1 4 4 6" xfId="37054" xr:uid="{7DBBA28D-5483-4108-BC87-D1102CB1B61B}"/>
    <cellStyle name="20% - Accent1 4 4 7" xfId="10860" xr:uid="{C2DD235E-6415-4F32-ACD4-91F63153AF56}"/>
    <cellStyle name="20% - Accent1 4 5" xfId="1858" xr:uid="{00000000-0005-0000-0000-000087000000}"/>
    <cellStyle name="20% - Accent1 4 5 2" xfId="4087" xr:uid="{00000000-0005-0000-0000-000088000000}"/>
    <cellStyle name="20% - Accent1 4 5 2 2" xfId="8309" xr:uid="{00000000-0005-0000-0000-000089000000}"/>
    <cellStyle name="20% - Accent1 4 5 2 2 2" xfId="26935" xr:uid="{C22107E3-F2D5-43BD-8BFC-8EA8BD753BCF}"/>
    <cellStyle name="20% - Accent1 4 5 2 2 3" xfId="35382" xr:uid="{F3E3808A-4BFE-438B-A50D-2C88CF235EE8}"/>
    <cellStyle name="20% - Accent1 4 5 2 2 4" xfId="43829" xr:uid="{07213B5B-6653-44BB-AFBF-8141080E040A}"/>
    <cellStyle name="20% - Accent1 4 5 2 2 5" xfId="17635" xr:uid="{D7EA6BCF-1D7F-43B4-B5A2-C00535BC5E7C}"/>
    <cellStyle name="20% - Accent1 4 5 2 3" xfId="22718" xr:uid="{93A61A5C-DBBE-47AF-9686-9BBF57C97C32}"/>
    <cellStyle name="20% - Accent1 4 5 2 4" xfId="31165" xr:uid="{F9F78C21-50D0-4747-9835-D016424437CE}"/>
    <cellStyle name="20% - Accent1 4 5 2 5" xfId="39612" xr:uid="{DB573FE0-B747-4047-AFAA-7AB58E4D9ADA}"/>
    <cellStyle name="20% - Accent1 4 5 2 6" xfId="13418" xr:uid="{D7964CC2-3FAC-49A6-9B6F-553FD1DB7FCD}"/>
    <cellStyle name="20% - Accent1 4 5 3" xfId="6164" xr:uid="{00000000-0005-0000-0000-00008A000000}"/>
    <cellStyle name="20% - Accent1 4 5 3 2" xfId="24790" xr:uid="{4FE55AED-E720-4378-9BD4-891BA4A9B7FF}"/>
    <cellStyle name="20% - Accent1 4 5 3 3" xfId="33237" xr:uid="{263F2CC6-3568-43A9-9F2A-2E84F19A808A}"/>
    <cellStyle name="20% - Accent1 4 5 3 4" xfId="41684" xr:uid="{0D47FDEE-DBCE-494B-B2CF-16F6B23A8C38}"/>
    <cellStyle name="20% - Accent1 4 5 3 5" xfId="15490" xr:uid="{ED50D1AA-19D4-4717-9B57-9CB6FAAAE61E}"/>
    <cellStyle name="20% - Accent1 4 5 4" xfId="20573" xr:uid="{55C67E1E-B144-4E95-B402-7B6200D707C6}"/>
    <cellStyle name="20% - Accent1 4 5 5" xfId="29020" xr:uid="{53C8EAED-4349-4941-A5DA-447048A1BDC5}"/>
    <cellStyle name="20% - Accent1 4 5 6" xfId="37467" xr:uid="{BD33CD3B-F38B-46BD-99AE-186DF0CF8EA1}"/>
    <cellStyle name="20% - Accent1 4 5 7" xfId="11273" xr:uid="{866AC3E3-E579-4E03-A109-711F7B0A8690}"/>
    <cellStyle name="20% - Accent1 4 6" xfId="2271" xr:uid="{00000000-0005-0000-0000-00008B000000}"/>
    <cellStyle name="20% - Accent1 4 6 2" xfId="6577" xr:uid="{00000000-0005-0000-0000-00008C000000}"/>
    <cellStyle name="20% - Accent1 4 6 2 2" xfId="25203" xr:uid="{08353953-8FC5-473F-AE57-8A98638F3F50}"/>
    <cellStyle name="20% - Accent1 4 6 2 3" xfId="33650" xr:uid="{8E676CF6-F7C8-4AD5-A416-3B51D5B630C3}"/>
    <cellStyle name="20% - Accent1 4 6 2 4" xfId="42097" xr:uid="{C84CB647-9E80-417D-92AC-730C8A9D5C15}"/>
    <cellStyle name="20% - Accent1 4 6 2 5" xfId="15903" xr:uid="{89D1B2E6-28EA-4F77-971D-48E1E6454306}"/>
    <cellStyle name="20% - Accent1 4 6 3" xfId="20986" xr:uid="{7BBD668E-C526-445C-BB62-CD4C9009DB05}"/>
    <cellStyle name="20% - Accent1 4 6 4" xfId="29433" xr:uid="{376B22E3-A544-4595-B891-E2B663C49BF3}"/>
    <cellStyle name="20% - Accent1 4 6 5" xfId="37880" xr:uid="{BE3CF63F-5F5E-4955-9B69-7A23F80082C1}"/>
    <cellStyle name="20% - Accent1 4 6 6" xfId="11686" xr:uid="{4C7C0A1F-AF02-4802-A33A-C2B7B14DECE0}"/>
    <cellStyle name="20% - Accent1 4 7" xfId="4511" xr:uid="{00000000-0005-0000-0000-00008D000000}"/>
    <cellStyle name="20% - Accent1 4 7 2" xfId="23137" xr:uid="{673AE8D1-5A21-416A-ADE3-50F04D0CE335}"/>
    <cellStyle name="20% - Accent1 4 7 3" xfId="31584" xr:uid="{7E6C39D4-1CED-4501-A976-585BE67F4EF9}"/>
    <cellStyle name="20% - Accent1 4 7 4" xfId="40031" xr:uid="{5830966A-D3A7-4F79-9499-CB5F1FA41F77}"/>
    <cellStyle name="20% - Accent1 4 7 5" xfId="13837" xr:uid="{CBD5FF72-2541-4708-A352-06CE7763826F}"/>
    <cellStyle name="20% - Accent1 4 8" xfId="8947" xr:uid="{1FCDBFE2-CC86-42DD-AD9B-D3EAF476002E}"/>
    <cellStyle name="20% - Accent1 4 8 2" xfId="18271" xr:uid="{EC19A65A-17B4-407B-A3C1-77D9E97114FE}"/>
    <cellStyle name="20% - Accent1 4 9" xfId="18920" xr:uid="{6E69B37D-6C54-4EB3-8DB3-A014FE897324}"/>
    <cellStyle name="20% - Accent1 5" xfId="570" xr:uid="{00000000-0005-0000-0000-00008E000000}"/>
    <cellStyle name="20% - Accent1 5 2" xfId="2841" xr:uid="{00000000-0005-0000-0000-00008F000000}"/>
    <cellStyle name="20% - Accent1 5 2 2" xfId="7063" xr:uid="{00000000-0005-0000-0000-000090000000}"/>
    <cellStyle name="20% - Accent1 5 2 2 2" xfId="25689" xr:uid="{25440177-75C5-47C4-BC0D-1C6CE1861C18}"/>
    <cellStyle name="20% - Accent1 5 2 2 3" xfId="34136" xr:uid="{C1F3D0AF-7114-4974-A2AE-5997A7A42290}"/>
    <cellStyle name="20% - Accent1 5 2 2 4" xfId="42583" xr:uid="{3C71FC91-9DE7-4141-89F8-B26ADD753FEC}"/>
    <cellStyle name="20% - Accent1 5 2 2 5" xfId="16389" xr:uid="{40413AEE-B8A7-4B8E-9078-D1BFE5CC6DAE}"/>
    <cellStyle name="20% - Accent1 5 2 3" xfId="21472" xr:uid="{0B38F342-E594-43CB-9676-3B286F03E2B1}"/>
    <cellStyle name="20% - Accent1 5 2 4" xfId="29919" xr:uid="{05ECA96E-2081-4EEC-9579-145D71F2BA41}"/>
    <cellStyle name="20% - Accent1 5 2 5" xfId="38366" xr:uid="{56A23843-ADAC-45F4-9652-2E4ABF65A6CC}"/>
    <cellStyle name="20% - Accent1 5 2 6" xfId="12172" xr:uid="{7177FB74-5C67-41D4-860A-E854E5FBE926}"/>
    <cellStyle name="20% - Accent1 5 3" xfId="4918" xr:uid="{00000000-0005-0000-0000-000091000000}"/>
    <cellStyle name="20% - Accent1 5 3 2" xfId="23544" xr:uid="{743CFDED-3A1D-46E8-9DDC-AB1A9D405D38}"/>
    <cellStyle name="20% - Accent1 5 3 3" xfId="31991" xr:uid="{F5D9B757-2BBA-419B-879C-59A3101CA1D6}"/>
    <cellStyle name="20% - Accent1 5 3 4" xfId="40438" xr:uid="{8F464FC7-13EB-4869-81F6-A89362EEAA3D}"/>
    <cellStyle name="20% - Accent1 5 3 5" xfId="14244" xr:uid="{C246A796-2795-4FB8-BD14-2FDD883A754C}"/>
    <cellStyle name="20% - Accent1 5 4" xfId="9180" xr:uid="{D0AEF57E-25E3-47C5-B910-DC1A0019F498}"/>
    <cellStyle name="20% - Accent1 5 4 2" xfId="18499" xr:uid="{BC230D35-72E8-4CDF-B240-7B1925C07E01}"/>
    <cellStyle name="20% - Accent1 5 5" xfId="19327" xr:uid="{6AC59284-6975-4996-96D5-2D6E74BB2BB6}"/>
    <cellStyle name="20% - Accent1 5 6" xfId="27774" xr:uid="{1F48C012-AA21-4A14-8F22-3D501D609AE3}"/>
    <cellStyle name="20% - Accent1 5 7" xfId="36221" xr:uid="{4EB5DD85-66B8-46C2-8C9F-31D6B71192B5}"/>
    <cellStyle name="20% - Accent1 5 8" xfId="10027" xr:uid="{4B6FE38B-35A4-4B0C-B306-36EB68AADBB8}"/>
    <cellStyle name="20% - Accent1 6" xfId="1023" xr:uid="{00000000-0005-0000-0000-000092000000}"/>
    <cellStyle name="20% - Accent1 6 2" xfId="3254" xr:uid="{00000000-0005-0000-0000-000093000000}"/>
    <cellStyle name="20% - Accent1 6 2 2" xfId="7476" xr:uid="{00000000-0005-0000-0000-000094000000}"/>
    <cellStyle name="20% - Accent1 6 2 2 2" xfId="26102" xr:uid="{6DC1604D-D524-4E4F-B269-78B869AD34EB}"/>
    <cellStyle name="20% - Accent1 6 2 2 3" xfId="34549" xr:uid="{70F60D14-2A17-4CFC-BBE9-B55667FA5920}"/>
    <cellStyle name="20% - Accent1 6 2 2 4" xfId="42996" xr:uid="{3761D7BF-3C36-4671-98AA-D169B40EC367}"/>
    <cellStyle name="20% - Accent1 6 2 2 5" xfId="16802" xr:uid="{0256979B-68A0-42A6-B459-0DFC63715EC5}"/>
    <cellStyle name="20% - Accent1 6 2 3" xfId="21885" xr:uid="{2BE5E8E4-DD6D-466D-9917-388242EE6646}"/>
    <cellStyle name="20% - Accent1 6 2 4" xfId="30332" xr:uid="{75EF700C-B2D2-486A-8FCF-657C71AB1C5A}"/>
    <cellStyle name="20% - Accent1 6 2 5" xfId="38779" xr:uid="{D219F671-5F64-4AD0-A96B-F666703FDB68}"/>
    <cellStyle name="20% - Accent1 6 2 6" xfId="12585" xr:uid="{DBC35F75-0810-49D4-BE8C-BD7D72216254}"/>
    <cellStyle name="20% - Accent1 6 3" xfId="5331" xr:uid="{00000000-0005-0000-0000-000095000000}"/>
    <cellStyle name="20% - Accent1 6 3 2" xfId="23957" xr:uid="{8EBB9D18-8850-4E0D-B73D-BDD5FEB02073}"/>
    <cellStyle name="20% - Accent1 6 3 3" xfId="32404" xr:uid="{FBECC21A-25C6-4D26-ADD2-0F2DD96634A8}"/>
    <cellStyle name="20% - Accent1 6 3 4" xfId="40851" xr:uid="{71797E54-6D3C-471C-B963-86524EFD2B41}"/>
    <cellStyle name="20% - Accent1 6 3 5" xfId="14657" xr:uid="{0C6A70CE-BAEB-4911-9E60-0B8A3D0DD4EB}"/>
    <cellStyle name="20% - Accent1 6 4" xfId="19740" xr:uid="{F90E275B-C2A3-4158-AEAE-BBDBF847B777}"/>
    <cellStyle name="20% - Accent1 6 5" xfId="28187" xr:uid="{5BAA0838-68C9-410E-8CB5-B282AD2C4A6F}"/>
    <cellStyle name="20% - Accent1 6 6" xfId="36634" xr:uid="{C196CE68-1F1A-447A-AF85-A29FC6157256}"/>
    <cellStyle name="20% - Accent1 6 7" xfId="10440" xr:uid="{EC0C9BBC-5D7A-446C-8432-8BDC4E822DAB}"/>
    <cellStyle name="20% - Accent1 7" xfId="1437" xr:uid="{00000000-0005-0000-0000-000096000000}"/>
    <cellStyle name="20% - Accent1 7 2" xfId="3667" xr:uid="{00000000-0005-0000-0000-000097000000}"/>
    <cellStyle name="20% - Accent1 7 2 2" xfId="7889" xr:uid="{00000000-0005-0000-0000-000098000000}"/>
    <cellStyle name="20% - Accent1 7 2 2 2" xfId="26515" xr:uid="{A9BA41DB-1A8D-43E3-87E9-03BA5EC8C3AC}"/>
    <cellStyle name="20% - Accent1 7 2 2 3" xfId="34962" xr:uid="{2B05675A-73F2-4759-A5FF-45862CCD1517}"/>
    <cellStyle name="20% - Accent1 7 2 2 4" xfId="43409" xr:uid="{79CB16DF-9EFF-41DA-BA4B-BF42C32914DB}"/>
    <cellStyle name="20% - Accent1 7 2 2 5" xfId="17215" xr:uid="{6AECC7D1-953B-4632-B8C9-9F75AB1F6E24}"/>
    <cellStyle name="20% - Accent1 7 2 3" xfId="22298" xr:uid="{F597840A-5049-4ADD-A0E4-D302C55CE765}"/>
    <cellStyle name="20% - Accent1 7 2 4" xfId="30745" xr:uid="{33B4EA2C-AE55-426A-915D-DD95A6A4C5B4}"/>
    <cellStyle name="20% - Accent1 7 2 5" xfId="39192" xr:uid="{304C333B-8C2B-4967-AE5A-668463C7BF23}"/>
    <cellStyle name="20% - Accent1 7 2 6" xfId="12998" xr:uid="{DC7D718C-5395-4ED6-8677-DC87F1C65756}"/>
    <cellStyle name="20% - Accent1 7 3" xfId="5744" xr:uid="{00000000-0005-0000-0000-000099000000}"/>
    <cellStyle name="20% - Accent1 7 3 2" xfId="24370" xr:uid="{866537C5-3543-457C-9D42-B7437576B68D}"/>
    <cellStyle name="20% - Accent1 7 3 3" xfId="32817" xr:uid="{FF42BC4A-122B-467F-A340-A0ADD357053B}"/>
    <cellStyle name="20% - Accent1 7 3 4" xfId="41264" xr:uid="{40213280-6A88-4A52-BCAD-A921951CBEBD}"/>
    <cellStyle name="20% - Accent1 7 3 5" xfId="15070" xr:uid="{228A2A27-7B43-471D-9050-365764F96C91}"/>
    <cellStyle name="20% - Accent1 7 4" xfId="20153" xr:uid="{44CE6003-543C-49EB-BD3F-ED2B18D8A02B}"/>
    <cellStyle name="20% - Accent1 7 5" xfId="28600" xr:uid="{B6182906-78E9-425F-8BF1-51CD12C03032}"/>
    <cellStyle name="20% - Accent1 7 6" xfId="37047" xr:uid="{655E4D3F-2CD8-4E4F-B718-1189AE5AB25C}"/>
    <cellStyle name="20% - Accent1 7 7" xfId="10853" xr:uid="{3EFB7695-A93D-43D8-8233-783408F1FA5D}"/>
    <cellStyle name="20% - Accent1 8" xfId="1851" xr:uid="{00000000-0005-0000-0000-00009A000000}"/>
    <cellStyle name="20% - Accent1 8 2" xfId="4080" xr:uid="{00000000-0005-0000-0000-00009B000000}"/>
    <cellStyle name="20% - Accent1 8 2 2" xfId="8302" xr:uid="{00000000-0005-0000-0000-00009C000000}"/>
    <cellStyle name="20% - Accent1 8 2 2 2" xfId="26928" xr:uid="{12E1FE10-185B-4C32-A976-659149AE4425}"/>
    <cellStyle name="20% - Accent1 8 2 2 3" xfId="35375" xr:uid="{EC74A15F-36FE-4569-A35F-F583692526F4}"/>
    <cellStyle name="20% - Accent1 8 2 2 4" xfId="43822" xr:uid="{A203BDB7-5F4F-470F-BD57-1BB0A4B2FFB9}"/>
    <cellStyle name="20% - Accent1 8 2 2 5" xfId="17628" xr:uid="{A3600671-890F-4E5F-BCED-774BE21A2E55}"/>
    <cellStyle name="20% - Accent1 8 2 3" xfId="22711" xr:uid="{7239EA06-CDDD-49D3-AD24-C3FB33F76B3D}"/>
    <cellStyle name="20% - Accent1 8 2 4" xfId="31158" xr:uid="{4B7B09A7-296D-40D8-B64A-909685142320}"/>
    <cellStyle name="20% - Accent1 8 2 5" xfId="39605" xr:uid="{A2A09133-7EC9-428F-B284-ED96532CDECE}"/>
    <cellStyle name="20% - Accent1 8 2 6" xfId="13411" xr:uid="{3C8B5DAB-BAE8-4E3E-A5DE-B32270679F0B}"/>
    <cellStyle name="20% - Accent1 8 3" xfId="6157" xr:uid="{00000000-0005-0000-0000-00009D000000}"/>
    <cellStyle name="20% - Accent1 8 3 2" xfId="24783" xr:uid="{A2F69AC6-A2DB-4B31-8F20-5B4ECDAA1EAE}"/>
    <cellStyle name="20% - Accent1 8 3 3" xfId="33230" xr:uid="{5EACF9AC-FBDB-429F-8E70-DDBF744B8B9C}"/>
    <cellStyle name="20% - Accent1 8 3 4" xfId="41677" xr:uid="{8A505D70-4AE5-4F8B-AEDF-6D87C50B445D}"/>
    <cellStyle name="20% - Accent1 8 3 5" xfId="15483" xr:uid="{0F732148-F041-4C0C-84F7-0D85646D45E9}"/>
    <cellStyle name="20% - Accent1 8 4" xfId="20566" xr:uid="{A5BD56A6-7FAE-41EB-BCC0-FC6E27ECC3AB}"/>
    <cellStyle name="20% - Accent1 8 5" xfId="29013" xr:uid="{648F753B-2422-4EC0-B5E9-8D4876896AB8}"/>
    <cellStyle name="20% - Accent1 8 6" xfId="37460" xr:uid="{2B512828-5923-4D07-A9CF-15A90182F196}"/>
    <cellStyle name="20% - Accent1 8 7" xfId="11266" xr:uid="{105379C7-97F2-4993-A3D2-854CA544FEFF}"/>
    <cellStyle name="20% - Accent1 9" xfId="2264" xr:uid="{00000000-0005-0000-0000-00009E000000}"/>
    <cellStyle name="20% - Accent1 9 2" xfId="6570" xr:uid="{00000000-0005-0000-0000-00009F000000}"/>
    <cellStyle name="20% - Accent1 9 2 2" xfId="25196" xr:uid="{F5495783-9E85-444D-A2BE-5AB706A99394}"/>
    <cellStyle name="20% - Accent1 9 2 3" xfId="33643" xr:uid="{46CCD080-40A6-40CA-9EE8-08C979254286}"/>
    <cellStyle name="20% - Accent1 9 2 4" xfId="42090" xr:uid="{2E42BA4E-1A81-4FC4-B3A6-7E73337A8B2B}"/>
    <cellStyle name="20% - Accent1 9 2 5" xfId="15896" xr:uid="{686C3695-AB52-4865-96D7-FF40F16ED88F}"/>
    <cellStyle name="20% - Accent1 9 3" xfId="20979" xr:uid="{C7F27359-8BC5-43BA-9EB2-461A9A335482}"/>
    <cellStyle name="20% - Accent1 9 4" xfId="29426" xr:uid="{9E7801CA-4297-4499-A7F5-DC0D14AFCEC6}"/>
    <cellStyle name="20% - Accent1 9 5" xfId="37873" xr:uid="{6C68D309-1626-456F-A30A-AE58DC23BF3F}"/>
    <cellStyle name="20% - Accent1 9 6" xfId="11679" xr:uid="{1BBB38D7-339E-4409-A158-6290470989DA}"/>
    <cellStyle name="20% - Accent2" xfId="9" builtinId="34" customBuiltin="1"/>
    <cellStyle name="20% - Accent2 10" xfId="4512" xr:uid="{00000000-0005-0000-0000-0000A1000000}"/>
    <cellStyle name="20% - Accent2 10 2" xfId="23138" xr:uid="{0FD08431-E867-43D6-926C-EDA29B83DED6}"/>
    <cellStyle name="20% - Accent2 10 3" xfId="31585" xr:uid="{100BC43E-C6ED-4764-BF13-B3B2A6068C46}"/>
    <cellStyle name="20% - Accent2 10 4" xfId="40032" xr:uid="{13CA40AC-8DF9-46E4-A480-B80DA36A039C}"/>
    <cellStyle name="20% - Accent2 10 5" xfId="13838" xr:uid="{40B8CFC1-510C-4D8A-89B5-E4B09A46656C}"/>
    <cellStyle name="20% - Accent2 11" xfId="8760" xr:uid="{2F9D8AF1-C115-467C-ADFB-3BF13039D076}"/>
    <cellStyle name="20% - Accent2 11 2" xfId="18084" xr:uid="{F7ACEFE0-6D38-45BF-8D2F-A58034FB6B5D}"/>
    <cellStyle name="20% - Accent2 12" xfId="18921" xr:uid="{78A16A99-0B0C-426A-AC40-EA7F9D717E8A}"/>
    <cellStyle name="20% - Accent2 13" xfId="27368" xr:uid="{F9EA7F5E-940D-443C-BAF8-BBA94E434E31}"/>
    <cellStyle name="20% - Accent2 14" xfId="35815" xr:uid="{51B3A9E4-D6C5-43E9-BEE1-D7F9245D71C3}"/>
    <cellStyle name="20% - Accent2 15" xfId="9621" xr:uid="{425C3093-7267-4ADB-A65C-0732D0207D98}"/>
    <cellStyle name="20% - Accent2 2" xfId="10" xr:uid="{00000000-0005-0000-0000-0000A2000000}"/>
    <cellStyle name="20% - Accent2 2 10" xfId="8793" xr:uid="{AA7C3473-3A75-4F75-9E25-D7658C57F3A0}"/>
    <cellStyle name="20% - Accent2 2 10 2" xfId="18117" xr:uid="{DB0A8F77-6644-4D34-A0CE-3CE69EFA40F3}"/>
    <cellStyle name="20% - Accent2 2 11" xfId="18922" xr:uid="{0F3A2F95-EC6E-4F59-8DDB-631AB79E7592}"/>
    <cellStyle name="20% - Accent2 2 12" xfId="27369" xr:uid="{146967AF-11D8-4C06-A742-BC32954BAE06}"/>
    <cellStyle name="20% - Accent2 2 13" xfId="35816" xr:uid="{23B63A0D-59B8-411E-BBAB-84367954B0A8}"/>
    <cellStyle name="20% - Accent2 2 14" xfId="9622" xr:uid="{B03D5D08-293A-4518-8F09-EE3840ACC11A}"/>
    <cellStyle name="20% - Accent2 2 2" xfId="11" xr:uid="{00000000-0005-0000-0000-0000A3000000}"/>
    <cellStyle name="20% - Accent2 2 2 10" xfId="18923" xr:uid="{DE77588E-E7BE-4C19-A940-6A4C0A3DEB8F}"/>
    <cellStyle name="20% - Accent2 2 2 11" xfId="27370" xr:uid="{A0154A3E-2397-4B87-8899-870AF1BC1510}"/>
    <cellStyle name="20% - Accent2 2 2 12" xfId="35817" xr:uid="{A307D72E-BBBD-4571-9E09-A28620FAD066}"/>
    <cellStyle name="20% - Accent2 2 2 13" xfId="9623" xr:uid="{73BAFDC2-A769-4683-A02F-E7DB1C529060}"/>
    <cellStyle name="20% - Accent2 2 2 2" xfId="12" xr:uid="{00000000-0005-0000-0000-0000A4000000}"/>
    <cellStyle name="20% - Accent2 2 2 2 10" xfId="27371" xr:uid="{8EE2653A-F514-4310-9F8E-0F7758D64A9B}"/>
    <cellStyle name="20% - Accent2 2 2 2 11" xfId="35818" xr:uid="{56795ACF-0896-4088-8F32-AA2E0CC06B0E}"/>
    <cellStyle name="20% - Accent2 2 2 2 12" xfId="9624" xr:uid="{30F8B542-BFB2-4961-A0E3-EFB2FBAF9B61}"/>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2 2 2" xfId="25700" xr:uid="{59D720A1-7FDA-415D-BCFD-6E90A07654AB}"/>
    <cellStyle name="20% - Accent2 2 2 2 2 2 2 3" xfId="34147" xr:uid="{B06F56C3-8BB8-439B-A42E-BA085276B824}"/>
    <cellStyle name="20% - Accent2 2 2 2 2 2 2 4" xfId="42594" xr:uid="{679538E4-33ED-4FDD-AC94-1CFDE4C42CDD}"/>
    <cellStyle name="20% - Accent2 2 2 2 2 2 2 5" xfId="16400" xr:uid="{FE3218D2-753A-4485-9EDA-C1F83F34748E}"/>
    <cellStyle name="20% - Accent2 2 2 2 2 2 3" xfId="21483" xr:uid="{0F6DD49A-3499-4E11-BA46-3BCAF295C023}"/>
    <cellStyle name="20% - Accent2 2 2 2 2 2 4" xfId="29930" xr:uid="{8E33EC8E-8720-4A96-BDDA-AF9B535978A8}"/>
    <cellStyle name="20% - Accent2 2 2 2 2 2 5" xfId="38377" xr:uid="{45A79964-C988-4CCB-B9CF-CC0C61F5A218}"/>
    <cellStyle name="20% - Accent2 2 2 2 2 2 6" xfId="12183" xr:uid="{6CC07171-E75D-469E-832F-63B06A2F7CE8}"/>
    <cellStyle name="20% - Accent2 2 2 2 2 3" xfId="4929" xr:uid="{00000000-0005-0000-0000-0000A8000000}"/>
    <cellStyle name="20% - Accent2 2 2 2 2 3 2" xfId="23555" xr:uid="{1CD856F7-FFAF-452D-BCF6-30137704F6E8}"/>
    <cellStyle name="20% - Accent2 2 2 2 2 3 3" xfId="32002" xr:uid="{AF7DC9F1-DD15-43C1-B191-5AE67FEA9166}"/>
    <cellStyle name="20% - Accent2 2 2 2 2 3 4" xfId="40449" xr:uid="{9B346E5F-55B7-4970-BBB2-F7BC05A8F79A}"/>
    <cellStyle name="20% - Accent2 2 2 2 2 3 5" xfId="14255" xr:uid="{B68809DF-2368-4F6F-AEE2-36039518EB37}"/>
    <cellStyle name="20% - Accent2 2 2 2 2 4" xfId="9528" xr:uid="{C8BEA541-FD8B-4449-95AA-43E1904F35BB}"/>
    <cellStyle name="20% - Accent2 2 2 2 2 4 2" xfId="18844" xr:uid="{113F0CE2-313B-471F-A46D-A3C783FB7616}"/>
    <cellStyle name="20% - Accent2 2 2 2 2 5" xfId="19338" xr:uid="{44F1149B-194B-48C1-8DD0-A9BDB5C509D8}"/>
    <cellStyle name="20% - Accent2 2 2 2 2 6" xfId="27785" xr:uid="{E4BAC079-BA80-4B37-BA96-983C5726E35A}"/>
    <cellStyle name="20% - Accent2 2 2 2 2 7" xfId="36232" xr:uid="{3C56ED0A-540E-40A1-8F1A-BD0A945A21D7}"/>
    <cellStyle name="20% - Accent2 2 2 2 2 8" xfId="10038" xr:uid="{BB7CBF57-7C83-49D5-A64B-1F139C11BDF8}"/>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2 2 2" xfId="26113" xr:uid="{285FDB5A-8241-4204-B307-152AE3688C85}"/>
    <cellStyle name="20% - Accent2 2 2 2 3 2 2 3" xfId="34560" xr:uid="{3E66F4EB-CC17-4D52-A249-1E3D16CD34AF}"/>
    <cellStyle name="20% - Accent2 2 2 2 3 2 2 4" xfId="43007" xr:uid="{6E3F4405-A082-476C-A975-ADD90856948D}"/>
    <cellStyle name="20% - Accent2 2 2 2 3 2 2 5" xfId="16813" xr:uid="{0B3B14BE-C081-404C-92E1-8082D89C5739}"/>
    <cellStyle name="20% - Accent2 2 2 2 3 2 3" xfId="21896" xr:uid="{48142AD8-CA91-4C80-B2CC-D0FF47E1843E}"/>
    <cellStyle name="20% - Accent2 2 2 2 3 2 4" xfId="30343" xr:uid="{3EFB8D4D-D470-48CB-B0A8-29DC32ACF8B8}"/>
    <cellStyle name="20% - Accent2 2 2 2 3 2 5" xfId="38790" xr:uid="{A42012D3-FA66-40AE-8987-1BB31602A501}"/>
    <cellStyle name="20% - Accent2 2 2 2 3 2 6" xfId="12596" xr:uid="{3AEE083A-59E1-488B-A37D-5E1804FACF7A}"/>
    <cellStyle name="20% - Accent2 2 2 2 3 3" xfId="5342" xr:uid="{00000000-0005-0000-0000-0000AC000000}"/>
    <cellStyle name="20% - Accent2 2 2 2 3 3 2" xfId="23968" xr:uid="{98B312AD-4BC9-4817-93E0-F145BC452511}"/>
    <cellStyle name="20% - Accent2 2 2 2 3 3 3" xfId="32415" xr:uid="{D0B1B0D9-7F8F-4277-8775-FF3669C8C410}"/>
    <cellStyle name="20% - Accent2 2 2 2 3 3 4" xfId="40862" xr:uid="{9787D75F-BA90-4EBD-8DD8-DB6E6C87B5E3}"/>
    <cellStyle name="20% - Accent2 2 2 2 3 3 5" xfId="14668" xr:uid="{07C07F8E-2BB3-4179-94A4-90A16FB18367}"/>
    <cellStyle name="20% - Accent2 2 2 2 3 4" xfId="19751" xr:uid="{B3035920-4B10-412A-9787-E8A8E2DD60E7}"/>
    <cellStyle name="20% - Accent2 2 2 2 3 5" xfId="28198" xr:uid="{51E17AAA-E94A-42E7-B2C9-0011184FFFF3}"/>
    <cellStyle name="20% - Accent2 2 2 2 3 6" xfId="36645" xr:uid="{A3E083F2-DBDF-442C-BD49-FDF94A95A5DE}"/>
    <cellStyle name="20% - Accent2 2 2 2 3 7" xfId="10451" xr:uid="{D87393D5-4CAC-443C-A67C-6430E4BAEFAC}"/>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2 2 2" xfId="26526" xr:uid="{D034F6E8-269A-4EF7-A2D2-90921D376389}"/>
    <cellStyle name="20% - Accent2 2 2 2 4 2 2 3" xfId="34973" xr:uid="{7ACA7512-B35A-4DDF-A14A-2E53FA62D402}"/>
    <cellStyle name="20% - Accent2 2 2 2 4 2 2 4" xfId="43420" xr:uid="{266CF16E-8CC8-4830-8EA8-76AEB04578E1}"/>
    <cellStyle name="20% - Accent2 2 2 2 4 2 2 5" xfId="17226" xr:uid="{3643B901-69F1-40CD-BF50-AF31F386463C}"/>
    <cellStyle name="20% - Accent2 2 2 2 4 2 3" xfId="22309" xr:uid="{7B9D2B20-94F7-4D97-89B2-FC8C47DED13B}"/>
    <cellStyle name="20% - Accent2 2 2 2 4 2 4" xfId="30756" xr:uid="{62F23A55-0FF2-490B-8D84-948AF4412426}"/>
    <cellStyle name="20% - Accent2 2 2 2 4 2 5" xfId="39203" xr:uid="{961AFAF5-3DF4-430A-8D92-6190CB3BD6F4}"/>
    <cellStyle name="20% - Accent2 2 2 2 4 2 6" xfId="13009" xr:uid="{942F8B13-C03D-40B2-8DF4-F975B945C3DF}"/>
    <cellStyle name="20% - Accent2 2 2 2 4 3" xfId="5755" xr:uid="{00000000-0005-0000-0000-0000B0000000}"/>
    <cellStyle name="20% - Accent2 2 2 2 4 3 2" xfId="24381" xr:uid="{1102741C-0916-4BDA-992F-B73B4690C3E5}"/>
    <cellStyle name="20% - Accent2 2 2 2 4 3 3" xfId="32828" xr:uid="{B10D29D6-2212-4B33-9DFB-A69B25B90EE3}"/>
    <cellStyle name="20% - Accent2 2 2 2 4 3 4" xfId="41275" xr:uid="{31978A28-47EF-4467-BA54-FAB405B4D471}"/>
    <cellStyle name="20% - Accent2 2 2 2 4 3 5" xfId="15081" xr:uid="{D07720C5-1DB6-420F-94D8-9345821C2DD1}"/>
    <cellStyle name="20% - Accent2 2 2 2 4 4" xfId="20164" xr:uid="{EEB2F85A-B579-4350-B830-84A1097712FC}"/>
    <cellStyle name="20% - Accent2 2 2 2 4 5" xfId="28611" xr:uid="{4D4DDC25-4B73-47C1-860F-7B208FC7D35E}"/>
    <cellStyle name="20% - Accent2 2 2 2 4 6" xfId="37058" xr:uid="{C07CF086-017B-4EFA-AD22-A7E6E8C9440B}"/>
    <cellStyle name="20% - Accent2 2 2 2 4 7" xfId="10864" xr:uid="{4333DEAA-AB50-4F24-9798-295CE580ECF8}"/>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2 2 2" xfId="26939" xr:uid="{317EDF4E-51E7-4523-B65C-E035C0A54F25}"/>
    <cellStyle name="20% - Accent2 2 2 2 5 2 2 3" xfId="35386" xr:uid="{EB87A3C9-7848-434A-ADAB-945A229A1A6E}"/>
    <cellStyle name="20% - Accent2 2 2 2 5 2 2 4" xfId="43833" xr:uid="{330360C5-076F-4BD2-8BAB-D4A180D9C30A}"/>
    <cellStyle name="20% - Accent2 2 2 2 5 2 2 5" xfId="17639" xr:uid="{58D52B65-7D50-45A0-A5CE-701A1A1AB4B9}"/>
    <cellStyle name="20% - Accent2 2 2 2 5 2 3" xfId="22722" xr:uid="{8C06C6C1-1969-46D0-B9D3-3BBA8EC94C6F}"/>
    <cellStyle name="20% - Accent2 2 2 2 5 2 4" xfId="31169" xr:uid="{911ED3FD-8555-4B6C-A391-B0E45F513484}"/>
    <cellStyle name="20% - Accent2 2 2 2 5 2 5" xfId="39616" xr:uid="{AD7D0C87-8FE6-4800-ADE1-0BFD95651568}"/>
    <cellStyle name="20% - Accent2 2 2 2 5 2 6" xfId="13422" xr:uid="{136178A4-446C-4F61-B428-FE4B3E09D406}"/>
    <cellStyle name="20% - Accent2 2 2 2 5 3" xfId="6168" xr:uid="{00000000-0005-0000-0000-0000B4000000}"/>
    <cellStyle name="20% - Accent2 2 2 2 5 3 2" xfId="24794" xr:uid="{ED01DF36-5D70-48C7-B504-8EF16EA6BAFF}"/>
    <cellStyle name="20% - Accent2 2 2 2 5 3 3" xfId="33241" xr:uid="{5A099D00-E4C7-4084-8821-A3E84F7F6C3E}"/>
    <cellStyle name="20% - Accent2 2 2 2 5 3 4" xfId="41688" xr:uid="{DF20BCE0-7EC0-4061-BBF8-8CEC9E3C1E70}"/>
    <cellStyle name="20% - Accent2 2 2 2 5 3 5" xfId="15494" xr:uid="{92AB8EC0-191F-4640-B030-6791F3F4FB95}"/>
    <cellStyle name="20% - Accent2 2 2 2 5 4" xfId="20577" xr:uid="{2BE68003-0AF5-46B3-8AF5-64A1375DD2BF}"/>
    <cellStyle name="20% - Accent2 2 2 2 5 5" xfId="29024" xr:uid="{A954B06D-F005-4844-8186-275973EB4E5B}"/>
    <cellStyle name="20% - Accent2 2 2 2 5 6" xfId="37471" xr:uid="{083382F0-CBF7-49C7-8071-3DB527C7A946}"/>
    <cellStyle name="20% - Accent2 2 2 2 5 7" xfId="11277" xr:uid="{FEDD1392-3307-48EE-A50E-C0CD70E21677}"/>
    <cellStyle name="20% - Accent2 2 2 2 6" xfId="2275" xr:uid="{00000000-0005-0000-0000-0000B5000000}"/>
    <cellStyle name="20% - Accent2 2 2 2 6 2" xfId="6581" xr:uid="{00000000-0005-0000-0000-0000B6000000}"/>
    <cellStyle name="20% - Accent2 2 2 2 6 2 2" xfId="25207" xr:uid="{FB2CF356-26A6-4D71-9A21-50E0B5C8EA67}"/>
    <cellStyle name="20% - Accent2 2 2 2 6 2 3" xfId="33654" xr:uid="{BA1E4CC2-8EFD-4D0B-BC85-8E2F9C8135FA}"/>
    <cellStyle name="20% - Accent2 2 2 2 6 2 4" xfId="42101" xr:uid="{8B89E83F-074C-4874-9EAB-821DC48FB3E5}"/>
    <cellStyle name="20% - Accent2 2 2 2 6 2 5" xfId="15907" xr:uid="{DFFFB596-8ACD-4668-95B0-98EF9079FF63}"/>
    <cellStyle name="20% - Accent2 2 2 2 6 3" xfId="20990" xr:uid="{3C0C6B72-AAAD-4566-AB78-B2E8BCC7ACD3}"/>
    <cellStyle name="20% - Accent2 2 2 2 6 4" xfId="29437" xr:uid="{AF3E23AF-6308-4A39-97F6-91C7886DFDE1}"/>
    <cellStyle name="20% - Accent2 2 2 2 6 5" xfId="37884" xr:uid="{848B33A9-504B-4D1E-903A-086CDAE0C490}"/>
    <cellStyle name="20% - Accent2 2 2 2 6 6" xfId="11690" xr:uid="{0934A7B7-DBEC-4FFC-8B0C-7EAA4C6FA5EB}"/>
    <cellStyle name="20% - Accent2 2 2 2 7" xfId="4515" xr:uid="{00000000-0005-0000-0000-0000B7000000}"/>
    <cellStyle name="20% - Accent2 2 2 2 7 2" xfId="23141" xr:uid="{885A91AF-5DCE-402E-A28A-6D7EB753FFB7}"/>
    <cellStyle name="20% - Accent2 2 2 2 7 3" xfId="31588" xr:uid="{87133651-F6D2-4D51-888D-6E6FF96F230B}"/>
    <cellStyle name="20% - Accent2 2 2 2 7 4" xfId="40035" xr:uid="{238A55FA-39A3-487D-B140-AE1CF687C9EA}"/>
    <cellStyle name="20% - Accent2 2 2 2 7 5" xfId="13841" xr:uid="{0D1C823C-11DC-4275-8505-D298224FC517}"/>
    <cellStyle name="20% - Accent2 2 2 2 8" xfId="9103" xr:uid="{91DB80A1-3464-4086-B948-71B6A26537C4}"/>
    <cellStyle name="20% - Accent2 2 2 2 8 2" xfId="18427" xr:uid="{B23B0CF1-F4A7-4AAC-82B6-9865E23AA642}"/>
    <cellStyle name="20% - Accent2 2 2 2 9" xfId="18924" xr:uid="{2AD22875-6D25-44DE-A48D-F446679377D3}"/>
    <cellStyle name="20% - Accent2 2 2 3" xfId="580" xr:uid="{00000000-0005-0000-0000-0000B8000000}"/>
    <cellStyle name="20% - Accent2 2 2 3 2" xfId="2851" xr:uid="{00000000-0005-0000-0000-0000B9000000}"/>
    <cellStyle name="20% - Accent2 2 2 3 2 2" xfId="7073" xr:uid="{00000000-0005-0000-0000-0000BA000000}"/>
    <cellStyle name="20% - Accent2 2 2 3 2 2 2" xfId="25699" xr:uid="{47A5EBA3-2AB1-4E0B-9531-859F48F60B23}"/>
    <cellStyle name="20% - Accent2 2 2 3 2 2 3" xfId="34146" xr:uid="{B84BDE98-8EE7-4249-BE8C-499AF18E6EED}"/>
    <cellStyle name="20% - Accent2 2 2 3 2 2 4" xfId="42593" xr:uid="{57BB1DB7-DC45-4EF3-8CAD-FB6C53403956}"/>
    <cellStyle name="20% - Accent2 2 2 3 2 2 5" xfId="16399" xr:uid="{61D38CE8-8330-4B79-90C3-DB4EE06258C4}"/>
    <cellStyle name="20% - Accent2 2 2 3 2 3" xfId="21482" xr:uid="{6836979A-9606-4FAD-B577-D3616CC8A584}"/>
    <cellStyle name="20% - Accent2 2 2 3 2 4" xfId="29929" xr:uid="{C68B2EB2-E1EA-4F28-881E-FFF4E15EF8AE}"/>
    <cellStyle name="20% - Accent2 2 2 3 2 5" xfId="38376" xr:uid="{682B517E-60D2-49FD-B61E-4C6CC186FB4C}"/>
    <cellStyle name="20% - Accent2 2 2 3 2 6" xfId="12182" xr:uid="{CCC8CD3B-3EC5-429B-8854-EAE24C5DF5AB}"/>
    <cellStyle name="20% - Accent2 2 2 3 3" xfId="4928" xr:uid="{00000000-0005-0000-0000-0000BB000000}"/>
    <cellStyle name="20% - Accent2 2 2 3 3 2" xfId="23554" xr:uid="{0098B93A-5605-487B-93F6-0E80331339CF}"/>
    <cellStyle name="20% - Accent2 2 2 3 3 3" xfId="32001" xr:uid="{3B7301AD-BB32-4820-A6C0-ED81ACE7D291}"/>
    <cellStyle name="20% - Accent2 2 2 3 3 4" xfId="40448" xr:uid="{938D0F8D-ED75-4186-B2DD-6B1EA187644A}"/>
    <cellStyle name="20% - Accent2 2 2 3 3 5" xfId="14254" xr:uid="{3C2809B6-AB4D-4956-94D8-B2D48F8AC5C0}"/>
    <cellStyle name="20% - Accent2 2 2 3 4" xfId="9321" xr:uid="{32B21C3A-E360-4F19-B469-1116F045A0F3}"/>
    <cellStyle name="20% - Accent2 2 2 3 4 2" xfId="18637" xr:uid="{18059691-4C09-4A49-A417-8038A2D1C7DD}"/>
    <cellStyle name="20% - Accent2 2 2 3 5" xfId="19337" xr:uid="{2A9AFD91-1D98-41B6-8263-E6E8E793EDC6}"/>
    <cellStyle name="20% - Accent2 2 2 3 6" xfId="27784" xr:uid="{9EA869F9-1BAA-444C-A725-C5C1F36A6C58}"/>
    <cellStyle name="20% - Accent2 2 2 3 7" xfId="36231" xr:uid="{51E52496-DB75-4ABB-8644-86B0C046E25D}"/>
    <cellStyle name="20% - Accent2 2 2 3 8" xfId="10037" xr:uid="{00C801CB-1DCF-4DB9-A842-23FC11B604D0}"/>
    <cellStyle name="20% - Accent2 2 2 4" xfId="1033" xr:uid="{00000000-0005-0000-0000-0000BC000000}"/>
    <cellStyle name="20% - Accent2 2 2 4 2" xfId="3264" xr:uid="{00000000-0005-0000-0000-0000BD000000}"/>
    <cellStyle name="20% - Accent2 2 2 4 2 2" xfId="7486" xr:uid="{00000000-0005-0000-0000-0000BE000000}"/>
    <cellStyle name="20% - Accent2 2 2 4 2 2 2" xfId="26112" xr:uid="{5B3488EE-46E8-4BBA-8D99-61080DAA94B0}"/>
    <cellStyle name="20% - Accent2 2 2 4 2 2 3" xfId="34559" xr:uid="{1C8A9D8B-6A55-497F-9CC6-D81D95A06A93}"/>
    <cellStyle name="20% - Accent2 2 2 4 2 2 4" xfId="43006" xr:uid="{EF36B776-2C2F-4345-8764-68519813C18B}"/>
    <cellStyle name="20% - Accent2 2 2 4 2 2 5" xfId="16812" xr:uid="{C25B9ED5-7CE6-410E-8644-E9969756AE11}"/>
    <cellStyle name="20% - Accent2 2 2 4 2 3" xfId="21895" xr:uid="{D27CA93A-1C68-4F2C-B866-E26D509A1880}"/>
    <cellStyle name="20% - Accent2 2 2 4 2 4" xfId="30342" xr:uid="{D47EF222-91C4-427F-998E-D221EE9CBA56}"/>
    <cellStyle name="20% - Accent2 2 2 4 2 5" xfId="38789" xr:uid="{418B05BC-798D-42C3-AA37-CB34D6EF84FF}"/>
    <cellStyle name="20% - Accent2 2 2 4 2 6" xfId="12595" xr:uid="{FB9CB99A-8404-451F-AA66-CFE765CA8F11}"/>
    <cellStyle name="20% - Accent2 2 2 4 3" xfId="5341" xr:uid="{00000000-0005-0000-0000-0000BF000000}"/>
    <cellStyle name="20% - Accent2 2 2 4 3 2" xfId="23967" xr:uid="{088D60F1-A716-4772-9B48-7303A679A36E}"/>
    <cellStyle name="20% - Accent2 2 2 4 3 3" xfId="32414" xr:uid="{761A446A-00B8-464A-B4CF-EE4AE74B6A07}"/>
    <cellStyle name="20% - Accent2 2 2 4 3 4" xfId="40861" xr:uid="{7B4017F3-1F37-40D8-B395-15697E177667}"/>
    <cellStyle name="20% - Accent2 2 2 4 3 5" xfId="14667" xr:uid="{72589D84-D9D4-47C1-8F71-E16C163044EE}"/>
    <cellStyle name="20% - Accent2 2 2 4 4" xfId="19750" xr:uid="{8AF186DE-2831-4793-A69F-F574028B0FA4}"/>
    <cellStyle name="20% - Accent2 2 2 4 5" xfId="28197" xr:uid="{89EE98BD-3F7E-49E9-9AE9-3E076377142C}"/>
    <cellStyle name="20% - Accent2 2 2 4 6" xfId="36644" xr:uid="{FDFAD3BC-AEE0-4BD7-991B-BF19FDFDF89E}"/>
    <cellStyle name="20% - Accent2 2 2 4 7" xfId="10450" xr:uid="{4DB07BCE-3192-424D-A6F4-5762F6881AEB}"/>
    <cellStyle name="20% - Accent2 2 2 5" xfId="1447" xr:uid="{00000000-0005-0000-0000-0000C0000000}"/>
    <cellStyle name="20% - Accent2 2 2 5 2" xfId="3677" xr:uid="{00000000-0005-0000-0000-0000C1000000}"/>
    <cellStyle name="20% - Accent2 2 2 5 2 2" xfId="7899" xr:uid="{00000000-0005-0000-0000-0000C2000000}"/>
    <cellStyle name="20% - Accent2 2 2 5 2 2 2" xfId="26525" xr:uid="{40FF823B-DA78-4764-8512-B8E2024D4FA0}"/>
    <cellStyle name="20% - Accent2 2 2 5 2 2 3" xfId="34972" xr:uid="{F9B67BEF-C99F-4AE4-AFD5-8749222E5662}"/>
    <cellStyle name="20% - Accent2 2 2 5 2 2 4" xfId="43419" xr:uid="{DDB6218B-1F82-4077-9CD6-A76CED0E60AC}"/>
    <cellStyle name="20% - Accent2 2 2 5 2 2 5" xfId="17225" xr:uid="{CAAC8C8B-782F-4F84-9880-B6997EBBAC35}"/>
    <cellStyle name="20% - Accent2 2 2 5 2 3" xfId="22308" xr:uid="{300EA60A-4002-404E-A858-F522CA3559CE}"/>
    <cellStyle name="20% - Accent2 2 2 5 2 4" xfId="30755" xr:uid="{D2B62E3A-C419-46B9-B8A8-A01E6D47E9B2}"/>
    <cellStyle name="20% - Accent2 2 2 5 2 5" xfId="39202" xr:uid="{CD96B27B-9C04-443D-AD08-8237DB33D171}"/>
    <cellStyle name="20% - Accent2 2 2 5 2 6" xfId="13008" xr:uid="{A84125EB-CBCA-4636-A417-98E5158E04E9}"/>
    <cellStyle name="20% - Accent2 2 2 5 3" xfId="5754" xr:uid="{00000000-0005-0000-0000-0000C3000000}"/>
    <cellStyle name="20% - Accent2 2 2 5 3 2" xfId="24380" xr:uid="{B95B5528-9BD1-4F9E-88D9-F33AE7CDC63A}"/>
    <cellStyle name="20% - Accent2 2 2 5 3 3" xfId="32827" xr:uid="{C49EEB08-9A42-44DF-BF52-FD4CF9BD41AD}"/>
    <cellStyle name="20% - Accent2 2 2 5 3 4" xfId="41274" xr:uid="{E751E8C8-91B3-42E0-A34B-1334345945C7}"/>
    <cellStyle name="20% - Accent2 2 2 5 3 5" xfId="15080" xr:uid="{997BC941-AB27-433C-BF88-127C9EDD52A4}"/>
    <cellStyle name="20% - Accent2 2 2 5 4" xfId="20163" xr:uid="{93778752-7193-4781-8FED-DBB0E28D6471}"/>
    <cellStyle name="20% - Accent2 2 2 5 5" xfId="28610" xr:uid="{0BDA7A99-4D60-46B3-B0C3-7F88C4DD09FC}"/>
    <cellStyle name="20% - Accent2 2 2 5 6" xfId="37057" xr:uid="{CC8C689D-2018-4E21-9D96-83B99A1C9DF1}"/>
    <cellStyle name="20% - Accent2 2 2 5 7" xfId="10863" xr:uid="{FDEA9EC3-ED18-434D-BD10-5FF72074743E}"/>
    <cellStyle name="20% - Accent2 2 2 6" xfId="1861" xr:uid="{00000000-0005-0000-0000-0000C4000000}"/>
    <cellStyle name="20% - Accent2 2 2 6 2" xfId="4090" xr:uid="{00000000-0005-0000-0000-0000C5000000}"/>
    <cellStyle name="20% - Accent2 2 2 6 2 2" xfId="8312" xr:uid="{00000000-0005-0000-0000-0000C6000000}"/>
    <cellStyle name="20% - Accent2 2 2 6 2 2 2" xfId="26938" xr:uid="{9933AB57-63ED-4142-A396-1B8A7B368DBE}"/>
    <cellStyle name="20% - Accent2 2 2 6 2 2 3" xfId="35385" xr:uid="{3132EE8D-D97A-4395-8672-EED6A420600B}"/>
    <cellStyle name="20% - Accent2 2 2 6 2 2 4" xfId="43832" xr:uid="{EF8274C6-7300-4531-BA56-8F224B3DB543}"/>
    <cellStyle name="20% - Accent2 2 2 6 2 2 5" xfId="17638" xr:uid="{4D2A59EB-C071-4B72-BA14-3B73C7759161}"/>
    <cellStyle name="20% - Accent2 2 2 6 2 3" xfId="22721" xr:uid="{D80567D1-FDEF-4585-A9CF-CEA5E1505A49}"/>
    <cellStyle name="20% - Accent2 2 2 6 2 4" xfId="31168" xr:uid="{9668069F-35E0-4782-9424-9665914D3009}"/>
    <cellStyle name="20% - Accent2 2 2 6 2 5" xfId="39615" xr:uid="{91D4F138-B8ED-4780-A16E-23E363297E4E}"/>
    <cellStyle name="20% - Accent2 2 2 6 2 6" xfId="13421" xr:uid="{658FE036-9B04-4AA1-BE51-80FCDEE5E937}"/>
    <cellStyle name="20% - Accent2 2 2 6 3" xfId="6167" xr:uid="{00000000-0005-0000-0000-0000C7000000}"/>
    <cellStyle name="20% - Accent2 2 2 6 3 2" xfId="24793" xr:uid="{2F996254-8689-4279-A2DA-1F312603528D}"/>
    <cellStyle name="20% - Accent2 2 2 6 3 3" xfId="33240" xr:uid="{052D3F8B-6D96-4D1A-8D13-18200F0F6568}"/>
    <cellStyle name="20% - Accent2 2 2 6 3 4" xfId="41687" xr:uid="{A2BDC539-99DF-4B32-8FF6-84471B05086C}"/>
    <cellStyle name="20% - Accent2 2 2 6 3 5" xfId="15493" xr:uid="{20DFEB2A-2934-499F-B172-A7E48FE03D47}"/>
    <cellStyle name="20% - Accent2 2 2 6 4" xfId="20576" xr:uid="{D33B255F-F567-4653-BDB7-59935E372D0A}"/>
    <cellStyle name="20% - Accent2 2 2 6 5" xfId="29023" xr:uid="{3338B9E3-70A1-4C6F-8189-28B9CCF67349}"/>
    <cellStyle name="20% - Accent2 2 2 6 6" xfId="37470" xr:uid="{D0B7B9EA-4B58-43F3-8219-6B6470FB890F}"/>
    <cellStyle name="20% - Accent2 2 2 6 7" xfId="11276" xr:uid="{59F7C588-C502-42CB-94B0-97AF1B9771C8}"/>
    <cellStyle name="20% - Accent2 2 2 7" xfId="2274" xr:uid="{00000000-0005-0000-0000-0000C8000000}"/>
    <cellStyle name="20% - Accent2 2 2 7 2" xfId="6580" xr:uid="{00000000-0005-0000-0000-0000C9000000}"/>
    <cellStyle name="20% - Accent2 2 2 7 2 2" xfId="25206" xr:uid="{7EB624BC-FAC7-4934-941A-D39A0FE07F80}"/>
    <cellStyle name="20% - Accent2 2 2 7 2 3" xfId="33653" xr:uid="{E707BA82-E9E1-4F69-8544-CF8C73674458}"/>
    <cellStyle name="20% - Accent2 2 2 7 2 4" xfId="42100" xr:uid="{3FAFA59D-4D05-4EB5-8C1E-E0B56FB311E0}"/>
    <cellStyle name="20% - Accent2 2 2 7 2 5" xfId="15906" xr:uid="{DB234D86-7618-43C6-A8F6-55A570E6B5ED}"/>
    <cellStyle name="20% - Accent2 2 2 7 3" xfId="20989" xr:uid="{F4B61527-9A5D-4EE3-91C0-FEDA5587D783}"/>
    <cellStyle name="20% - Accent2 2 2 7 4" xfId="29436" xr:uid="{640B74ED-AAF6-4067-BF94-EC075FA4C6DB}"/>
    <cellStyle name="20% - Accent2 2 2 7 5" xfId="37883" xr:uid="{7E9997CD-D828-4F26-A25F-AEC273F72729}"/>
    <cellStyle name="20% - Accent2 2 2 7 6" xfId="11689" xr:uid="{F0A437B9-3EE7-415D-9E08-3B18255427DF}"/>
    <cellStyle name="20% - Accent2 2 2 8" xfId="4514" xr:uid="{00000000-0005-0000-0000-0000CA000000}"/>
    <cellStyle name="20% - Accent2 2 2 8 2" xfId="23140" xr:uid="{5A8FE36B-FEAF-4CAB-8A8F-42E3AB6B51CA}"/>
    <cellStyle name="20% - Accent2 2 2 8 3" xfId="31587" xr:uid="{A4DF968C-96E2-4124-926C-8AE1F9AC652E}"/>
    <cellStyle name="20% - Accent2 2 2 8 4" xfId="40034" xr:uid="{A08BD430-D50D-4D53-854D-2251CF724ABB}"/>
    <cellStyle name="20% - Accent2 2 2 8 5" xfId="13840" xr:uid="{7577C2B3-1C29-45A0-908B-196504D0784D}"/>
    <cellStyle name="20% - Accent2 2 2 9" xfId="8896" xr:uid="{7CDAA0F1-5BE6-4749-AD4D-5424E0EA26D8}"/>
    <cellStyle name="20% - Accent2 2 2 9 2" xfId="18220" xr:uid="{714D8656-5841-4E17-99CA-D178DD0B7126}"/>
    <cellStyle name="20% - Accent2 2 3" xfId="13" xr:uid="{00000000-0005-0000-0000-0000CB000000}"/>
    <cellStyle name="20% - Accent2 2 3 10" xfId="27372" xr:uid="{6E025092-A785-4C76-859B-6D6B3254E6D4}"/>
    <cellStyle name="20% - Accent2 2 3 11" xfId="35819" xr:uid="{97885D95-D006-44AE-99A5-7F3A0CF26F2C}"/>
    <cellStyle name="20% - Accent2 2 3 12" xfId="9625" xr:uid="{50812D70-56B6-4E06-8773-620C5AD38200}"/>
    <cellStyle name="20% - Accent2 2 3 2" xfId="582" xr:uid="{00000000-0005-0000-0000-0000CC000000}"/>
    <cellStyle name="20% - Accent2 2 3 2 2" xfId="2853" xr:uid="{00000000-0005-0000-0000-0000CD000000}"/>
    <cellStyle name="20% - Accent2 2 3 2 2 2" xfId="7075" xr:uid="{00000000-0005-0000-0000-0000CE000000}"/>
    <cellStyle name="20% - Accent2 2 3 2 2 2 2" xfId="25701" xr:uid="{67113715-D375-490D-B27D-E8881D0AEED5}"/>
    <cellStyle name="20% - Accent2 2 3 2 2 2 3" xfId="34148" xr:uid="{78418ADC-52D3-450C-8E62-CF7D1434C3CE}"/>
    <cellStyle name="20% - Accent2 2 3 2 2 2 4" xfId="42595" xr:uid="{EF446F7E-9B30-42BF-A555-DF68EC18A5FD}"/>
    <cellStyle name="20% - Accent2 2 3 2 2 2 5" xfId="16401" xr:uid="{A3DB2A5D-FF74-4F1F-85FF-D27E16CB6B10}"/>
    <cellStyle name="20% - Accent2 2 3 2 2 3" xfId="21484" xr:uid="{65F30410-3D82-4D5A-AF8E-B5B4BA35204E}"/>
    <cellStyle name="20% - Accent2 2 3 2 2 4" xfId="29931" xr:uid="{B9D624D8-92FC-44E5-B2DF-BC96E3DC6469}"/>
    <cellStyle name="20% - Accent2 2 3 2 2 5" xfId="38378" xr:uid="{981E95A7-E747-4C75-B0FA-3C6512BD1AAE}"/>
    <cellStyle name="20% - Accent2 2 3 2 2 6" xfId="12184" xr:uid="{F34AC488-CA37-4257-82F9-B0B63542C527}"/>
    <cellStyle name="20% - Accent2 2 3 2 3" xfId="4930" xr:uid="{00000000-0005-0000-0000-0000CF000000}"/>
    <cellStyle name="20% - Accent2 2 3 2 3 2" xfId="23556" xr:uid="{C0409879-DAA2-48D1-B28C-237B6D901998}"/>
    <cellStyle name="20% - Accent2 2 3 2 3 3" xfId="32003" xr:uid="{190F23C8-9643-4B9D-9C9F-B29CFF99ABB0}"/>
    <cellStyle name="20% - Accent2 2 3 2 3 4" xfId="40450" xr:uid="{DE195522-6DDB-40CB-9290-A009027A9BB2}"/>
    <cellStyle name="20% - Accent2 2 3 2 3 5" xfId="14256" xr:uid="{4213FE1A-F590-47BD-9361-2A4088400129}"/>
    <cellStyle name="20% - Accent2 2 3 2 4" xfId="9425" xr:uid="{35BECFF4-0F5A-4F6E-AE6E-354891135B4F}"/>
    <cellStyle name="20% - Accent2 2 3 2 4 2" xfId="18741" xr:uid="{2E5D8000-CF97-4A62-94BA-9BCDE80A90D7}"/>
    <cellStyle name="20% - Accent2 2 3 2 5" xfId="19339" xr:uid="{FBCB6B37-52B9-45EC-88CF-E9645D83B7C8}"/>
    <cellStyle name="20% - Accent2 2 3 2 6" xfId="27786" xr:uid="{C927B870-D704-4D4B-B345-D71A4F5285EB}"/>
    <cellStyle name="20% - Accent2 2 3 2 7" xfId="36233" xr:uid="{FB8444E6-34B6-4AB3-9119-B678BB82CF8B}"/>
    <cellStyle name="20% - Accent2 2 3 2 8" xfId="10039" xr:uid="{66166B83-A6D5-46C5-9EBC-D9217F8E21C4}"/>
    <cellStyle name="20% - Accent2 2 3 3" xfId="1035" xr:uid="{00000000-0005-0000-0000-0000D0000000}"/>
    <cellStyle name="20% - Accent2 2 3 3 2" xfId="3266" xr:uid="{00000000-0005-0000-0000-0000D1000000}"/>
    <cellStyle name="20% - Accent2 2 3 3 2 2" xfId="7488" xr:uid="{00000000-0005-0000-0000-0000D2000000}"/>
    <cellStyle name="20% - Accent2 2 3 3 2 2 2" xfId="26114" xr:uid="{2DACCF8E-F391-4414-94B7-2BF588C0288E}"/>
    <cellStyle name="20% - Accent2 2 3 3 2 2 3" xfId="34561" xr:uid="{65937AC7-C886-4547-9668-C27A964F7FAA}"/>
    <cellStyle name="20% - Accent2 2 3 3 2 2 4" xfId="43008" xr:uid="{3DB78D94-A06B-4139-962C-B42FCC46A06E}"/>
    <cellStyle name="20% - Accent2 2 3 3 2 2 5" xfId="16814" xr:uid="{51C87CD4-8023-4168-805F-BDF09B5F0491}"/>
    <cellStyle name="20% - Accent2 2 3 3 2 3" xfId="21897" xr:uid="{24079D9F-84D0-42BE-BBAF-CBD5D12EF6A4}"/>
    <cellStyle name="20% - Accent2 2 3 3 2 4" xfId="30344" xr:uid="{53406590-0665-4F0B-89D0-974F15801D23}"/>
    <cellStyle name="20% - Accent2 2 3 3 2 5" xfId="38791" xr:uid="{6C8489C2-90C3-4F06-A0D9-2E41DDD6AAB8}"/>
    <cellStyle name="20% - Accent2 2 3 3 2 6" xfId="12597" xr:uid="{CB8B3C44-05ED-4970-B79E-E7C6A055C229}"/>
    <cellStyle name="20% - Accent2 2 3 3 3" xfId="5343" xr:uid="{00000000-0005-0000-0000-0000D3000000}"/>
    <cellStyle name="20% - Accent2 2 3 3 3 2" xfId="23969" xr:uid="{7DDCD17D-3B23-4384-A4F7-99D2A582C4E9}"/>
    <cellStyle name="20% - Accent2 2 3 3 3 3" xfId="32416" xr:uid="{34ABC5C3-F9DD-4C6E-8ABE-4AEF5754D45D}"/>
    <cellStyle name="20% - Accent2 2 3 3 3 4" xfId="40863" xr:uid="{0139982B-01F8-4CDF-9D1B-962A06A9D3A2}"/>
    <cellStyle name="20% - Accent2 2 3 3 3 5" xfId="14669" xr:uid="{6B48BFC5-1236-498E-854A-B8D7B27E1F59}"/>
    <cellStyle name="20% - Accent2 2 3 3 4" xfId="19752" xr:uid="{B0084EC8-D62B-4352-A2E2-997AC3A10EFA}"/>
    <cellStyle name="20% - Accent2 2 3 3 5" xfId="28199" xr:uid="{3C4294A4-C8D0-46C4-AF4B-9E000A2BFD80}"/>
    <cellStyle name="20% - Accent2 2 3 3 6" xfId="36646" xr:uid="{6B2FE34C-6AE6-482F-92FF-66517BE98A61}"/>
    <cellStyle name="20% - Accent2 2 3 3 7" xfId="10452" xr:uid="{9744E9CA-CD65-4B0A-8714-2592D71F4BDF}"/>
    <cellStyle name="20% - Accent2 2 3 4" xfId="1449" xr:uid="{00000000-0005-0000-0000-0000D4000000}"/>
    <cellStyle name="20% - Accent2 2 3 4 2" xfId="3679" xr:uid="{00000000-0005-0000-0000-0000D5000000}"/>
    <cellStyle name="20% - Accent2 2 3 4 2 2" xfId="7901" xr:uid="{00000000-0005-0000-0000-0000D6000000}"/>
    <cellStyle name="20% - Accent2 2 3 4 2 2 2" xfId="26527" xr:uid="{AD5E1D64-D310-4A63-B93F-43FA830CC2F0}"/>
    <cellStyle name="20% - Accent2 2 3 4 2 2 3" xfId="34974" xr:uid="{C6602990-9620-4C93-87EE-630EB75D4096}"/>
    <cellStyle name="20% - Accent2 2 3 4 2 2 4" xfId="43421" xr:uid="{A2B78E9F-9917-47F8-B1AA-593C8A20E632}"/>
    <cellStyle name="20% - Accent2 2 3 4 2 2 5" xfId="17227" xr:uid="{26340439-EFA6-42CD-ADC5-E869D6110CF1}"/>
    <cellStyle name="20% - Accent2 2 3 4 2 3" xfId="22310" xr:uid="{C86CAD38-C3C0-4BC9-B33C-7640CFD279AD}"/>
    <cellStyle name="20% - Accent2 2 3 4 2 4" xfId="30757" xr:uid="{13CB629C-5BAA-469B-89D4-C37DC9CF5F02}"/>
    <cellStyle name="20% - Accent2 2 3 4 2 5" xfId="39204" xr:uid="{86F9F20A-76D6-45EF-8619-FEE186EB944E}"/>
    <cellStyle name="20% - Accent2 2 3 4 2 6" xfId="13010" xr:uid="{D946D4F2-B88F-4E8A-9A66-52AA42C7C1D3}"/>
    <cellStyle name="20% - Accent2 2 3 4 3" xfId="5756" xr:uid="{00000000-0005-0000-0000-0000D7000000}"/>
    <cellStyle name="20% - Accent2 2 3 4 3 2" xfId="24382" xr:uid="{28362754-7A82-48BD-BABC-A05268422CDD}"/>
    <cellStyle name="20% - Accent2 2 3 4 3 3" xfId="32829" xr:uid="{DC22C3CB-54E8-4AFD-8E0C-D3F85B9B31D4}"/>
    <cellStyle name="20% - Accent2 2 3 4 3 4" xfId="41276" xr:uid="{D6038864-2218-46CD-87A6-56D857353861}"/>
    <cellStyle name="20% - Accent2 2 3 4 3 5" xfId="15082" xr:uid="{2F0A2037-FA84-4FBD-899A-97922F60296D}"/>
    <cellStyle name="20% - Accent2 2 3 4 4" xfId="20165" xr:uid="{9E88D44E-06BE-458E-A743-82BEB4387FA0}"/>
    <cellStyle name="20% - Accent2 2 3 4 5" xfId="28612" xr:uid="{BF5CAB11-4D18-42E3-AA86-34A2499002ED}"/>
    <cellStyle name="20% - Accent2 2 3 4 6" xfId="37059" xr:uid="{E17311C8-F904-48DE-9E36-AD3C1D790A50}"/>
    <cellStyle name="20% - Accent2 2 3 4 7" xfId="10865" xr:uid="{073E07C2-0B4A-436A-A734-249B46E0B06B}"/>
    <cellStyle name="20% - Accent2 2 3 5" xfId="1863" xr:uid="{00000000-0005-0000-0000-0000D8000000}"/>
    <cellStyle name="20% - Accent2 2 3 5 2" xfId="4092" xr:uid="{00000000-0005-0000-0000-0000D9000000}"/>
    <cellStyle name="20% - Accent2 2 3 5 2 2" xfId="8314" xr:uid="{00000000-0005-0000-0000-0000DA000000}"/>
    <cellStyle name="20% - Accent2 2 3 5 2 2 2" xfId="26940" xr:uid="{6D10CA88-9893-44FC-A763-96FF55D413BF}"/>
    <cellStyle name="20% - Accent2 2 3 5 2 2 3" xfId="35387" xr:uid="{AB5D93C7-EFAD-493C-A103-93566957D30A}"/>
    <cellStyle name="20% - Accent2 2 3 5 2 2 4" xfId="43834" xr:uid="{7E211910-CFFB-45C4-ADF5-55994EAFC28C}"/>
    <cellStyle name="20% - Accent2 2 3 5 2 2 5" xfId="17640" xr:uid="{0334FADB-7C96-4916-BEB1-DE8160C481C3}"/>
    <cellStyle name="20% - Accent2 2 3 5 2 3" xfId="22723" xr:uid="{B84A2390-3AF8-4A59-96E1-B3C20D13D1E5}"/>
    <cellStyle name="20% - Accent2 2 3 5 2 4" xfId="31170" xr:uid="{97CE2BD8-A841-42C5-BB16-2E56F91CB005}"/>
    <cellStyle name="20% - Accent2 2 3 5 2 5" xfId="39617" xr:uid="{A3628C14-4167-4A85-82F0-D3F635FEB935}"/>
    <cellStyle name="20% - Accent2 2 3 5 2 6" xfId="13423" xr:uid="{E64CC062-82A5-4883-891E-6C09D520FF7C}"/>
    <cellStyle name="20% - Accent2 2 3 5 3" xfId="6169" xr:uid="{00000000-0005-0000-0000-0000DB000000}"/>
    <cellStyle name="20% - Accent2 2 3 5 3 2" xfId="24795" xr:uid="{1A6C3092-6FE4-4FD6-990F-23599FF0B57D}"/>
    <cellStyle name="20% - Accent2 2 3 5 3 3" xfId="33242" xr:uid="{C0A3C6E6-CBFE-4039-8B91-BFB21008419E}"/>
    <cellStyle name="20% - Accent2 2 3 5 3 4" xfId="41689" xr:uid="{FC8D7239-B54B-42EF-A008-38B01C0A3FB7}"/>
    <cellStyle name="20% - Accent2 2 3 5 3 5" xfId="15495" xr:uid="{D3B2FC4C-FCD4-4CA5-AE27-ECAAB2561923}"/>
    <cellStyle name="20% - Accent2 2 3 5 4" xfId="20578" xr:uid="{D32D5636-AEC7-44DC-85C6-E4D25AF6860A}"/>
    <cellStyle name="20% - Accent2 2 3 5 5" xfId="29025" xr:uid="{BDE2F0A6-A5FA-45DE-9BD0-8B41D09A0624}"/>
    <cellStyle name="20% - Accent2 2 3 5 6" xfId="37472" xr:uid="{94555A6D-A20E-44B4-8A6E-A12398A09195}"/>
    <cellStyle name="20% - Accent2 2 3 5 7" xfId="11278" xr:uid="{5C1457B2-6CCC-4DBC-89C5-6BB02B1937B9}"/>
    <cellStyle name="20% - Accent2 2 3 6" xfId="2276" xr:uid="{00000000-0005-0000-0000-0000DC000000}"/>
    <cellStyle name="20% - Accent2 2 3 6 2" xfId="6582" xr:uid="{00000000-0005-0000-0000-0000DD000000}"/>
    <cellStyle name="20% - Accent2 2 3 6 2 2" xfId="25208" xr:uid="{AF7FBCC2-83BC-47FD-9466-C39513654BFC}"/>
    <cellStyle name="20% - Accent2 2 3 6 2 3" xfId="33655" xr:uid="{21CD9CDA-1E24-4610-A7FC-91BB3EB86DB6}"/>
    <cellStyle name="20% - Accent2 2 3 6 2 4" xfId="42102" xr:uid="{3FF999EE-CE52-4FE1-9FBB-C026395F7868}"/>
    <cellStyle name="20% - Accent2 2 3 6 2 5" xfId="15908" xr:uid="{7E0CDDBD-359F-4CB7-87D8-AA3E11CD506F}"/>
    <cellStyle name="20% - Accent2 2 3 6 3" xfId="20991" xr:uid="{252F3CD4-5260-49D1-BA53-91C627E5B06D}"/>
    <cellStyle name="20% - Accent2 2 3 6 4" xfId="29438" xr:uid="{A4533440-002F-496C-B905-8FC7A15739FF}"/>
    <cellStyle name="20% - Accent2 2 3 6 5" xfId="37885" xr:uid="{B5AC048B-8F2F-41AD-9507-5CF23E6F35F9}"/>
    <cellStyle name="20% - Accent2 2 3 6 6" xfId="11691" xr:uid="{C29147AF-0958-4DDA-B312-D1778199400F}"/>
    <cellStyle name="20% - Accent2 2 3 7" xfId="4516" xr:uid="{00000000-0005-0000-0000-0000DE000000}"/>
    <cellStyle name="20% - Accent2 2 3 7 2" xfId="23142" xr:uid="{2B0EFF9A-A3EA-468A-8485-C111867383EE}"/>
    <cellStyle name="20% - Accent2 2 3 7 3" xfId="31589" xr:uid="{4AE1B027-7A76-412D-B627-DA8D9D0BC987}"/>
    <cellStyle name="20% - Accent2 2 3 7 4" xfId="40036" xr:uid="{91DA2D80-7D41-43D2-8FF6-377F3E2161DA}"/>
    <cellStyle name="20% - Accent2 2 3 7 5" xfId="13842" xr:uid="{0E4C7260-BD98-485F-8E5C-CF3FE786F55B}"/>
    <cellStyle name="20% - Accent2 2 3 8" xfId="9000" xr:uid="{133DFC5C-F2FF-49E9-82EE-ABAA9C815393}"/>
    <cellStyle name="20% - Accent2 2 3 8 2" xfId="18324" xr:uid="{D03E5680-C1FF-42F5-8A8F-64EB24A038ED}"/>
    <cellStyle name="20% - Accent2 2 3 9" xfId="18925" xr:uid="{BB317874-A3D9-4624-8BBC-290A5AC168C9}"/>
    <cellStyle name="20% - Accent2 2 4" xfId="579" xr:uid="{00000000-0005-0000-0000-0000DF000000}"/>
    <cellStyle name="20% - Accent2 2 4 2" xfId="2850" xr:uid="{00000000-0005-0000-0000-0000E0000000}"/>
    <cellStyle name="20% - Accent2 2 4 2 2" xfId="7072" xr:uid="{00000000-0005-0000-0000-0000E1000000}"/>
    <cellStyle name="20% - Accent2 2 4 2 2 2" xfId="25698" xr:uid="{8D5F697B-856D-47E4-89B1-0A7BEBC6D106}"/>
    <cellStyle name="20% - Accent2 2 4 2 2 3" xfId="34145" xr:uid="{1FF84AA5-BFC6-48B7-B113-4D4120501BC1}"/>
    <cellStyle name="20% - Accent2 2 4 2 2 4" xfId="42592" xr:uid="{F7DBEC06-2073-4778-8EA5-3CFDE0660DFA}"/>
    <cellStyle name="20% - Accent2 2 4 2 2 5" xfId="16398" xr:uid="{61E984A1-8F1B-4D90-B5E4-ECCB37DAA42F}"/>
    <cellStyle name="20% - Accent2 2 4 2 3" xfId="21481" xr:uid="{2CAD5D78-2C7E-4F5F-9E72-29EEE5C3DEB4}"/>
    <cellStyle name="20% - Accent2 2 4 2 4" xfId="29928" xr:uid="{FA225B97-1C7F-45C9-90EF-347D5F2684B8}"/>
    <cellStyle name="20% - Accent2 2 4 2 5" xfId="38375" xr:uid="{F34A20CC-69DC-489B-9322-EAECA9C7B814}"/>
    <cellStyle name="20% - Accent2 2 4 2 6" xfId="12181" xr:uid="{B498F691-E746-48D0-B7FC-26FB7C020AA0}"/>
    <cellStyle name="20% - Accent2 2 4 3" xfId="4927" xr:uid="{00000000-0005-0000-0000-0000E2000000}"/>
    <cellStyle name="20% - Accent2 2 4 3 2" xfId="23553" xr:uid="{B03A9AE3-D3BD-41E6-8F72-4DBC290E4622}"/>
    <cellStyle name="20% - Accent2 2 4 3 3" xfId="32000" xr:uid="{F00416BA-38D6-4C57-9C2D-3700547E791E}"/>
    <cellStyle name="20% - Accent2 2 4 3 4" xfId="40447" xr:uid="{288C419D-6DFD-47A1-A5BF-D8A2C747E243}"/>
    <cellStyle name="20% - Accent2 2 4 3 5" xfId="14253" xr:uid="{E91AC745-B6D4-42B0-99F2-718AB0873872}"/>
    <cellStyle name="20% - Accent2 2 4 4" xfId="9217" xr:uid="{28DDC3F5-BA57-40F8-8D06-6CFF141CF9A1}"/>
    <cellStyle name="20% - Accent2 2 4 4 2" xfId="18534" xr:uid="{78A64C3D-3EDD-46D1-AD26-F37CB33D9D86}"/>
    <cellStyle name="20% - Accent2 2 4 5" xfId="19336" xr:uid="{CBD4881F-B4B4-4D82-A22D-07AF1CD93421}"/>
    <cellStyle name="20% - Accent2 2 4 6" xfId="27783" xr:uid="{8A7E7397-72D0-4F6F-B373-8CC2FF18B416}"/>
    <cellStyle name="20% - Accent2 2 4 7" xfId="36230" xr:uid="{88F889AA-9901-4B2D-9EDA-6CBE12FAD3A6}"/>
    <cellStyle name="20% - Accent2 2 4 8" xfId="10036" xr:uid="{52FBC322-C0C2-41DF-8030-E3BDCEEF1F05}"/>
    <cellStyle name="20% - Accent2 2 5" xfId="1032" xr:uid="{00000000-0005-0000-0000-0000E3000000}"/>
    <cellStyle name="20% - Accent2 2 5 2" xfId="3263" xr:uid="{00000000-0005-0000-0000-0000E4000000}"/>
    <cellStyle name="20% - Accent2 2 5 2 2" xfId="7485" xr:uid="{00000000-0005-0000-0000-0000E5000000}"/>
    <cellStyle name="20% - Accent2 2 5 2 2 2" xfId="26111" xr:uid="{2265FA14-27EC-403B-99AD-B8AA132EC2FB}"/>
    <cellStyle name="20% - Accent2 2 5 2 2 3" xfId="34558" xr:uid="{96A06534-5315-4B15-859C-C586396BC61E}"/>
    <cellStyle name="20% - Accent2 2 5 2 2 4" xfId="43005" xr:uid="{F68123E9-D18E-4C47-A64B-343ADBB347C1}"/>
    <cellStyle name="20% - Accent2 2 5 2 2 5" xfId="16811" xr:uid="{3C6EAAB2-12C2-4864-85C4-EA5844C8D35E}"/>
    <cellStyle name="20% - Accent2 2 5 2 3" xfId="21894" xr:uid="{ABA8B2D1-1521-4069-85BF-1414563ABE23}"/>
    <cellStyle name="20% - Accent2 2 5 2 4" xfId="30341" xr:uid="{08488FDB-6504-4B70-B30E-3DC5791EC367}"/>
    <cellStyle name="20% - Accent2 2 5 2 5" xfId="38788" xr:uid="{80C22305-135D-40D0-800E-3B6D0D301981}"/>
    <cellStyle name="20% - Accent2 2 5 2 6" xfId="12594" xr:uid="{DD13DB6A-9255-4801-8A31-38EC13788431}"/>
    <cellStyle name="20% - Accent2 2 5 3" xfId="5340" xr:uid="{00000000-0005-0000-0000-0000E6000000}"/>
    <cellStyle name="20% - Accent2 2 5 3 2" xfId="23966" xr:uid="{A902A288-518F-4F15-B4AE-B31C68048CB1}"/>
    <cellStyle name="20% - Accent2 2 5 3 3" xfId="32413" xr:uid="{338DF7FB-A936-448C-A99E-701FEC590666}"/>
    <cellStyle name="20% - Accent2 2 5 3 4" xfId="40860" xr:uid="{1C9A7F36-2E87-47D4-8CD1-7580655CB9AB}"/>
    <cellStyle name="20% - Accent2 2 5 3 5" xfId="14666" xr:uid="{0BBD72D9-CD74-40B9-8970-6311A035EAD0}"/>
    <cellStyle name="20% - Accent2 2 5 4" xfId="19749" xr:uid="{B4EFE3C4-584B-4F3B-82F7-673DD7556D3E}"/>
    <cellStyle name="20% - Accent2 2 5 5" xfId="28196" xr:uid="{DE229CDF-0840-423C-9800-F6F25932F039}"/>
    <cellStyle name="20% - Accent2 2 5 6" xfId="36643" xr:uid="{E98FEEFF-352B-4ADE-BD97-F1324C0EA133}"/>
    <cellStyle name="20% - Accent2 2 5 7" xfId="10449" xr:uid="{4FF37C63-A6B2-46BF-8AD5-85F14273C667}"/>
    <cellStyle name="20% - Accent2 2 6" xfId="1446" xr:uid="{00000000-0005-0000-0000-0000E7000000}"/>
    <cellStyle name="20% - Accent2 2 6 2" xfId="3676" xr:uid="{00000000-0005-0000-0000-0000E8000000}"/>
    <cellStyle name="20% - Accent2 2 6 2 2" xfId="7898" xr:uid="{00000000-0005-0000-0000-0000E9000000}"/>
    <cellStyle name="20% - Accent2 2 6 2 2 2" xfId="26524" xr:uid="{E98846E1-2969-45D6-81D5-6A2EB7E9A114}"/>
    <cellStyle name="20% - Accent2 2 6 2 2 3" xfId="34971" xr:uid="{7D8F4E77-FE13-44BA-9EAF-56B99F4EE715}"/>
    <cellStyle name="20% - Accent2 2 6 2 2 4" xfId="43418" xr:uid="{8EB1E8D4-BA65-44B6-B8F4-4826267173DA}"/>
    <cellStyle name="20% - Accent2 2 6 2 2 5" xfId="17224" xr:uid="{9AD326ED-D2A3-42CA-A664-670961CB9C29}"/>
    <cellStyle name="20% - Accent2 2 6 2 3" xfId="22307" xr:uid="{A879DF98-CE25-4BAE-90EA-BB34F9155956}"/>
    <cellStyle name="20% - Accent2 2 6 2 4" xfId="30754" xr:uid="{012D6B60-20E2-40DA-86D8-62AEE4D86C01}"/>
    <cellStyle name="20% - Accent2 2 6 2 5" xfId="39201" xr:uid="{C506F67F-7DB7-4DFE-A125-EF2D11535FB2}"/>
    <cellStyle name="20% - Accent2 2 6 2 6" xfId="13007" xr:uid="{01F2FE46-72F5-4A3B-80C5-84758D40A5AA}"/>
    <cellStyle name="20% - Accent2 2 6 3" xfId="5753" xr:uid="{00000000-0005-0000-0000-0000EA000000}"/>
    <cellStyle name="20% - Accent2 2 6 3 2" xfId="24379" xr:uid="{3B9F26F2-07EE-4486-AA22-94849FC2068F}"/>
    <cellStyle name="20% - Accent2 2 6 3 3" xfId="32826" xr:uid="{AAB65640-E7F3-4924-8086-40538682F49D}"/>
    <cellStyle name="20% - Accent2 2 6 3 4" xfId="41273" xr:uid="{F2BCA887-2534-4ED1-A371-274A374B2D89}"/>
    <cellStyle name="20% - Accent2 2 6 3 5" xfId="15079" xr:uid="{37C458C4-3BDF-432D-9545-512E4914A0D1}"/>
    <cellStyle name="20% - Accent2 2 6 4" xfId="20162" xr:uid="{A4E79650-F380-4457-AE45-5545BD2BC625}"/>
    <cellStyle name="20% - Accent2 2 6 5" xfId="28609" xr:uid="{DF6426B6-F188-4413-B398-ACAB93CFA736}"/>
    <cellStyle name="20% - Accent2 2 6 6" xfId="37056" xr:uid="{FA069DFA-3A01-41C0-BE6C-72A8F6D9B0E2}"/>
    <cellStyle name="20% - Accent2 2 6 7" xfId="10862" xr:uid="{745ECD25-6EAA-40EB-BF5F-3AC906FD2834}"/>
    <cellStyle name="20% - Accent2 2 7" xfId="1860" xr:uid="{00000000-0005-0000-0000-0000EB000000}"/>
    <cellStyle name="20% - Accent2 2 7 2" xfId="4089" xr:uid="{00000000-0005-0000-0000-0000EC000000}"/>
    <cellStyle name="20% - Accent2 2 7 2 2" xfId="8311" xr:uid="{00000000-0005-0000-0000-0000ED000000}"/>
    <cellStyle name="20% - Accent2 2 7 2 2 2" xfId="26937" xr:uid="{C7A22618-6F0E-4839-8BA5-7EEFEE4CE177}"/>
    <cellStyle name="20% - Accent2 2 7 2 2 3" xfId="35384" xr:uid="{390B8446-4E9D-4FE5-974D-CF115F719D78}"/>
    <cellStyle name="20% - Accent2 2 7 2 2 4" xfId="43831" xr:uid="{97956381-EE6A-4CBA-8068-7A27521CE398}"/>
    <cellStyle name="20% - Accent2 2 7 2 2 5" xfId="17637" xr:uid="{4C016077-ACC8-42E4-8672-460EF65D808C}"/>
    <cellStyle name="20% - Accent2 2 7 2 3" xfId="22720" xr:uid="{FF8BC5C0-77B9-43E2-8DC7-79AFFB955377}"/>
    <cellStyle name="20% - Accent2 2 7 2 4" xfId="31167" xr:uid="{9DD8BEE5-9692-45A0-8033-235E2F7195E6}"/>
    <cellStyle name="20% - Accent2 2 7 2 5" xfId="39614" xr:uid="{9D2BC468-F920-4E08-B2B9-3E1F14F7C0E7}"/>
    <cellStyle name="20% - Accent2 2 7 2 6" xfId="13420" xr:uid="{3DE4E33D-9281-402D-9482-A07519EEFB59}"/>
    <cellStyle name="20% - Accent2 2 7 3" xfId="6166" xr:uid="{00000000-0005-0000-0000-0000EE000000}"/>
    <cellStyle name="20% - Accent2 2 7 3 2" xfId="24792" xr:uid="{F842B51F-AB15-4F02-B03A-72F3F79392F1}"/>
    <cellStyle name="20% - Accent2 2 7 3 3" xfId="33239" xr:uid="{2F8E8B2B-6984-4A21-873A-2C8A228D5347}"/>
    <cellStyle name="20% - Accent2 2 7 3 4" xfId="41686" xr:uid="{981320B0-1061-451F-9E26-6DBA52FBDF8C}"/>
    <cellStyle name="20% - Accent2 2 7 3 5" xfId="15492" xr:uid="{D8692576-7BD1-4D84-A8D2-A8E0BF338BFA}"/>
    <cellStyle name="20% - Accent2 2 7 4" xfId="20575" xr:uid="{3DB875C1-6A30-412F-8492-5E291566788B}"/>
    <cellStyle name="20% - Accent2 2 7 5" xfId="29022" xr:uid="{1E398AFD-6F5D-4BE7-9790-FB549F053FB1}"/>
    <cellStyle name="20% - Accent2 2 7 6" xfId="37469" xr:uid="{EEF33E69-7055-4142-9321-9DD8560A3FA2}"/>
    <cellStyle name="20% - Accent2 2 7 7" xfId="11275" xr:uid="{84A18AB4-2BD5-487A-8F03-67C893C1DAC8}"/>
    <cellStyle name="20% - Accent2 2 8" xfId="2273" xr:uid="{00000000-0005-0000-0000-0000EF000000}"/>
    <cellStyle name="20% - Accent2 2 8 2" xfId="6579" xr:uid="{00000000-0005-0000-0000-0000F0000000}"/>
    <cellStyle name="20% - Accent2 2 8 2 2" xfId="25205" xr:uid="{E3F31F75-8B0D-4E6A-8ECD-22E741A6502C}"/>
    <cellStyle name="20% - Accent2 2 8 2 3" xfId="33652" xr:uid="{E3C38EEA-971F-41CE-B1D2-2AF68B0513C5}"/>
    <cellStyle name="20% - Accent2 2 8 2 4" xfId="42099" xr:uid="{9CF90C90-16AC-4AE5-B5F9-A0FD48FD08C0}"/>
    <cellStyle name="20% - Accent2 2 8 2 5" xfId="15905" xr:uid="{97A0A100-A6C9-4328-A790-CC4263E18267}"/>
    <cellStyle name="20% - Accent2 2 8 3" xfId="20988" xr:uid="{94CBB547-A058-4545-96CE-1A71EDE6F5A1}"/>
    <cellStyle name="20% - Accent2 2 8 4" xfId="29435" xr:uid="{05D64F26-C20A-495C-8072-5251454480DB}"/>
    <cellStyle name="20% - Accent2 2 8 5" xfId="37882" xr:uid="{F9A0AF45-F2E6-4546-AAE4-9B6342B9746C}"/>
    <cellStyle name="20% - Accent2 2 8 6" xfId="11688" xr:uid="{7EFE93E0-5E90-4E18-B44F-AFD80726B9DF}"/>
    <cellStyle name="20% - Accent2 2 9" xfId="4513" xr:uid="{00000000-0005-0000-0000-0000F1000000}"/>
    <cellStyle name="20% - Accent2 2 9 2" xfId="23139" xr:uid="{CF5D341E-6DAF-49CD-9A36-7D4174E1529D}"/>
    <cellStyle name="20% - Accent2 2 9 3" xfId="31586" xr:uid="{9182418F-C3EC-4289-B3D3-F18E62A3EE60}"/>
    <cellStyle name="20% - Accent2 2 9 4" xfId="40033" xr:uid="{15CBE4FC-BDF4-4B58-82E0-3CCBFBAE1695}"/>
    <cellStyle name="20% - Accent2 2 9 5" xfId="13839" xr:uid="{EF9C7B61-90B0-4908-AB30-939D4C900D6F}"/>
    <cellStyle name="20% - Accent2 3" xfId="14" xr:uid="{00000000-0005-0000-0000-0000F2000000}"/>
    <cellStyle name="20% - Accent2 3 10" xfId="18926" xr:uid="{81B9FD37-3783-4905-A173-3D6456AAE731}"/>
    <cellStyle name="20% - Accent2 3 11" xfId="27373" xr:uid="{0FE8D316-AF5F-4C25-8FDD-4368A1FCD2F8}"/>
    <cellStyle name="20% - Accent2 3 12" xfId="35820" xr:uid="{FD33E93F-4E71-4ECC-9502-F444D29ACB8A}"/>
    <cellStyle name="20% - Accent2 3 13" xfId="9626" xr:uid="{9C983BA7-5337-4340-AC36-49B391858233}"/>
    <cellStyle name="20% - Accent2 3 2" xfId="15" xr:uid="{00000000-0005-0000-0000-0000F3000000}"/>
    <cellStyle name="20% - Accent2 3 2 10" xfId="27374" xr:uid="{7FA76AFD-20B2-42FB-BC8B-96777B491F56}"/>
    <cellStyle name="20% - Accent2 3 2 11" xfId="35821" xr:uid="{1630F791-1713-4C07-ADF7-C404A8E94057}"/>
    <cellStyle name="20% - Accent2 3 2 12" xfId="9627" xr:uid="{42908B74-E876-4C13-B5AA-33936951407E}"/>
    <cellStyle name="20% - Accent2 3 2 2" xfId="584" xr:uid="{00000000-0005-0000-0000-0000F4000000}"/>
    <cellStyle name="20% - Accent2 3 2 2 2" xfId="2855" xr:uid="{00000000-0005-0000-0000-0000F5000000}"/>
    <cellStyle name="20% - Accent2 3 2 2 2 2" xfId="7077" xr:uid="{00000000-0005-0000-0000-0000F6000000}"/>
    <cellStyle name="20% - Accent2 3 2 2 2 2 2" xfId="25703" xr:uid="{6D49F186-E1F3-4E2F-AB58-4DA36EDC0E34}"/>
    <cellStyle name="20% - Accent2 3 2 2 2 2 3" xfId="34150" xr:uid="{EF8747A1-F4A5-46F9-8C24-8C318B29A5D4}"/>
    <cellStyle name="20% - Accent2 3 2 2 2 2 4" xfId="42597" xr:uid="{97D2A4D0-611C-48EA-A097-E62A0382CDEF}"/>
    <cellStyle name="20% - Accent2 3 2 2 2 2 5" xfId="16403" xr:uid="{CF7D4B9C-A4AD-42E1-A8A1-1AEB018FE259}"/>
    <cellStyle name="20% - Accent2 3 2 2 2 3" xfId="21486" xr:uid="{21F567FC-D893-45FE-BDB9-E00D615BCF4B}"/>
    <cellStyle name="20% - Accent2 3 2 2 2 4" xfId="29933" xr:uid="{1E57E3F9-0CC4-4051-A375-A9841D50A0ED}"/>
    <cellStyle name="20% - Accent2 3 2 2 2 5" xfId="38380" xr:uid="{E4673B3E-CEFB-46D6-AA4A-DACBA39874C0}"/>
    <cellStyle name="20% - Accent2 3 2 2 2 6" xfId="12186" xr:uid="{62DF6D0F-742B-4415-B3DE-A357A4BAC574}"/>
    <cellStyle name="20% - Accent2 3 2 2 3" xfId="4932" xr:uid="{00000000-0005-0000-0000-0000F7000000}"/>
    <cellStyle name="20% - Accent2 3 2 2 3 2" xfId="23558" xr:uid="{A8E51818-0D85-4221-8512-8307BF9272FA}"/>
    <cellStyle name="20% - Accent2 3 2 2 3 3" xfId="32005" xr:uid="{5F581CB4-36F5-4D57-88E0-1CF36D615FED}"/>
    <cellStyle name="20% - Accent2 3 2 2 3 4" xfId="40452" xr:uid="{C305AF2D-79B8-4BD8-A25B-A579006665B7}"/>
    <cellStyle name="20% - Accent2 3 2 2 3 5" xfId="14258" xr:uid="{71A33489-7B6D-438B-ABE1-2303ACBB6B93}"/>
    <cellStyle name="20% - Accent2 3 2 2 4" xfId="9495" xr:uid="{9F5A6FE7-BBC9-4787-8EC4-2112F4D5A0EA}"/>
    <cellStyle name="20% - Accent2 3 2 2 4 2" xfId="18811" xr:uid="{DA4F7C18-790B-4050-9BA6-B8212AA345EE}"/>
    <cellStyle name="20% - Accent2 3 2 2 5" xfId="19341" xr:uid="{675849D4-387A-4457-9ABB-592D4E3DF9A5}"/>
    <cellStyle name="20% - Accent2 3 2 2 6" xfId="27788" xr:uid="{413FAB37-3FFE-4941-B203-19C4C0D2FC3C}"/>
    <cellStyle name="20% - Accent2 3 2 2 7" xfId="36235" xr:uid="{7CBEDEDF-422D-4348-A324-C6C6698ADC9B}"/>
    <cellStyle name="20% - Accent2 3 2 2 8" xfId="10041" xr:uid="{4C627913-A20C-4DDF-B118-5A6DA19F1214}"/>
    <cellStyle name="20% - Accent2 3 2 3" xfId="1037" xr:uid="{00000000-0005-0000-0000-0000F8000000}"/>
    <cellStyle name="20% - Accent2 3 2 3 2" xfId="3268" xr:uid="{00000000-0005-0000-0000-0000F9000000}"/>
    <cellStyle name="20% - Accent2 3 2 3 2 2" xfId="7490" xr:uid="{00000000-0005-0000-0000-0000FA000000}"/>
    <cellStyle name="20% - Accent2 3 2 3 2 2 2" xfId="26116" xr:uid="{25DF879D-2ECB-4784-90AA-0DD67BAF9C54}"/>
    <cellStyle name="20% - Accent2 3 2 3 2 2 3" xfId="34563" xr:uid="{CFE9DC44-B3AF-4379-9123-01DCEF5D7C34}"/>
    <cellStyle name="20% - Accent2 3 2 3 2 2 4" xfId="43010" xr:uid="{526A114E-8765-4356-9629-41631C7FBDA3}"/>
    <cellStyle name="20% - Accent2 3 2 3 2 2 5" xfId="16816" xr:uid="{1F5B2A04-9D19-4EA4-AEF7-C7004066565F}"/>
    <cellStyle name="20% - Accent2 3 2 3 2 3" xfId="21899" xr:uid="{47CC5D79-B972-4FF9-A312-32E065A4594B}"/>
    <cellStyle name="20% - Accent2 3 2 3 2 4" xfId="30346" xr:uid="{8240C216-0665-4335-A4DE-DE5039F70BCC}"/>
    <cellStyle name="20% - Accent2 3 2 3 2 5" xfId="38793" xr:uid="{FADB15DC-8D2C-4468-981F-2A1DE022D824}"/>
    <cellStyle name="20% - Accent2 3 2 3 2 6" xfId="12599" xr:uid="{15F17F05-F4D2-4AE1-AF3B-9D4D0398E3DF}"/>
    <cellStyle name="20% - Accent2 3 2 3 3" xfId="5345" xr:uid="{00000000-0005-0000-0000-0000FB000000}"/>
    <cellStyle name="20% - Accent2 3 2 3 3 2" xfId="23971" xr:uid="{05F6DCF6-B36B-48CE-9B19-22F9F1B21600}"/>
    <cellStyle name="20% - Accent2 3 2 3 3 3" xfId="32418" xr:uid="{0E4A3059-2D0F-4CD3-B7DC-62746A927A7C}"/>
    <cellStyle name="20% - Accent2 3 2 3 3 4" xfId="40865" xr:uid="{9AA960C8-C6D0-446D-BEEC-CE3560B5F420}"/>
    <cellStyle name="20% - Accent2 3 2 3 3 5" xfId="14671" xr:uid="{E00456A7-67AA-4BE5-8373-7BE8B7CC5DB0}"/>
    <cellStyle name="20% - Accent2 3 2 3 4" xfId="19754" xr:uid="{70ED46FD-5472-4E6F-B9B5-94B492A9D403}"/>
    <cellStyle name="20% - Accent2 3 2 3 5" xfId="28201" xr:uid="{41F67443-8C36-4415-822C-52D33E0A0B21}"/>
    <cellStyle name="20% - Accent2 3 2 3 6" xfId="36648" xr:uid="{17FF2DE2-BA8D-4B6D-9850-F2B17E52D756}"/>
    <cellStyle name="20% - Accent2 3 2 3 7" xfId="10454" xr:uid="{3C2A0D53-91C6-4C57-8E0E-6041EED9ACCF}"/>
    <cellStyle name="20% - Accent2 3 2 4" xfId="1451" xr:uid="{00000000-0005-0000-0000-0000FC000000}"/>
    <cellStyle name="20% - Accent2 3 2 4 2" xfId="3681" xr:uid="{00000000-0005-0000-0000-0000FD000000}"/>
    <cellStyle name="20% - Accent2 3 2 4 2 2" xfId="7903" xr:uid="{00000000-0005-0000-0000-0000FE000000}"/>
    <cellStyle name="20% - Accent2 3 2 4 2 2 2" xfId="26529" xr:uid="{2471886B-0DA4-44BF-8B3D-BE3A3C0BF02A}"/>
    <cellStyle name="20% - Accent2 3 2 4 2 2 3" xfId="34976" xr:uid="{3C2660E2-2CB6-4F11-AA53-F51979DF3988}"/>
    <cellStyle name="20% - Accent2 3 2 4 2 2 4" xfId="43423" xr:uid="{63675E78-6A38-4CBB-9230-2689A038E2C5}"/>
    <cellStyle name="20% - Accent2 3 2 4 2 2 5" xfId="17229" xr:uid="{FEFEAC26-689B-4DE7-8398-35EF68BC3472}"/>
    <cellStyle name="20% - Accent2 3 2 4 2 3" xfId="22312" xr:uid="{9AA4CC69-42E4-46E4-99E5-DB2254C8C570}"/>
    <cellStyle name="20% - Accent2 3 2 4 2 4" xfId="30759" xr:uid="{D8E1EA0F-2DF7-454D-BF13-175926E5C945}"/>
    <cellStyle name="20% - Accent2 3 2 4 2 5" xfId="39206" xr:uid="{69589FC6-C044-429B-B387-6875867FCD3C}"/>
    <cellStyle name="20% - Accent2 3 2 4 2 6" xfId="13012" xr:uid="{745E6B36-D732-410D-9CA4-470822185605}"/>
    <cellStyle name="20% - Accent2 3 2 4 3" xfId="5758" xr:uid="{00000000-0005-0000-0000-0000FF000000}"/>
    <cellStyle name="20% - Accent2 3 2 4 3 2" xfId="24384" xr:uid="{62DD2BD8-D70B-4C23-A543-7A30D7FDBF70}"/>
    <cellStyle name="20% - Accent2 3 2 4 3 3" xfId="32831" xr:uid="{34923DE1-60F1-47AE-9CF0-C264498CB2D1}"/>
    <cellStyle name="20% - Accent2 3 2 4 3 4" xfId="41278" xr:uid="{E2144D8C-1B6B-4B77-BEBD-43CDE5AE39B0}"/>
    <cellStyle name="20% - Accent2 3 2 4 3 5" xfId="15084" xr:uid="{24DC0D43-48E1-467C-B3D8-D1466DD2A893}"/>
    <cellStyle name="20% - Accent2 3 2 4 4" xfId="20167" xr:uid="{D7F8D4FF-1866-4C61-9B08-7B60E2AA43D0}"/>
    <cellStyle name="20% - Accent2 3 2 4 5" xfId="28614" xr:uid="{13B72831-DF63-4D6C-842E-0C37AF069637}"/>
    <cellStyle name="20% - Accent2 3 2 4 6" xfId="37061" xr:uid="{DACD2548-3943-46A3-B302-356DF311E7F0}"/>
    <cellStyle name="20% - Accent2 3 2 4 7" xfId="10867" xr:uid="{7B5730E9-EF9F-4CA6-B4A4-67A8DA18C9B6}"/>
    <cellStyle name="20% - Accent2 3 2 5" xfId="1865" xr:uid="{00000000-0005-0000-0000-000000010000}"/>
    <cellStyle name="20% - Accent2 3 2 5 2" xfId="4094" xr:uid="{00000000-0005-0000-0000-000001010000}"/>
    <cellStyle name="20% - Accent2 3 2 5 2 2" xfId="8316" xr:uid="{00000000-0005-0000-0000-000002010000}"/>
    <cellStyle name="20% - Accent2 3 2 5 2 2 2" xfId="26942" xr:uid="{9BE2D1E6-534F-48F7-A182-C62D8FE17429}"/>
    <cellStyle name="20% - Accent2 3 2 5 2 2 3" xfId="35389" xr:uid="{EB93FE4B-C387-4BAE-A1D0-598F8D74E7E3}"/>
    <cellStyle name="20% - Accent2 3 2 5 2 2 4" xfId="43836" xr:uid="{B3C3B22B-B67F-439D-91E4-AC1A249CA684}"/>
    <cellStyle name="20% - Accent2 3 2 5 2 2 5" xfId="17642" xr:uid="{0DBE3387-585F-43A3-A517-8B3B23CA6510}"/>
    <cellStyle name="20% - Accent2 3 2 5 2 3" xfId="22725" xr:uid="{D0152795-89A5-46CF-883B-47E2BEAF398E}"/>
    <cellStyle name="20% - Accent2 3 2 5 2 4" xfId="31172" xr:uid="{2CF84954-2F7A-4AC0-B004-2455DE65F030}"/>
    <cellStyle name="20% - Accent2 3 2 5 2 5" xfId="39619" xr:uid="{776BC386-7C89-4E54-8E9C-6A7DA06D54E8}"/>
    <cellStyle name="20% - Accent2 3 2 5 2 6" xfId="13425" xr:uid="{E9EC10D5-8655-4D9C-ACBC-31EF60ECE3D5}"/>
    <cellStyle name="20% - Accent2 3 2 5 3" xfId="6171" xr:uid="{00000000-0005-0000-0000-000003010000}"/>
    <cellStyle name="20% - Accent2 3 2 5 3 2" xfId="24797" xr:uid="{146C2F98-0010-42BD-9695-1DF81421F7D3}"/>
    <cellStyle name="20% - Accent2 3 2 5 3 3" xfId="33244" xr:uid="{CFB83740-DE9D-4C02-9AFF-510A04D2C87D}"/>
    <cellStyle name="20% - Accent2 3 2 5 3 4" xfId="41691" xr:uid="{48ED8718-5DC7-4A8F-8927-82CF54F90302}"/>
    <cellStyle name="20% - Accent2 3 2 5 3 5" xfId="15497" xr:uid="{1F878683-9C9B-41CD-8DF1-D00DC24CACD1}"/>
    <cellStyle name="20% - Accent2 3 2 5 4" xfId="20580" xr:uid="{D88F3B22-4BE7-4671-8391-D8FCFB76BDC5}"/>
    <cellStyle name="20% - Accent2 3 2 5 5" xfId="29027" xr:uid="{75799E27-06FD-48FD-91EF-11676AA272A2}"/>
    <cellStyle name="20% - Accent2 3 2 5 6" xfId="37474" xr:uid="{5A6661C5-1989-4A8A-90BF-3F5A182CBA02}"/>
    <cellStyle name="20% - Accent2 3 2 5 7" xfId="11280" xr:uid="{CBFB4751-FB21-4B3A-9C6D-C0729F8AFFE1}"/>
    <cellStyle name="20% - Accent2 3 2 6" xfId="2278" xr:uid="{00000000-0005-0000-0000-000004010000}"/>
    <cellStyle name="20% - Accent2 3 2 6 2" xfId="6584" xr:uid="{00000000-0005-0000-0000-000005010000}"/>
    <cellStyle name="20% - Accent2 3 2 6 2 2" xfId="25210" xr:uid="{2367B287-199D-476F-8417-38A0CB49BE04}"/>
    <cellStyle name="20% - Accent2 3 2 6 2 3" xfId="33657" xr:uid="{0DEA8A2F-B1E5-4C2A-A140-F7B459F51333}"/>
    <cellStyle name="20% - Accent2 3 2 6 2 4" xfId="42104" xr:uid="{4FFD951A-5B64-4D9A-ADBF-7AF13A0BE16B}"/>
    <cellStyle name="20% - Accent2 3 2 6 2 5" xfId="15910" xr:uid="{44B9BE95-70BB-4E6E-861C-9CE491FFF26F}"/>
    <cellStyle name="20% - Accent2 3 2 6 3" xfId="20993" xr:uid="{386C9E3C-BC0B-4BEA-8EC3-FEC7477CD1DD}"/>
    <cellStyle name="20% - Accent2 3 2 6 4" xfId="29440" xr:uid="{922668E3-C809-4305-BC34-286E2D4056B2}"/>
    <cellStyle name="20% - Accent2 3 2 6 5" xfId="37887" xr:uid="{C6116E77-698E-4780-9E27-36E87143D96A}"/>
    <cellStyle name="20% - Accent2 3 2 6 6" xfId="11693" xr:uid="{2AE6F886-B99B-4364-8503-C3FFA5AF87D9}"/>
    <cellStyle name="20% - Accent2 3 2 7" xfId="4518" xr:uid="{00000000-0005-0000-0000-000006010000}"/>
    <cellStyle name="20% - Accent2 3 2 7 2" xfId="23144" xr:uid="{D7616AB4-2450-46ED-9D94-D1C0B4981AD5}"/>
    <cellStyle name="20% - Accent2 3 2 7 3" xfId="31591" xr:uid="{C97EFE16-0FEF-4288-89E1-8BFC8051400F}"/>
    <cellStyle name="20% - Accent2 3 2 7 4" xfId="40038" xr:uid="{9969E055-6406-4FFC-9E49-13BDF5D2B626}"/>
    <cellStyle name="20% - Accent2 3 2 7 5" xfId="13844" xr:uid="{E5014523-369E-47B5-8A86-4E7955EDE710}"/>
    <cellStyle name="20% - Accent2 3 2 8" xfId="9070" xr:uid="{8A9168BA-490F-4E57-83EA-22187D24153F}"/>
    <cellStyle name="20% - Accent2 3 2 8 2" xfId="18394" xr:uid="{58377FB8-41C2-4CDE-AC67-1C222ACE57DA}"/>
    <cellStyle name="20% - Accent2 3 2 9" xfId="18927" xr:uid="{47778C73-D9ED-4434-8270-679A2CC4CBEA}"/>
    <cellStyle name="20% - Accent2 3 3" xfId="583" xr:uid="{00000000-0005-0000-0000-000007010000}"/>
    <cellStyle name="20% - Accent2 3 3 2" xfId="2854" xr:uid="{00000000-0005-0000-0000-000008010000}"/>
    <cellStyle name="20% - Accent2 3 3 2 2" xfId="7076" xr:uid="{00000000-0005-0000-0000-000009010000}"/>
    <cellStyle name="20% - Accent2 3 3 2 2 2" xfId="25702" xr:uid="{6861D1F4-F71C-463B-91C7-8BD50EAA6440}"/>
    <cellStyle name="20% - Accent2 3 3 2 2 3" xfId="34149" xr:uid="{925A4BE7-8CAA-498E-8670-5F975E6AA7B2}"/>
    <cellStyle name="20% - Accent2 3 3 2 2 4" xfId="42596" xr:uid="{1AC26459-E474-41AE-8F84-E71F3D7FC71A}"/>
    <cellStyle name="20% - Accent2 3 3 2 2 5" xfId="16402" xr:uid="{D6905550-9997-4D6F-BC95-293D79ABAC9B}"/>
    <cellStyle name="20% - Accent2 3 3 2 3" xfId="21485" xr:uid="{E7CA773E-3D8D-49FC-8C82-28700474010E}"/>
    <cellStyle name="20% - Accent2 3 3 2 4" xfId="29932" xr:uid="{EB6525BB-B788-4313-872A-80B3D1C5EEAA}"/>
    <cellStyle name="20% - Accent2 3 3 2 5" xfId="38379" xr:uid="{95D56F4B-679B-4183-82C2-DF4C1F3F518C}"/>
    <cellStyle name="20% - Accent2 3 3 2 6" xfId="12185" xr:uid="{3F8ACCAE-D737-4B27-929D-EE6269F90DDD}"/>
    <cellStyle name="20% - Accent2 3 3 3" xfId="4931" xr:uid="{00000000-0005-0000-0000-00000A010000}"/>
    <cellStyle name="20% - Accent2 3 3 3 2" xfId="23557" xr:uid="{FC364FC8-9FFE-42ED-BBC7-17A7DB9F8D85}"/>
    <cellStyle name="20% - Accent2 3 3 3 3" xfId="32004" xr:uid="{BF84F21D-94B3-4E3E-AAC6-0E70131B890A}"/>
    <cellStyle name="20% - Accent2 3 3 3 4" xfId="40451" xr:uid="{108964D2-B308-4782-AE28-3E1C08AF63D7}"/>
    <cellStyle name="20% - Accent2 3 3 3 5" xfId="14257" xr:uid="{7E8BFF96-0B07-48D6-AA18-B5DC1FA20FC2}"/>
    <cellStyle name="20% - Accent2 3 3 4" xfId="9288" xr:uid="{FCD70616-ECAD-4A0B-889F-4698E1AD889E}"/>
    <cellStyle name="20% - Accent2 3 3 4 2" xfId="18604" xr:uid="{F66D6C6F-B77A-4397-AC12-F479B9C2B640}"/>
    <cellStyle name="20% - Accent2 3 3 5" xfId="19340" xr:uid="{7F2EE81B-A3BC-458C-9A2A-325DA5C3D26E}"/>
    <cellStyle name="20% - Accent2 3 3 6" xfId="27787" xr:uid="{24CD8872-8D4D-4D25-AA26-F8AEDA80F7A6}"/>
    <cellStyle name="20% - Accent2 3 3 7" xfId="36234" xr:uid="{1CC06A3C-D526-4A4C-8159-CBCD99E66DB9}"/>
    <cellStyle name="20% - Accent2 3 3 8" xfId="10040" xr:uid="{51DBC0E0-895A-4EE0-821B-2FA181AC8849}"/>
    <cellStyle name="20% - Accent2 3 4" xfId="1036" xr:uid="{00000000-0005-0000-0000-00000B010000}"/>
    <cellStyle name="20% - Accent2 3 4 2" xfId="3267" xr:uid="{00000000-0005-0000-0000-00000C010000}"/>
    <cellStyle name="20% - Accent2 3 4 2 2" xfId="7489" xr:uid="{00000000-0005-0000-0000-00000D010000}"/>
    <cellStyle name="20% - Accent2 3 4 2 2 2" xfId="26115" xr:uid="{5CC95400-93D3-4635-B9F1-39A29C26BBCC}"/>
    <cellStyle name="20% - Accent2 3 4 2 2 3" xfId="34562" xr:uid="{59F3352A-1325-4AB7-BE8E-2A2E3A586A81}"/>
    <cellStyle name="20% - Accent2 3 4 2 2 4" xfId="43009" xr:uid="{2C7C20EF-B60E-4CCD-9E9B-F18294212A40}"/>
    <cellStyle name="20% - Accent2 3 4 2 2 5" xfId="16815" xr:uid="{EEFAA82B-3607-4A0F-B850-886D78BD2EAE}"/>
    <cellStyle name="20% - Accent2 3 4 2 3" xfId="21898" xr:uid="{4CC73D9E-2F20-492F-84DF-59BF308D4A70}"/>
    <cellStyle name="20% - Accent2 3 4 2 4" xfId="30345" xr:uid="{FD0960FC-538A-4829-A53E-9BF27DD84937}"/>
    <cellStyle name="20% - Accent2 3 4 2 5" xfId="38792" xr:uid="{EC97C2F1-5FB3-45F1-9309-078EFAFEBAFB}"/>
    <cellStyle name="20% - Accent2 3 4 2 6" xfId="12598" xr:uid="{AABAC7AA-F976-4236-80E0-221FC706019B}"/>
    <cellStyle name="20% - Accent2 3 4 3" xfId="5344" xr:uid="{00000000-0005-0000-0000-00000E010000}"/>
    <cellStyle name="20% - Accent2 3 4 3 2" xfId="23970" xr:uid="{EF1ED07A-42E9-4C21-83B4-845F967CC045}"/>
    <cellStyle name="20% - Accent2 3 4 3 3" xfId="32417" xr:uid="{0825C563-26C9-486B-B11F-B90999192C02}"/>
    <cellStyle name="20% - Accent2 3 4 3 4" xfId="40864" xr:uid="{349828B3-3527-4AF1-BC95-103F34DF4DDC}"/>
    <cellStyle name="20% - Accent2 3 4 3 5" xfId="14670" xr:uid="{C03073F0-31E1-41C7-8865-0CD53867E8C6}"/>
    <cellStyle name="20% - Accent2 3 4 4" xfId="19753" xr:uid="{EC99D57C-5430-400A-8742-6413F77A2535}"/>
    <cellStyle name="20% - Accent2 3 4 5" xfId="28200" xr:uid="{3082AA10-2B3B-4295-AE4D-40180A3B17F3}"/>
    <cellStyle name="20% - Accent2 3 4 6" xfId="36647" xr:uid="{8650BAEB-D114-4943-808F-EB928263225A}"/>
    <cellStyle name="20% - Accent2 3 4 7" xfId="10453" xr:uid="{A73A0499-D364-4579-BDE0-3A0CCF5F6807}"/>
    <cellStyle name="20% - Accent2 3 5" xfId="1450" xr:uid="{00000000-0005-0000-0000-00000F010000}"/>
    <cellStyle name="20% - Accent2 3 5 2" xfId="3680" xr:uid="{00000000-0005-0000-0000-000010010000}"/>
    <cellStyle name="20% - Accent2 3 5 2 2" xfId="7902" xr:uid="{00000000-0005-0000-0000-000011010000}"/>
    <cellStyle name="20% - Accent2 3 5 2 2 2" xfId="26528" xr:uid="{16A14F83-A65E-4DD5-A7E2-11DB4FEC0978}"/>
    <cellStyle name="20% - Accent2 3 5 2 2 3" xfId="34975" xr:uid="{14E5A644-A4DF-44B2-B4BF-2FE80FE0C4C4}"/>
    <cellStyle name="20% - Accent2 3 5 2 2 4" xfId="43422" xr:uid="{D44CC7B9-FBC4-48A2-BC71-9AB16C93881A}"/>
    <cellStyle name="20% - Accent2 3 5 2 2 5" xfId="17228" xr:uid="{8F960583-8C1F-45E8-9760-1A9994736DFE}"/>
    <cellStyle name="20% - Accent2 3 5 2 3" xfId="22311" xr:uid="{5ED06CA0-725E-436E-9497-9DD0FFA8249A}"/>
    <cellStyle name="20% - Accent2 3 5 2 4" xfId="30758" xr:uid="{3B21B40E-6D89-4A96-8C15-F88D14483C18}"/>
    <cellStyle name="20% - Accent2 3 5 2 5" xfId="39205" xr:uid="{F60987D1-A4BD-4AA3-A747-F3A43A46516A}"/>
    <cellStyle name="20% - Accent2 3 5 2 6" xfId="13011" xr:uid="{43300822-BCB7-4524-BC06-0C1AB8B45DF8}"/>
    <cellStyle name="20% - Accent2 3 5 3" xfId="5757" xr:uid="{00000000-0005-0000-0000-000012010000}"/>
    <cellStyle name="20% - Accent2 3 5 3 2" xfId="24383" xr:uid="{C4CE9356-EA45-46E5-814A-D9707E867165}"/>
    <cellStyle name="20% - Accent2 3 5 3 3" xfId="32830" xr:uid="{8C2DC03D-1D67-4FC4-8EA5-D487637BEDC9}"/>
    <cellStyle name="20% - Accent2 3 5 3 4" xfId="41277" xr:uid="{06CB60E4-8F2B-4DE6-8341-FD8FA0D5A8DF}"/>
    <cellStyle name="20% - Accent2 3 5 3 5" xfId="15083" xr:uid="{57A31110-C9F5-434C-8760-525819549C59}"/>
    <cellStyle name="20% - Accent2 3 5 4" xfId="20166" xr:uid="{964733FF-4EDF-40F0-9E82-B1BE5A519A31}"/>
    <cellStyle name="20% - Accent2 3 5 5" xfId="28613" xr:uid="{598DE101-27A8-46C3-BFCD-D45895D9D4E2}"/>
    <cellStyle name="20% - Accent2 3 5 6" xfId="37060" xr:uid="{2D41EE0A-0127-4A4F-BAF4-C07E3B091B69}"/>
    <cellStyle name="20% - Accent2 3 5 7" xfId="10866" xr:uid="{D1E8E978-588E-4C44-B54A-2A7DD8B9D722}"/>
    <cellStyle name="20% - Accent2 3 6" xfId="1864" xr:uid="{00000000-0005-0000-0000-000013010000}"/>
    <cellStyle name="20% - Accent2 3 6 2" xfId="4093" xr:uid="{00000000-0005-0000-0000-000014010000}"/>
    <cellStyle name="20% - Accent2 3 6 2 2" xfId="8315" xr:uid="{00000000-0005-0000-0000-000015010000}"/>
    <cellStyle name="20% - Accent2 3 6 2 2 2" xfId="26941" xr:uid="{3C1061A4-A829-4D66-936B-97C02A1706DA}"/>
    <cellStyle name="20% - Accent2 3 6 2 2 3" xfId="35388" xr:uid="{BCD03E44-F34A-4D21-ACFA-45D953372B9A}"/>
    <cellStyle name="20% - Accent2 3 6 2 2 4" xfId="43835" xr:uid="{3728EAC7-0564-46A9-91EF-063E14028C9D}"/>
    <cellStyle name="20% - Accent2 3 6 2 2 5" xfId="17641" xr:uid="{E9B42A69-6EE7-4A4F-A075-E9BE86F8E020}"/>
    <cellStyle name="20% - Accent2 3 6 2 3" xfId="22724" xr:uid="{A44B891D-B35B-4F5A-9BBD-5E24E8D19116}"/>
    <cellStyle name="20% - Accent2 3 6 2 4" xfId="31171" xr:uid="{21B117E2-FF0A-42FB-9A4D-DC2AEBA7244E}"/>
    <cellStyle name="20% - Accent2 3 6 2 5" xfId="39618" xr:uid="{BFFAE5A6-0A14-4599-A49F-4EFF950E00B5}"/>
    <cellStyle name="20% - Accent2 3 6 2 6" xfId="13424" xr:uid="{B9330848-8AC1-4F85-8A16-99B89820324F}"/>
    <cellStyle name="20% - Accent2 3 6 3" xfId="6170" xr:uid="{00000000-0005-0000-0000-000016010000}"/>
    <cellStyle name="20% - Accent2 3 6 3 2" xfId="24796" xr:uid="{C677EEA9-924B-4B41-BA5E-18671073E2DD}"/>
    <cellStyle name="20% - Accent2 3 6 3 3" xfId="33243" xr:uid="{48398BE3-4367-472D-A937-5E6CB2AE40D1}"/>
    <cellStyle name="20% - Accent2 3 6 3 4" xfId="41690" xr:uid="{F25348D7-4AF5-4FF8-9006-EDE205BE72DA}"/>
    <cellStyle name="20% - Accent2 3 6 3 5" xfId="15496" xr:uid="{BD6733E1-DFE4-4AD9-8AE2-BF195A17C79C}"/>
    <cellStyle name="20% - Accent2 3 6 4" xfId="20579" xr:uid="{C32182BC-7F17-4CF4-817F-E26255F2AD1E}"/>
    <cellStyle name="20% - Accent2 3 6 5" xfId="29026" xr:uid="{94B73836-2D00-48BB-9DFC-A246AB4253C9}"/>
    <cellStyle name="20% - Accent2 3 6 6" xfId="37473" xr:uid="{A1C7F5B0-6AC7-48A7-A0A2-7DD36A903CA0}"/>
    <cellStyle name="20% - Accent2 3 6 7" xfId="11279" xr:uid="{8E00A5F1-2EC6-41DD-A862-DD3514148A0E}"/>
    <cellStyle name="20% - Accent2 3 7" xfId="2277" xr:uid="{00000000-0005-0000-0000-000017010000}"/>
    <cellStyle name="20% - Accent2 3 7 2" xfId="6583" xr:uid="{00000000-0005-0000-0000-000018010000}"/>
    <cellStyle name="20% - Accent2 3 7 2 2" xfId="25209" xr:uid="{2B483817-34C3-476C-B47A-AFE799EDF691}"/>
    <cellStyle name="20% - Accent2 3 7 2 3" xfId="33656" xr:uid="{E5AE3F13-F469-4BC7-AFA4-5311A3C04CEA}"/>
    <cellStyle name="20% - Accent2 3 7 2 4" xfId="42103" xr:uid="{46F9DFB4-FD3A-47AB-AFC7-505FD71BB692}"/>
    <cellStyle name="20% - Accent2 3 7 2 5" xfId="15909" xr:uid="{7D514073-15A0-479E-A1FF-3142DFD640C8}"/>
    <cellStyle name="20% - Accent2 3 7 3" xfId="20992" xr:uid="{13D207D2-F673-43CD-9BC6-3F279FBBEE2F}"/>
    <cellStyle name="20% - Accent2 3 7 4" xfId="29439" xr:uid="{EE1E4CA3-9BFC-4864-AD72-67D348516757}"/>
    <cellStyle name="20% - Accent2 3 7 5" xfId="37886" xr:uid="{4BA0007A-2A48-40CB-B893-133165231A4A}"/>
    <cellStyle name="20% - Accent2 3 7 6" xfId="11692" xr:uid="{4D7F2176-2D52-44B3-9358-751DB65C7FEC}"/>
    <cellStyle name="20% - Accent2 3 8" xfId="4517" xr:uid="{00000000-0005-0000-0000-000019010000}"/>
    <cellStyle name="20% - Accent2 3 8 2" xfId="23143" xr:uid="{916A7F43-AC3C-4132-ABA4-498D8E854D17}"/>
    <cellStyle name="20% - Accent2 3 8 3" xfId="31590" xr:uid="{793CE108-BAE4-4BEB-9376-F7E8B56B01AE}"/>
    <cellStyle name="20% - Accent2 3 8 4" xfId="40037" xr:uid="{51ECFE8E-A030-4D2A-BBB1-6F98B3822C6E}"/>
    <cellStyle name="20% - Accent2 3 8 5" xfId="13843" xr:uid="{AE7A4639-29B8-4E22-B06E-A904C6D0FC73}"/>
    <cellStyle name="20% - Accent2 3 9" xfId="8863" xr:uid="{C6A258FB-33DC-4171-B9DD-C29513CA80FD}"/>
    <cellStyle name="20% - Accent2 3 9 2" xfId="18187" xr:uid="{99D8565D-175B-41DF-AA22-7031BBB2241A}"/>
    <cellStyle name="20% - Accent2 4" xfId="16" xr:uid="{00000000-0005-0000-0000-00001A010000}"/>
    <cellStyle name="20% - Accent2 4 10" xfId="27375" xr:uid="{411F8681-1208-4F1A-AA64-86CE79085B45}"/>
    <cellStyle name="20% - Accent2 4 11" xfId="35822" xr:uid="{9CAC9BAF-9FA9-49F7-B276-8026CF346BB6}"/>
    <cellStyle name="20% - Accent2 4 12" xfId="9628" xr:uid="{543AEC02-5298-4716-84C0-2E992E569432}"/>
    <cellStyle name="20% - Accent2 4 2" xfId="585" xr:uid="{00000000-0005-0000-0000-00001B010000}"/>
    <cellStyle name="20% - Accent2 4 2 2" xfId="2856" xr:uid="{00000000-0005-0000-0000-00001C010000}"/>
    <cellStyle name="20% - Accent2 4 2 2 2" xfId="7078" xr:uid="{00000000-0005-0000-0000-00001D010000}"/>
    <cellStyle name="20% - Accent2 4 2 2 2 2" xfId="25704" xr:uid="{FC949AC2-01FC-43FB-8191-0C199AD579BF}"/>
    <cellStyle name="20% - Accent2 4 2 2 2 3" xfId="34151" xr:uid="{F1993EB0-9EC0-410C-A6E3-29A3EAD9D12E}"/>
    <cellStyle name="20% - Accent2 4 2 2 2 4" xfId="42598" xr:uid="{B2D27F14-93F5-4CC6-B1DE-08CE35CECFA5}"/>
    <cellStyle name="20% - Accent2 4 2 2 2 5" xfId="16404" xr:uid="{729F7326-C2C4-4207-82FC-3DBCC3FE2A27}"/>
    <cellStyle name="20% - Accent2 4 2 2 3" xfId="21487" xr:uid="{6D8F6C77-7A25-4EF8-B314-6CCD1A3066B6}"/>
    <cellStyle name="20% - Accent2 4 2 2 4" xfId="29934" xr:uid="{0AB085A9-707E-4EC8-980D-DB50E10A96E6}"/>
    <cellStyle name="20% - Accent2 4 2 2 5" xfId="38381" xr:uid="{4D1A75F9-9C51-4873-A4D0-A4DF1351E4D6}"/>
    <cellStyle name="20% - Accent2 4 2 2 6" xfId="12187" xr:uid="{F16D575B-4056-4140-B1E6-9D8F18D13DFA}"/>
    <cellStyle name="20% - Accent2 4 2 3" xfId="4933" xr:uid="{00000000-0005-0000-0000-00001E010000}"/>
    <cellStyle name="20% - Accent2 4 2 3 2" xfId="23559" xr:uid="{47625D7B-C6E7-4917-82C2-06927B1C6D94}"/>
    <cellStyle name="20% - Accent2 4 2 3 3" xfId="32006" xr:uid="{D58A8D1C-325D-4C2F-8749-6E29CC32BA07}"/>
    <cellStyle name="20% - Accent2 4 2 3 4" xfId="40453" xr:uid="{D11F670B-6124-49A8-94A8-6C2044BE099D}"/>
    <cellStyle name="20% - Accent2 4 2 3 5" xfId="14259" xr:uid="{469531A4-15D3-4FF2-BC56-8D0ECB9EE9FA}"/>
    <cellStyle name="20% - Accent2 4 2 4" xfId="9374" xr:uid="{26FD7A0E-8D04-4AF7-B092-2B22A78F0A97}"/>
    <cellStyle name="20% - Accent2 4 2 4 2" xfId="18690" xr:uid="{1A8E0AB9-8979-4398-A829-0C4C0DFABDD0}"/>
    <cellStyle name="20% - Accent2 4 2 5" xfId="19342" xr:uid="{B56B4BE2-6824-4F46-9F09-8A2418C7436E}"/>
    <cellStyle name="20% - Accent2 4 2 6" xfId="27789" xr:uid="{DA5204EC-32A2-4171-9E81-2D267BBD749B}"/>
    <cellStyle name="20% - Accent2 4 2 7" xfId="36236" xr:uid="{CE55CD75-8A48-4C0D-B569-9577ABB634FB}"/>
    <cellStyle name="20% - Accent2 4 2 8" xfId="10042" xr:uid="{6504FF48-28DA-41AB-8A57-3016E2474F17}"/>
    <cellStyle name="20% - Accent2 4 3" xfId="1038" xr:uid="{00000000-0005-0000-0000-00001F010000}"/>
    <cellStyle name="20% - Accent2 4 3 2" xfId="3269" xr:uid="{00000000-0005-0000-0000-000020010000}"/>
    <cellStyle name="20% - Accent2 4 3 2 2" xfId="7491" xr:uid="{00000000-0005-0000-0000-000021010000}"/>
    <cellStyle name="20% - Accent2 4 3 2 2 2" xfId="26117" xr:uid="{5775D5CC-F1D1-4613-96BC-803C5F72218C}"/>
    <cellStyle name="20% - Accent2 4 3 2 2 3" xfId="34564" xr:uid="{217C0669-08FB-40A2-93BD-2CEA239ACCB3}"/>
    <cellStyle name="20% - Accent2 4 3 2 2 4" xfId="43011" xr:uid="{E911CEA6-4526-443B-803C-47045C9E17BE}"/>
    <cellStyle name="20% - Accent2 4 3 2 2 5" xfId="16817" xr:uid="{1B5B1F52-9AE6-48CF-93CE-3138A99A9A0D}"/>
    <cellStyle name="20% - Accent2 4 3 2 3" xfId="21900" xr:uid="{9A02D303-EF06-492A-8BA9-AFE0923EE46D}"/>
    <cellStyle name="20% - Accent2 4 3 2 4" xfId="30347" xr:uid="{2AA36C0E-B9E2-4D62-A5E0-4F62513F1C5F}"/>
    <cellStyle name="20% - Accent2 4 3 2 5" xfId="38794" xr:uid="{3C7CA27C-0043-4D3B-B385-4DD87E2FE249}"/>
    <cellStyle name="20% - Accent2 4 3 2 6" xfId="12600" xr:uid="{5A721530-799B-460C-860D-EB196729F52F}"/>
    <cellStyle name="20% - Accent2 4 3 3" xfId="5346" xr:uid="{00000000-0005-0000-0000-000022010000}"/>
    <cellStyle name="20% - Accent2 4 3 3 2" xfId="23972" xr:uid="{095FC241-D511-4814-9002-6BAD41A00224}"/>
    <cellStyle name="20% - Accent2 4 3 3 3" xfId="32419" xr:uid="{46470FBE-EE16-47D3-BE99-1BBD1E8DB383}"/>
    <cellStyle name="20% - Accent2 4 3 3 4" xfId="40866" xr:uid="{2879B42D-A70D-4D6D-91E4-DFF10C30D10C}"/>
    <cellStyle name="20% - Accent2 4 3 3 5" xfId="14672" xr:uid="{B97F4D6E-26ED-4551-A5F6-CE2DFA46C2FF}"/>
    <cellStyle name="20% - Accent2 4 3 4" xfId="19755" xr:uid="{D3E95F3B-B097-4A66-9F6E-B2D8A0D0453F}"/>
    <cellStyle name="20% - Accent2 4 3 5" xfId="28202" xr:uid="{26D8BF9E-4B1B-4201-8076-659F51D8B822}"/>
    <cellStyle name="20% - Accent2 4 3 6" xfId="36649" xr:uid="{147524B0-11A1-40E3-93C2-5510966ACDA2}"/>
    <cellStyle name="20% - Accent2 4 3 7" xfId="10455" xr:uid="{7E1CAF27-EFB5-4466-9876-3D06B7A0274B}"/>
    <cellStyle name="20% - Accent2 4 4" xfId="1452" xr:uid="{00000000-0005-0000-0000-000023010000}"/>
    <cellStyle name="20% - Accent2 4 4 2" xfId="3682" xr:uid="{00000000-0005-0000-0000-000024010000}"/>
    <cellStyle name="20% - Accent2 4 4 2 2" xfId="7904" xr:uid="{00000000-0005-0000-0000-000025010000}"/>
    <cellStyle name="20% - Accent2 4 4 2 2 2" xfId="26530" xr:uid="{E83577B0-6304-464C-ACEF-F96BE0CC9814}"/>
    <cellStyle name="20% - Accent2 4 4 2 2 3" xfId="34977" xr:uid="{FC39F2EC-9FE7-4F10-B715-23A9D0B0BCDE}"/>
    <cellStyle name="20% - Accent2 4 4 2 2 4" xfId="43424" xr:uid="{976F6C9E-25BB-48E0-903B-BB351C972FD4}"/>
    <cellStyle name="20% - Accent2 4 4 2 2 5" xfId="17230" xr:uid="{747E7B78-C3CB-4E03-AF2D-C634BE2F3A01}"/>
    <cellStyle name="20% - Accent2 4 4 2 3" xfId="22313" xr:uid="{5A58724A-D4CC-4270-9DC6-0966EB5AAE06}"/>
    <cellStyle name="20% - Accent2 4 4 2 4" xfId="30760" xr:uid="{867736E2-72A4-47D2-8C7B-2D295469E25A}"/>
    <cellStyle name="20% - Accent2 4 4 2 5" xfId="39207" xr:uid="{41361FB2-3D3B-4F46-A553-6B8C88299B2B}"/>
    <cellStyle name="20% - Accent2 4 4 2 6" xfId="13013" xr:uid="{A7B9F15C-DF2E-4E4D-B6E2-A95BF31B8BCA}"/>
    <cellStyle name="20% - Accent2 4 4 3" xfId="5759" xr:uid="{00000000-0005-0000-0000-000026010000}"/>
    <cellStyle name="20% - Accent2 4 4 3 2" xfId="24385" xr:uid="{2B9188C2-165D-4F1B-9FA8-CF574CFF17F6}"/>
    <cellStyle name="20% - Accent2 4 4 3 3" xfId="32832" xr:uid="{29104715-5591-46EE-9491-5FB21437007F}"/>
    <cellStyle name="20% - Accent2 4 4 3 4" xfId="41279" xr:uid="{AF0BA4A6-A0E6-4E26-8A76-33C7230B9155}"/>
    <cellStyle name="20% - Accent2 4 4 3 5" xfId="15085" xr:uid="{EB860189-A705-4BC0-AACF-D7901B92A756}"/>
    <cellStyle name="20% - Accent2 4 4 4" xfId="20168" xr:uid="{F075BF1D-963E-4059-8D2E-E4EBC23A9646}"/>
    <cellStyle name="20% - Accent2 4 4 5" xfId="28615" xr:uid="{789081AA-C8A4-4FC1-B447-FCDE1D265CFD}"/>
    <cellStyle name="20% - Accent2 4 4 6" xfId="37062" xr:uid="{1CC7A0A4-1EF2-4C24-923E-2CC495EAE5B2}"/>
    <cellStyle name="20% - Accent2 4 4 7" xfId="10868" xr:uid="{1D6E9631-0D64-49A5-8280-62458DC7A86C}"/>
    <cellStyle name="20% - Accent2 4 5" xfId="1866" xr:uid="{00000000-0005-0000-0000-000027010000}"/>
    <cellStyle name="20% - Accent2 4 5 2" xfId="4095" xr:uid="{00000000-0005-0000-0000-000028010000}"/>
    <cellStyle name="20% - Accent2 4 5 2 2" xfId="8317" xr:uid="{00000000-0005-0000-0000-000029010000}"/>
    <cellStyle name="20% - Accent2 4 5 2 2 2" xfId="26943" xr:uid="{14F4C692-AB9D-4B61-850E-E996369CD3F9}"/>
    <cellStyle name="20% - Accent2 4 5 2 2 3" xfId="35390" xr:uid="{4AD6F2AC-C243-41DC-8776-CA28FF803741}"/>
    <cellStyle name="20% - Accent2 4 5 2 2 4" xfId="43837" xr:uid="{32AAA8ED-CB87-4D53-93AB-DCBD08711829}"/>
    <cellStyle name="20% - Accent2 4 5 2 2 5" xfId="17643" xr:uid="{56DC92D3-BB3C-44BF-A888-F18D8EFC48E9}"/>
    <cellStyle name="20% - Accent2 4 5 2 3" xfId="22726" xr:uid="{15294931-9C7E-4EF4-9434-AE9F59BE52B7}"/>
    <cellStyle name="20% - Accent2 4 5 2 4" xfId="31173" xr:uid="{F7B744E4-CD8B-4E6D-95A5-E13F2B12DA18}"/>
    <cellStyle name="20% - Accent2 4 5 2 5" xfId="39620" xr:uid="{071A5240-7787-4D51-B6E2-60DD55FAC803}"/>
    <cellStyle name="20% - Accent2 4 5 2 6" xfId="13426" xr:uid="{290CC4A4-D634-4DE8-A564-1094995B7DD5}"/>
    <cellStyle name="20% - Accent2 4 5 3" xfId="6172" xr:uid="{00000000-0005-0000-0000-00002A010000}"/>
    <cellStyle name="20% - Accent2 4 5 3 2" xfId="24798" xr:uid="{03408F1F-58A2-4C1F-B836-E76E93F64F97}"/>
    <cellStyle name="20% - Accent2 4 5 3 3" xfId="33245" xr:uid="{7EBCB1C3-D027-4582-B93E-637430069D89}"/>
    <cellStyle name="20% - Accent2 4 5 3 4" xfId="41692" xr:uid="{4BB31DEB-2126-4A07-A763-EFEC1E3F36FE}"/>
    <cellStyle name="20% - Accent2 4 5 3 5" xfId="15498" xr:uid="{46F7398F-3DCD-4A50-B703-570893E2F20D}"/>
    <cellStyle name="20% - Accent2 4 5 4" xfId="20581" xr:uid="{00AC1E0F-1D9C-41A7-8457-40EF9E4745D4}"/>
    <cellStyle name="20% - Accent2 4 5 5" xfId="29028" xr:uid="{F100D1D6-BFDD-4720-BCA2-0865E7B46196}"/>
    <cellStyle name="20% - Accent2 4 5 6" xfId="37475" xr:uid="{E144691F-94AE-4AB6-B22F-C6F6C85B0155}"/>
    <cellStyle name="20% - Accent2 4 5 7" xfId="11281" xr:uid="{B0A55768-69E7-4F0A-B2A0-D85AFA87F0CA}"/>
    <cellStyle name="20% - Accent2 4 6" xfId="2279" xr:uid="{00000000-0005-0000-0000-00002B010000}"/>
    <cellStyle name="20% - Accent2 4 6 2" xfId="6585" xr:uid="{00000000-0005-0000-0000-00002C010000}"/>
    <cellStyle name="20% - Accent2 4 6 2 2" xfId="25211" xr:uid="{F74F1ECF-2DD4-492F-A360-784CF44860EC}"/>
    <cellStyle name="20% - Accent2 4 6 2 3" xfId="33658" xr:uid="{32F4C244-B891-47E4-9DD5-7F5ED246C89F}"/>
    <cellStyle name="20% - Accent2 4 6 2 4" xfId="42105" xr:uid="{FD4E3CD3-34F8-4654-B930-79A80569C93D}"/>
    <cellStyle name="20% - Accent2 4 6 2 5" xfId="15911" xr:uid="{EDC94C22-6CAC-469E-B964-C08EE7F31885}"/>
    <cellStyle name="20% - Accent2 4 6 3" xfId="20994" xr:uid="{3787AF55-1BC9-410B-84EF-5027148129B9}"/>
    <cellStyle name="20% - Accent2 4 6 4" xfId="29441" xr:uid="{3954A099-E73F-44F2-BFDC-93E48809608F}"/>
    <cellStyle name="20% - Accent2 4 6 5" xfId="37888" xr:uid="{36C430BD-3FC2-4538-9B1F-626F0369A013}"/>
    <cellStyle name="20% - Accent2 4 6 6" xfId="11694" xr:uid="{9FC92100-69CC-4848-8496-B37730869C54}"/>
    <cellStyle name="20% - Accent2 4 7" xfId="4519" xr:uid="{00000000-0005-0000-0000-00002D010000}"/>
    <cellStyle name="20% - Accent2 4 7 2" xfId="23145" xr:uid="{C21F6E04-6245-4542-89CB-D5D62198449D}"/>
    <cellStyle name="20% - Accent2 4 7 3" xfId="31592" xr:uid="{2A405565-A988-4098-9844-4564B51889AE}"/>
    <cellStyle name="20% - Accent2 4 7 4" xfId="40039" xr:uid="{8F1C1944-F492-44B1-A948-396FE1B0C66D}"/>
    <cellStyle name="20% - Accent2 4 7 5" xfId="13845" xr:uid="{C66A7517-A982-4456-A209-65A1E2681543}"/>
    <cellStyle name="20% - Accent2 4 8" xfId="8949" xr:uid="{084C22A9-B904-4AFE-A752-AC1DC2CA76B8}"/>
    <cellStyle name="20% - Accent2 4 8 2" xfId="18273" xr:uid="{050F2397-15CD-4AA8-A2E2-527004C1CE43}"/>
    <cellStyle name="20% - Accent2 4 9" xfId="18928" xr:uid="{4725C678-8FD1-4C08-9D60-F2C377D79C56}"/>
    <cellStyle name="20% - Accent2 5" xfId="578" xr:uid="{00000000-0005-0000-0000-00002E010000}"/>
    <cellStyle name="20% - Accent2 5 2" xfId="2849" xr:uid="{00000000-0005-0000-0000-00002F010000}"/>
    <cellStyle name="20% - Accent2 5 2 2" xfId="7071" xr:uid="{00000000-0005-0000-0000-000030010000}"/>
    <cellStyle name="20% - Accent2 5 2 2 2" xfId="25697" xr:uid="{7D5965D8-A733-439B-89B4-B87DF28DF1A7}"/>
    <cellStyle name="20% - Accent2 5 2 2 3" xfId="34144" xr:uid="{0F225626-3AC5-4A08-873F-BB6344A8CF87}"/>
    <cellStyle name="20% - Accent2 5 2 2 4" xfId="42591" xr:uid="{BC022A54-B134-4FEE-9048-084A74B4C908}"/>
    <cellStyle name="20% - Accent2 5 2 2 5" xfId="16397" xr:uid="{7976A475-7A9B-4436-B403-E74BA825435A}"/>
    <cellStyle name="20% - Accent2 5 2 3" xfId="21480" xr:uid="{510175FE-9580-4CF2-82E3-1EA573103144}"/>
    <cellStyle name="20% - Accent2 5 2 4" xfId="29927" xr:uid="{0C248DAB-97A2-445C-8BF7-7ED52CB2F0A7}"/>
    <cellStyle name="20% - Accent2 5 2 5" xfId="38374" xr:uid="{2A6FCA11-FEC1-4A5A-92F3-F0DFA29130FD}"/>
    <cellStyle name="20% - Accent2 5 2 6" xfId="12180" xr:uid="{1973CABD-3E54-4B0A-BA16-133C4CA894B8}"/>
    <cellStyle name="20% - Accent2 5 3" xfId="4926" xr:uid="{00000000-0005-0000-0000-000031010000}"/>
    <cellStyle name="20% - Accent2 5 3 2" xfId="23552" xr:uid="{CB326F1C-9947-4E66-881F-6B820CAB37DC}"/>
    <cellStyle name="20% - Accent2 5 3 3" xfId="31999" xr:uid="{9F28CFF4-4971-402E-B9C9-BBFCE73E2D70}"/>
    <cellStyle name="20% - Accent2 5 3 4" xfId="40446" xr:uid="{B9D92274-F818-4499-839A-A26697E7C42B}"/>
    <cellStyle name="20% - Accent2 5 3 5" xfId="14252" xr:uid="{8003E4A2-76E7-48C3-8308-C6D01D4697D5}"/>
    <cellStyle name="20% - Accent2 5 4" xfId="9182" xr:uid="{F822E263-B2A4-41B5-BBF9-FCE1A7A30601}"/>
    <cellStyle name="20% - Accent2 5 4 2" xfId="18501" xr:uid="{90B28559-6EA1-4E7D-BF4F-A59B0F967AFF}"/>
    <cellStyle name="20% - Accent2 5 5" xfId="19335" xr:uid="{AD59A0BD-6B16-4800-91C2-283363A84C24}"/>
    <cellStyle name="20% - Accent2 5 6" xfId="27782" xr:uid="{66F4957D-20EA-4D0F-9926-296D870683C8}"/>
    <cellStyle name="20% - Accent2 5 7" xfId="36229" xr:uid="{4589B6A5-ACC2-4A83-AEBD-2937A5FB9899}"/>
    <cellStyle name="20% - Accent2 5 8" xfId="10035" xr:uid="{96DEDD72-2D1C-44D5-AF21-B67AC7529D15}"/>
    <cellStyle name="20% - Accent2 6" xfId="1031" xr:uid="{00000000-0005-0000-0000-000032010000}"/>
    <cellStyle name="20% - Accent2 6 2" xfId="3262" xr:uid="{00000000-0005-0000-0000-000033010000}"/>
    <cellStyle name="20% - Accent2 6 2 2" xfId="7484" xr:uid="{00000000-0005-0000-0000-000034010000}"/>
    <cellStyle name="20% - Accent2 6 2 2 2" xfId="26110" xr:uid="{19A0703A-DD44-4E50-80DF-8075CE12DE7F}"/>
    <cellStyle name="20% - Accent2 6 2 2 3" xfId="34557" xr:uid="{750F22AD-F229-455D-8234-0105DD6F632D}"/>
    <cellStyle name="20% - Accent2 6 2 2 4" xfId="43004" xr:uid="{AE648023-8606-432F-8BD3-6F2047DA2837}"/>
    <cellStyle name="20% - Accent2 6 2 2 5" xfId="16810" xr:uid="{403DA213-5365-404D-BC81-B5F920F4B055}"/>
    <cellStyle name="20% - Accent2 6 2 3" xfId="21893" xr:uid="{450438BB-EED3-4C2B-B3E5-DD5055C45EA9}"/>
    <cellStyle name="20% - Accent2 6 2 4" xfId="30340" xr:uid="{73125871-2C8C-4E30-91B4-2DC78FE81F56}"/>
    <cellStyle name="20% - Accent2 6 2 5" xfId="38787" xr:uid="{6F2E26A9-427F-4F1C-BB05-5C213B50D174}"/>
    <cellStyle name="20% - Accent2 6 2 6" xfId="12593" xr:uid="{DDF07635-38B6-48C8-8D48-78A7AEC93081}"/>
    <cellStyle name="20% - Accent2 6 3" xfId="5339" xr:uid="{00000000-0005-0000-0000-000035010000}"/>
    <cellStyle name="20% - Accent2 6 3 2" xfId="23965" xr:uid="{1F1730FA-650C-4116-8A53-7882F12D5091}"/>
    <cellStyle name="20% - Accent2 6 3 3" xfId="32412" xr:uid="{3A1E9A1E-F0A2-49A2-A01C-470981E6475B}"/>
    <cellStyle name="20% - Accent2 6 3 4" xfId="40859" xr:uid="{B6DAA126-83D0-4751-9CA4-52226CD26191}"/>
    <cellStyle name="20% - Accent2 6 3 5" xfId="14665" xr:uid="{F493325D-4563-4387-9E3E-049CA5076053}"/>
    <cellStyle name="20% - Accent2 6 4" xfId="19748" xr:uid="{D248F712-A7F4-4CB1-8C57-7E3D329EBD14}"/>
    <cellStyle name="20% - Accent2 6 5" xfId="28195" xr:uid="{F8D93EE5-1BB8-4864-87A6-24C543421BBD}"/>
    <cellStyle name="20% - Accent2 6 6" xfId="36642" xr:uid="{E2512140-4127-474E-90B7-494F3C03E8C4}"/>
    <cellStyle name="20% - Accent2 6 7" xfId="10448" xr:uid="{D142F4CB-9536-49D7-AD35-FDF6657ED453}"/>
    <cellStyle name="20% - Accent2 7" xfId="1445" xr:uid="{00000000-0005-0000-0000-000036010000}"/>
    <cellStyle name="20% - Accent2 7 2" xfId="3675" xr:uid="{00000000-0005-0000-0000-000037010000}"/>
    <cellStyle name="20% - Accent2 7 2 2" xfId="7897" xr:uid="{00000000-0005-0000-0000-000038010000}"/>
    <cellStyle name="20% - Accent2 7 2 2 2" xfId="26523" xr:uid="{E5212398-1546-4B0E-9F29-506EEA26B877}"/>
    <cellStyle name="20% - Accent2 7 2 2 3" xfId="34970" xr:uid="{805BBEBD-23C2-442E-B3CE-7B8308DEE8E3}"/>
    <cellStyle name="20% - Accent2 7 2 2 4" xfId="43417" xr:uid="{E8B61774-D654-4C3F-9752-E21F7B3CB5C7}"/>
    <cellStyle name="20% - Accent2 7 2 2 5" xfId="17223" xr:uid="{47996E18-5030-4D11-BDDE-6F9CAA56907A}"/>
    <cellStyle name="20% - Accent2 7 2 3" xfId="22306" xr:uid="{40ECED9E-1BD4-42C9-B37D-AC8010C0B219}"/>
    <cellStyle name="20% - Accent2 7 2 4" xfId="30753" xr:uid="{FD75F45E-AFD6-48BA-869F-BAF165B065BA}"/>
    <cellStyle name="20% - Accent2 7 2 5" xfId="39200" xr:uid="{021A60CC-E813-4DE8-906F-3588B7A22944}"/>
    <cellStyle name="20% - Accent2 7 2 6" xfId="13006" xr:uid="{81DADA40-DCC2-445B-A96B-369C2AD9ACF7}"/>
    <cellStyle name="20% - Accent2 7 3" xfId="5752" xr:uid="{00000000-0005-0000-0000-000039010000}"/>
    <cellStyle name="20% - Accent2 7 3 2" xfId="24378" xr:uid="{4647DA53-CE3C-4DAA-8858-EC784CAB7CC7}"/>
    <cellStyle name="20% - Accent2 7 3 3" xfId="32825" xr:uid="{0DDB1FDC-EAB5-4E0B-A50A-A74A3CE8D6BF}"/>
    <cellStyle name="20% - Accent2 7 3 4" xfId="41272" xr:uid="{76C0663B-56AE-42EE-B012-199AE452036A}"/>
    <cellStyle name="20% - Accent2 7 3 5" xfId="15078" xr:uid="{3165137D-9107-4D68-AD70-E5E2A7E74A62}"/>
    <cellStyle name="20% - Accent2 7 4" xfId="20161" xr:uid="{077BDE6B-36EA-4E72-9552-811FCCF83DD3}"/>
    <cellStyle name="20% - Accent2 7 5" xfId="28608" xr:uid="{033E04AF-79AB-4B5D-AE81-AF2A9F94BD3B}"/>
    <cellStyle name="20% - Accent2 7 6" xfId="37055" xr:uid="{6139A4FC-2745-42D8-9804-6217680BB984}"/>
    <cellStyle name="20% - Accent2 7 7" xfId="10861" xr:uid="{D909027D-1DDA-48BD-8C30-E252A2E2E92E}"/>
    <cellStyle name="20% - Accent2 8" xfId="1859" xr:uid="{00000000-0005-0000-0000-00003A010000}"/>
    <cellStyle name="20% - Accent2 8 2" xfId="4088" xr:uid="{00000000-0005-0000-0000-00003B010000}"/>
    <cellStyle name="20% - Accent2 8 2 2" xfId="8310" xr:uid="{00000000-0005-0000-0000-00003C010000}"/>
    <cellStyle name="20% - Accent2 8 2 2 2" xfId="26936" xr:uid="{A10DD265-C8FB-4E2E-8341-5977AC3DA7EF}"/>
    <cellStyle name="20% - Accent2 8 2 2 3" xfId="35383" xr:uid="{0D8FFD48-AF72-4BE8-9163-8B211537A080}"/>
    <cellStyle name="20% - Accent2 8 2 2 4" xfId="43830" xr:uid="{3789560A-F7E2-45CA-823F-EEB60BCABF2B}"/>
    <cellStyle name="20% - Accent2 8 2 2 5" xfId="17636" xr:uid="{6C4785AE-FB9D-44FD-B920-0A3BCEBB08BA}"/>
    <cellStyle name="20% - Accent2 8 2 3" xfId="22719" xr:uid="{D4ADEB3B-D687-44DE-9871-A8149F4B93A8}"/>
    <cellStyle name="20% - Accent2 8 2 4" xfId="31166" xr:uid="{DA20E456-5F02-4B2F-BFFA-9DBDF6370A41}"/>
    <cellStyle name="20% - Accent2 8 2 5" xfId="39613" xr:uid="{5A944B1A-8C5C-4768-971B-72A602764BE2}"/>
    <cellStyle name="20% - Accent2 8 2 6" xfId="13419" xr:uid="{5ACBF8E8-AB8B-4947-9A3C-BB483A95D41B}"/>
    <cellStyle name="20% - Accent2 8 3" xfId="6165" xr:uid="{00000000-0005-0000-0000-00003D010000}"/>
    <cellStyle name="20% - Accent2 8 3 2" xfId="24791" xr:uid="{A0934815-ECFD-4256-B393-DDADCA9D4254}"/>
    <cellStyle name="20% - Accent2 8 3 3" xfId="33238" xr:uid="{65D52782-6018-4135-924A-1125CE1312A8}"/>
    <cellStyle name="20% - Accent2 8 3 4" xfId="41685" xr:uid="{4CACADFC-71A7-47AB-8189-121FA2303796}"/>
    <cellStyle name="20% - Accent2 8 3 5" xfId="15491" xr:uid="{1A101FDD-CDFB-426E-A3D0-0E778C9ADC69}"/>
    <cellStyle name="20% - Accent2 8 4" xfId="20574" xr:uid="{A7D999B4-C02C-4F50-81B5-43D6D2A0E0F5}"/>
    <cellStyle name="20% - Accent2 8 5" xfId="29021" xr:uid="{E7E39F52-06D9-41D5-B37D-61F346BF62DC}"/>
    <cellStyle name="20% - Accent2 8 6" xfId="37468" xr:uid="{E0488F1E-BD6F-4AFA-BB0B-7FD66AC64B8F}"/>
    <cellStyle name="20% - Accent2 8 7" xfId="11274" xr:uid="{F21914A6-DEF0-433A-800B-86B065F55F9C}"/>
    <cellStyle name="20% - Accent2 9" xfId="2272" xr:uid="{00000000-0005-0000-0000-00003E010000}"/>
    <cellStyle name="20% - Accent2 9 2" xfId="6578" xr:uid="{00000000-0005-0000-0000-00003F010000}"/>
    <cellStyle name="20% - Accent2 9 2 2" xfId="25204" xr:uid="{67F74A81-CD2E-4F74-B417-074C86FC17CC}"/>
    <cellStyle name="20% - Accent2 9 2 3" xfId="33651" xr:uid="{6932CBB1-FEF3-4FE9-94A7-A295A773EC52}"/>
    <cellStyle name="20% - Accent2 9 2 4" xfId="42098" xr:uid="{4E81B3AE-AE7F-46A8-9313-EECF31CD333E}"/>
    <cellStyle name="20% - Accent2 9 2 5" xfId="15904" xr:uid="{9B6E6083-1CDF-48FB-862A-F7697C0C767F}"/>
    <cellStyle name="20% - Accent2 9 3" xfId="20987" xr:uid="{AB25855D-C16E-4D58-A2DC-80ECD77FC826}"/>
    <cellStyle name="20% - Accent2 9 4" xfId="29434" xr:uid="{D84EEDF1-330E-47B7-B9D5-1130FAAE8D1D}"/>
    <cellStyle name="20% - Accent2 9 5" xfId="37881" xr:uid="{E4052FFF-1F5E-4801-B758-B9DED1A3F692}"/>
    <cellStyle name="20% - Accent2 9 6" xfId="11687" xr:uid="{082A1F71-D25F-469D-A97F-6F71A4D41E37}"/>
    <cellStyle name="20% - Accent3" xfId="17" builtinId="38" customBuiltin="1"/>
    <cellStyle name="20% - Accent3 10" xfId="4520" xr:uid="{00000000-0005-0000-0000-000041010000}"/>
    <cellStyle name="20% - Accent3 10 2" xfId="23146" xr:uid="{E33B01C9-941C-449D-8119-CE5CF9311074}"/>
    <cellStyle name="20% - Accent3 10 3" xfId="31593" xr:uid="{522D934E-9381-4771-9A43-EBCE857D19F7}"/>
    <cellStyle name="20% - Accent3 10 4" xfId="40040" xr:uid="{51393592-8C9C-47C7-ADCD-BA06039B6867}"/>
    <cellStyle name="20% - Accent3 10 5" xfId="13846" xr:uid="{17BC6782-B541-46D3-BE52-F551FE03397A}"/>
    <cellStyle name="20% - Accent3 11" xfId="8762" xr:uid="{49ACF776-43E7-4BB5-82F5-A8A4FEBC45F8}"/>
    <cellStyle name="20% - Accent3 11 2" xfId="18086" xr:uid="{4DF68D91-E0A2-4C4E-B6D5-1117E5FAFE93}"/>
    <cellStyle name="20% - Accent3 12" xfId="18929" xr:uid="{09B7ADA8-6663-42F5-9AAF-27B66311EC47}"/>
    <cellStyle name="20% - Accent3 13" xfId="27376" xr:uid="{8D2F6582-4D8B-4810-B036-2B6DDE368F32}"/>
    <cellStyle name="20% - Accent3 14" xfId="35823" xr:uid="{A3512AE6-EC21-419A-838A-C4E32DA5A76B}"/>
    <cellStyle name="20% - Accent3 15" xfId="9629" xr:uid="{16707C43-BFDD-4C0D-B277-E3951118AC44}"/>
    <cellStyle name="20% - Accent3 2" xfId="18" xr:uid="{00000000-0005-0000-0000-000042010000}"/>
    <cellStyle name="20% - Accent3 2 10" xfId="8792" xr:uid="{65E5762F-047C-4860-B47E-71363924E2A5}"/>
    <cellStyle name="20% - Accent3 2 10 2" xfId="18116" xr:uid="{2A311841-891B-4E8E-8483-FAF217A0E463}"/>
    <cellStyle name="20% - Accent3 2 11" xfId="18930" xr:uid="{C54EAE32-B3D8-433B-9003-EAA7D1525D3D}"/>
    <cellStyle name="20% - Accent3 2 12" xfId="27377" xr:uid="{9B313223-7E59-4DD7-ACFD-152EC0BB82B9}"/>
    <cellStyle name="20% - Accent3 2 13" xfId="35824" xr:uid="{9D23D082-AE37-4B87-B318-9A2F722C4DB0}"/>
    <cellStyle name="20% - Accent3 2 14" xfId="9630" xr:uid="{DA881925-477E-4507-B1AD-55315BCB1C2A}"/>
    <cellStyle name="20% - Accent3 2 2" xfId="19" xr:uid="{00000000-0005-0000-0000-000043010000}"/>
    <cellStyle name="20% - Accent3 2 2 10" xfId="18931" xr:uid="{EA7EC402-3151-4528-AF65-EC2A999EB48F}"/>
    <cellStyle name="20% - Accent3 2 2 11" xfId="27378" xr:uid="{CEFF0A02-622B-4F96-80EB-7D3855283D38}"/>
    <cellStyle name="20% - Accent3 2 2 12" xfId="35825" xr:uid="{B9CE54CB-6BCA-41A0-B308-F5520B3325CE}"/>
    <cellStyle name="20% - Accent3 2 2 13" xfId="9631" xr:uid="{8A4FDC8C-33DA-416D-837C-C3E4AD31AD57}"/>
    <cellStyle name="20% - Accent3 2 2 2" xfId="20" xr:uid="{00000000-0005-0000-0000-000044010000}"/>
    <cellStyle name="20% - Accent3 2 2 2 10" xfId="27379" xr:uid="{2D4A208E-B8ED-4D07-BA00-6A8D31FF77B6}"/>
    <cellStyle name="20% - Accent3 2 2 2 11" xfId="35826" xr:uid="{37F0C9D0-A2CB-4DE7-8575-77908A38C6F5}"/>
    <cellStyle name="20% - Accent3 2 2 2 12" xfId="9632" xr:uid="{AFC454AB-1E08-4AE3-8C1B-F6387BBA7E1F}"/>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2 2 2" xfId="25708" xr:uid="{08BF2E0F-9C70-4622-83A0-626A880744E4}"/>
    <cellStyle name="20% - Accent3 2 2 2 2 2 2 3" xfId="34155" xr:uid="{8A793393-EC3F-48C5-9420-B582406DC93A}"/>
    <cellStyle name="20% - Accent3 2 2 2 2 2 2 4" xfId="42602" xr:uid="{0EFBBB98-C213-4027-98D1-8ED325842F1F}"/>
    <cellStyle name="20% - Accent3 2 2 2 2 2 2 5" xfId="16408" xr:uid="{ABFBD948-AA47-4E5D-BBD4-45EE3B662AE4}"/>
    <cellStyle name="20% - Accent3 2 2 2 2 2 3" xfId="21491" xr:uid="{150AF586-0414-404C-8C29-48642265E030}"/>
    <cellStyle name="20% - Accent3 2 2 2 2 2 4" xfId="29938" xr:uid="{C213754E-02F6-440F-B9ED-1E5481D80A75}"/>
    <cellStyle name="20% - Accent3 2 2 2 2 2 5" xfId="38385" xr:uid="{9E3C6DB3-B2ED-4102-95E5-6424F74CB68B}"/>
    <cellStyle name="20% - Accent3 2 2 2 2 2 6" xfId="12191" xr:uid="{DDAFD8E0-153A-43DA-9D53-4A22285AA610}"/>
    <cellStyle name="20% - Accent3 2 2 2 2 3" xfId="4937" xr:uid="{00000000-0005-0000-0000-000048010000}"/>
    <cellStyle name="20% - Accent3 2 2 2 2 3 2" xfId="23563" xr:uid="{1A67A532-9E19-4638-81B8-9B72071BA23A}"/>
    <cellStyle name="20% - Accent3 2 2 2 2 3 3" xfId="32010" xr:uid="{90CBBFC8-176C-42A9-8A17-2090851F06FB}"/>
    <cellStyle name="20% - Accent3 2 2 2 2 3 4" xfId="40457" xr:uid="{B4A1627A-FA72-4B18-84F3-3CD65E33FA0D}"/>
    <cellStyle name="20% - Accent3 2 2 2 2 3 5" xfId="14263" xr:uid="{E6355762-8221-4237-8E22-447FB0CBBB20}"/>
    <cellStyle name="20% - Accent3 2 2 2 2 4" xfId="9527" xr:uid="{B82F9F3C-4714-4F10-BEB2-F90FC0563F53}"/>
    <cellStyle name="20% - Accent3 2 2 2 2 4 2" xfId="18843" xr:uid="{6A389F59-8963-4528-9ED9-7D5166601059}"/>
    <cellStyle name="20% - Accent3 2 2 2 2 5" xfId="19346" xr:uid="{AD8FD385-B131-433F-A56A-80CBC5BA4D07}"/>
    <cellStyle name="20% - Accent3 2 2 2 2 6" xfId="27793" xr:uid="{15A3370E-744D-4CC9-A747-CF1A3F6144C0}"/>
    <cellStyle name="20% - Accent3 2 2 2 2 7" xfId="36240" xr:uid="{2E7482E9-E641-42B3-AA61-E06E0594D116}"/>
    <cellStyle name="20% - Accent3 2 2 2 2 8" xfId="10046" xr:uid="{5C8050C5-8A7C-4E09-BA6C-6265863F399D}"/>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2 2 2" xfId="26121" xr:uid="{9F6F88B6-A0AF-4761-B222-8495847410F0}"/>
    <cellStyle name="20% - Accent3 2 2 2 3 2 2 3" xfId="34568" xr:uid="{3B8EB012-E20B-4C59-BF32-10CB00F6DBED}"/>
    <cellStyle name="20% - Accent3 2 2 2 3 2 2 4" xfId="43015" xr:uid="{1EEF9CDE-DFF0-4A8B-92D0-09CEA2F86394}"/>
    <cellStyle name="20% - Accent3 2 2 2 3 2 2 5" xfId="16821" xr:uid="{BA4FAAC8-9DD0-41BF-9219-643D747B7F5C}"/>
    <cellStyle name="20% - Accent3 2 2 2 3 2 3" xfId="21904" xr:uid="{4D2B007C-9D45-4CC9-9556-E6DCB7444C2A}"/>
    <cellStyle name="20% - Accent3 2 2 2 3 2 4" xfId="30351" xr:uid="{24D77A58-F176-49E8-9199-D1314DF41B14}"/>
    <cellStyle name="20% - Accent3 2 2 2 3 2 5" xfId="38798" xr:uid="{6BF95740-7C35-4683-B0DE-A85FB31286E0}"/>
    <cellStyle name="20% - Accent3 2 2 2 3 2 6" xfId="12604" xr:uid="{E5508C8E-01C3-4CD7-AD1D-773E560BC12E}"/>
    <cellStyle name="20% - Accent3 2 2 2 3 3" xfId="5350" xr:uid="{00000000-0005-0000-0000-00004C010000}"/>
    <cellStyle name="20% - Accent3 2 2 2 3 3 2" xfId="23976" xr:uid="{59AEAEBF-1B7D-4ACC-87BB-9D6BAC2104ED}"/>
    <cellStyle name="20% - Accent3 2 2 2 3 3 3" xfId="32423" xr:uid="{83D2BAA5-D12E-4FCD-90EE-D08683C4A39A}"/>
    <cellStyle name="20% - Accent3 2 2 2 3 3 4" xfId="40870" xr:uid="{03C1EDA5-24E8-4CE3-93BC-99722E17CEB2}"/>
    <cellStyle name="20% - Accent3 2 2 2 3 3 5" xfId="14676" xr:uid="{A3D68FC6-E85C-4117-A370-1AD616835610}"/>
    <cellStyle name="20% - Accent3 2 2 2 3 4" xfId="19759" xr:uid="{2A21D195-4F0D-4B94-A36B-DF44CE9307EF}"/>
    <cellStyle name="20% - Accent3 2 2 2 3 5" xfId="28206" xr:uid="{BC77F16E-1A02-4784-BE9E-C7CEE347A359}"/>
    <cellStyle name="20% - Accent3 2 2 2 3 6" xfId="36653" xr:uid="{08EF29D5-DC45-4729-93A5-29AEDCAFA9D8}"/>
    <cellStyle name="20% - Accent3 2 2 2 3 7" xfId="10459" xr:uid="{C5E44073-2670-4D6A-A149-09199914F517}"/>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2 2 2" xfId="26534" xr:uid="{8E78B847-8853-462D-A656-C997C5400A9D}"/>
    <cellStyle name="20% - Accent3 2 2 2 4 2 2 3" xfId="34981" xr:uid="{58845AA9-874A-4178-A93E-E1438690FD15}"/>
    <cellStyle name="20% - Accent3 2 2 2 4 2 2 4" xfId="43428" xr:uid="{7B978D88-4544-48B1-B90A-92F65FC914E5}"/>
    <cellStyle name="20% - Accent3 2 2 2 4 2 2 5" xfId="17234" xr:uid="{97BE671B-21AA-4816-94B5-6EF2E2DE2DB6}"/>
    <cellStyle name="20% - Accent3 2 2 2 4 2 3" xfId="22317" xr:uid="{AEC0FA4D-BFE2-401A-9481-B4803F79CE93}"/>
    <cellStyle name="20% - Accent3 2 2 2 4 2 4" xfId="30764" xr:uid="{47EBA797-F771-47F2-AA25-6D8678A0C55A}"/>
    <cellStyle name="20% - Accent3 2 2 2 4 2 5" xfId="39211" xr:uid="{7F251847-9ACB-48BC-8F93-53B4AEA17613}"/>
    <cellStyle name="20% - Accent3 2 2 2 4 2 6" xfId="13017" xr:uid="{5556C352-BD77-454C-BD47-527C04BBEC68}"/>
    <cellStyle name="20% - Accent3 2 2 2 4 3" xfId="5763" xr:uid="{00000000-0005-0000-0000-000050010000}"/>
    <cellStyle name="20% - Accent3 2 2 2 4 3 2" xfId="24389" xr:uid="{A778822B-8B62-429A-900F-199E9ED98971}"/>
    <cellStyle name="20% - Accent3 2 2 2 4 3 3" xfId="32836" xr:uid="{32656803-772B-4CCA-8293-A8D51D451663}"/>
    <cellStyle name="20% - Accent3 2 2 2 4 3 4" xfId="41283" xr:uid="{773E208B-9DAD-4242-88EC-2F6EB706C69F}"/>
    <cellStyle name="20% - Accent3 2 2 2 4 3 5" xfId="15089" xr:uid="{BE5C188F-67F2-4271-9196-840D2117D0E2}"/>
    <cellStyle name="20% - Accent3 2 2 2 4 4" xfId="20172" xr:uid="{BFB1916A-8448-4D7E-942E-4C424D4FD0AB}"/>
    <cellStyle name="20% - Accent3 2 2 2 4 5" xfId="28619" xr:uid="{2E5A9E94-2458-4282-9AEB-580537DE7850}"/>
    <cellStyle name="20% - Accent3 2 2 2 4 6" xfId="37066" xr:uid="{2CAC4358-8374-4468-88AF-CB21CD7BADCB}"/>
    <cellStyle name="20% - Accent3 2 2 2 4 7" xfId="10872" xr:uid="{50B46A61-2A1F-4401-BADA-0C9ECAE27E2C}"/>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2 2 2" xfId="26947" xr:uid="{F18ED877-41AB-4805-B05F-C3C36E5927DC}"/>
    <cellStyle name="20% - Accent3 2 2 2 5 2 2 3" xfId="35394" xr:uid="{04BEF48A-9855-412D-A6E1-207B73829898}"/>
    <cellStyle name="20% - Accent3 2 2 2 5 2 2 4" xfId="43841" xr:uid="{E1992718-83CD-454A-810F-AA16400D5844}"/>
    <cellStyle name="20% - Accent3 2 2 2 5 2 2 5" xfId="17647" xr:uid="{3435676B-BE0F-44CE-9F27-D4CA2951B0A7}"/>
    <cellStyle name="20% - Accent3 2 2 2 5 2 3" xfId="22730" xr:uid="{A69C326B-91B4-4E9B-A451-FD02A0D7B350}"/>
    <cellStyle name="20% - Accent3 2 2 2 5 2 4" xfId="31177" xr:uid="{BA0CEE6A-BCE5-46DF-9DA1-32EB21C179B6}"/>
    <cellStyle name="20% - Accent3 2 2 2 5 2 5" xfId="39624" xr:uid="{C46C9D6F-A656-42E3-B9E6-9B0ABE108031}"/>
    <cellStyle name="20% - Accent3 2 2 2 5 2 6" xfId="13430" xr:uid="{AD3B6C79-3C28-4F40-8AE1-15DADAC078BB}"/>
    <cellStyle name="20% - Accent3 2 2 2 5 3" xfId="6176" xr:uid="{00000000-0005-0000-0000-000054010000}"/>
    <cellStyle name="20% - Accent3 2 2 2 5 3 2" xfId="24802" xr:uid="{9836344F-617E-4BC4-B2A7-52F047166E60}"/>
    <cellStyle name="20% - Accent3 2 2 2 5 3 3" xfId="33249" xr:uid="{A61A4529-45CF-4CFD-AE5D-08D918F7C9F2}"/>
    <cellStyle name="20% - Accent3 2 2 2 5 3 4" xfId="41696" xr:uid="{B1C7A903-5DB4-44B2-B079-75255D5E8814}"/>
    <cellStyle name="20% - Accent3 2 2 2 5 3 5" xfId="15502" xr:uid="{3AC76F62-E553-4B24-9F11-697ED2E3C3EE}"/>
    <cellStyle name="20% - Accent3 2 2 2 5 4" xfId="20585" xr:uid="{6E187254-3730-445D-BE99-3730FCC72A33}"/>
    <cellStyle name="20% - Accent3 2 2 2 5 5" xfId="29032" xr:uid="{9C048696-0642-4A00-9B97-0E1ED92BC2DB}"/>
    <cellStyle name="20% - Accent3 2 2 2 5 6" xfId="37479" xr:uid="{9376AAA1-6E66-4CB4-8D14-B8F7D4587387}"/>
    <cellStyle name="20% - Accent3 2 2 2 5 7" xfId="11285" xr:uid="{78E2C9F0-38BE-4017-95A2-F16C5099232B}"/>
    <cellStyle name="20% - Accent3 2 2 2 6" xfId="2283" xr:uid="{00000000-0005-0000-0000-000055010000}"/>
    <cellStyle name="20% - Accent3 2 2 2 6 2" xfId="6589" xr:uid="{00000000-0005-0000-0000-000056010000}"/>
    <cellStyle name="20% - Accent3 2 2 2 6 2 2" xfId="25215" xr:uid="{C2BD4D86-B4D3-4C91-A097-39768ADAEB41}"/>
    <cellStyle name="20% - Accent3 2 2 2 6 2 3" xfId="33662" xr:uid="{C421D633-CCB7-46C6-A5D0-65BF6D7CC63D}"/>
    <cellStyle name="20% - Accent3 2 2 2 6 2 4" xfId="42109" xr:uid="{1CBDB03E-05CA-46B0-9815-266A827A5BF2}"/>
    <cellStyle name="20% - Accent3 2 2 2 6 2 5" xfId="15915" xr:uid="{4D5AE996-9297-430F-A348-AA2884A2C2D7}"/>
    <cellStyle name="20% - Accent3 2 2 2 6 3" xfId="20998" xr:uid="{93053A63-B2A0-4825-92D9-8F03DF098D39}"/>
    <cellStyle name="20% - Accent3 2 2 2 6 4" xfId="29445" xr:uid="{27A228B1-2756-440B-8A3E-795977360369}"/>
    <cellStyle name="20% - Accent3 2 2 2 6 5" xfId="37892" xr:uid="{C17B5B90-A639-46F2-B98C-16CC03F0E4C9}"/>
    <cellStyle name="20% - Accent3 2 2 2 6 6" xfId="11698" xr:uid="{F9ACC8F1-442B-4338-8228-10C326612E8E}"/>
    <cellStyle name="20% - Accent3 2 2 2 7" xfId="4523" xr:uid="{00000000-0005-0000-0000-000057010000}"/>
    <cellStyle name="20% - Accent3 2 2 2 7 2" xfId="23149" xr:uid="{E34FF1FC-B1EA-4509-A262-5C94D83401F7}"/>
    <cellStyle name="20% - Accent3 2 2 2 7 3" xfId="31596" xr:uid="{550F766C-A614-4807-BBE8-48E6B0803933}"/>
    <cellStyle name="20% - Accent3 2 2 2 7 4" xfId="40043" xr:uid="{E2D800D8-CAE3-45DA-A324-9CEC4F01D879}"/>
    <cellStyle name="20% - Accent3 2 2 2 7 5" xfId="13849" xr:uid="{58DD2E59-72B4-4C37-BB85-CDB7E8F12DD8}"/>
    <cellStyle name="20% - Accent3 2 2 2 8" xfId="9102" xr:uid="{77698EAD-FDE4-4105-BE80-980B5219F464}"/>
    <cellStyle name="20% - Accent3 2 2 2 8 2" xfId="18426" xr:uid="{D44C02DE-2C23-4757-B722-F398F6041A35}"/>
    <cellStyle name="20% - Accent3 2 2 2 9" xfId="18932" xr:uid="{0847E7D7-9A88-4FB0-AF53-2D8A5AF5116D}"/>
    <cellStyle name="20% - Accent3 2 2 3" xfId="588" xr:uid="{00000000-0005-0000-0000-000058010000}"/>
    <cellStyle name="20% - Accent3 2 2 3 2" xfId="2859" xr:uid="{00000000-0005-0000-0000-000059010000}"/>
    <cellStyle name="20% - Accent3 2 2 3 2 2" xfId="7081" xr:uid="{00000000-0005-0000-0000-00005A010000}"/>
    <cellStyle name="20% - Accent3 2 2 3 2 2 2" xfId="25707" xr:uid="{100D544E-4BDF-430F-BBB1-997E18AAAB49}"/>
    <cellStyle name="20% - Accent3 2 2 3 2 2 3" xfId="34154" xr:uid="{F531FAE6-6DB2-451E-AA27-27C420550F91}"/>
    <cellStyle name="20% - Accent3 2 2 3 2 2 4" xfId="42601" xr:uid="{BF274A3F-F327-427D-AF09-B405DC9D9881}"/>
    <cellStyle name="20% - Accent3 2 2 3 2 2 5" xfId="16407" xr:uid="{5B8BB739-9DAA-4829-8A90-B5D24E96F1F5}"/>
    <cellStyle name="20% - Accent3 2 2 3 2 3" xfId="21490" xr:uid="{9B8FACB0-0A95-4C11-B3F6-2CF524B2B32D}"/>
    <cellStyle name="20% - Accent3 2 2 3 2 4" xfId="29937" xr:uid="{05E6571F-FDCF-4827-9A9E-170AA130092F}"/>
    <cellStyle name="20% - Accent3 2 2 3 2 5" xfId="38384" xr:uid="{50354817-44E1-4FC6-9287-B201CE93EAE9}"/>
    <cellStyle name="20% - Accent3 2 2 3 2 6" xfId="12190" xr:uid="{449CE353-BD25-463D-995E-B5E4B6CC3732}"/>
    <cellStyle name="20% - Accent3 2 2 3 3" xfId="4936" xr:uid="{00000000-0005-0000-0000-00005B010000}"/>
    <cellStyle name="20% - Accent3 2 2 3 3 2" xfId="23562" xr:uid="{E1D09570-207C-4CA6-BE56-F297F808D327}"/>
    <cellStyle name="20% - Accent3 2 2 3 3 3" xfId="32009" xr:uid="{AAF143DE-5E02-4E6B-99F7-E54FE63BA7C9}"/>
    <cellStyle name="20% - Accent3 2 2 3 3 4" xfId="40456" xr:uid="{5A15964B-466A-4741-8EB8-6C5EE0B5A1BF}"/>
    <cellStyle name="20% - Accent3 2 2 3 3 5" xfId="14262" xr:uid="{97BBCC66-F472-4BC4-AE62-D06B9F285853}"/>
    <cellStyle name="20% - Accent3 2 2 3 4" xfId="9320" xr:uid="{BF070B19-D289-4211-B080-DBB621CAE7BA}"/>
    <cellStyle name="20% - Accent3 2 2 3 4 2" xfId="18636" xr:uid="{A3CFA755-51F0-488E-8EFA-3FB541925C7C}"/>
    <cellStyle name="20% - Accent3 2 2 3 5" xfId="19345" xr:uid="{6ADAC89B-ED57-4AF7-96CA-97E5A1A6DC54}"/>
    <cellStyle name="20% - Accent3 2 2 3 6" xfId="27792" xr:uid="{1468B509-7A1B-4436-B036-07EC15CF9F51}"/>
    <cellStyle name="20% - Accent3 2 2 3 7" xfId="36239" xr:uid="{562067A1-0B7F-4280-B5F2-5B3951A1E86F}"/>
    <cellStyle name="20% - Accent3 2 2 3 8" xfId="10045" xr:uid="{3F597733-052A-4604-A978-7109FCE4AF1F}"/>
    <cellStyle name="20% - Accent3 2 2 4" xfId="1041" xr:uid="{00000000-0005-0000-0000-00005C010000}"/>
    <cellStyle name="20% - Accent3 2 2 4 2" xfId="3272" xr:uid="{00000000-0005-0000-0000-00005D010000}"/>
    <cellStyle name="20% - Accent3 2 2 4 2 2" xfId="7494" xr:uid="{00000000-0005-0000-0000-00005E010000}"/>
    <cellStyle name="20% - Accent3 2 2 4 2 2 2" xfId="26120" xr:uid="{59FF1C8E-2F2C-4829-9392-AF3E236E0EEF}"/>
    <cellStyle name="20% - Accent3 2 2 4 2 2 3" xfId="34567" xr:uid="{700D09C5-8129-4648-B4B5-49D633FA0797}"/>
    <cellStyle name="20% - Accent3 2 2 4 2 2 4" xfId="43014" xr:uid="{5F703090-87B9-4F02-85BF-1EAC0C35024A}"/>
    <cellStyle name="20% - Accent3 2 2 4 2 2 5" xfId="16820" xr:uid="{E253AA1D-B337-4F71-BF91-E0BA8355AA5B}"/>
    <cellStyle name="20% - Accent3 2 2 4 2 3" xfId="21903" xr:uid="{E3995DD2-4504-4834-8AD2-1D6E8CA8DBEC}"/>
    <cellStyle name="20% - Accent3 2 2 4 2 4" xfId="30350" xr:uid="{B330C04D-3723-472C-9E48-1CA17FB338B4}"/>
    <cellStyle name="20% - Accent3 2 2 4 2 5" xfId="38797" xr:uid="{4D37EC46-D5BC-45EA-A260-B134CCC0EA62}"/>
    <cellStyle name="20% - Accent3 2 2 4 2 6" xfId="12603" xr:uid="{92039CDF-35A1-4FC1-88FB-3A2B31EDBD07}"/>
    <cellStyle name="20% - Accent3 2 2 4 3" xfId="5349" xr:uid="{00000000-0005-0000-0000-00005F010000}"/>
    <cellStyle name="20% - Accent3 2 2 4 3 2" xfId="23975" xr:uid="{B15D6FBE-04CD-477A-AA29-76B0ED40E572}"/>
    <cellStyle name="20% - Accent3 2 2 4 3 3" xfId="32422" xr:uid="{A05792C1-0A0A-4659-8D5D-9B78DBE81E82}"/>
    <cellStyle name="20% - Accent3 2 2 4 3 4" xfId="40869" xr:uid="{6158F34B-932A-486E-BAC7-F40AFC27C906}"/>
    <cellStyle name="20% - Accent3 2 2 4 3 5" xfId="14675" xr:uid="{B6D48A49-8AA3-4DCE-B596-AAF37CC9A86B}"/>
    <cellStyle name="20% - Accent3 2 2 4 4" xfId="19758" xr:uid="{E8E7BE63-78D7-4F88-AA5F-1995947CE1C1}"/>
    <cellStyle name="20% - Accent3 2 2 4 5" xfId="28205" xr:uid="{8A5D714C-3E57-4A44-9B26-0DE5190E0715}"/>
    <cellStyle name="20% - Accent3 2 2 4 6" xfId="36652" xr:uid="{6F70A185-2FEA-4710-B244-0858494C87A7}"/>
    <cellStyle name="20% - Accent3 2 2 4 7" xfId="10458" xr:uid="{ED777A52-A1A6-40A9-812B-0132B17129DF}"/>
    <cellStyle name="20% - Accent3 2 2 5" xfId="1455" xr:uid="{00000000-0005-0000-0000-000060010000}"/>
    <cellStyle name="20% - Accent3 2 2 5 2" xfId="3685" xr:uid="{00000000-0005-0000-0000-000061010000}"/>
    <cellStyle name="20% - Accent3 2 2 5 2 2" xfId="7907" xr:uid="{00000000-0005-0000-0000-000062010000}"/>
    <cellStyle name="20% - Accent3 2 2 5 2 2 2" xfId="26533" xr:uid="{B6217E47-A2A9-4DCF-B3AE-2D9074B28581}"/>
    <cellStyle name="20% - Accent3 2 2 5 2 2 3" xfId="34980" xr:uid="{6396B5F8-55CE-4BFD-BAFE-E5CF73F827AE}"/>
    <cellStyle name="20% - Accent3 2 2 5 2 2 4" xfId="43427" xr:uid="{561522A2-D269-4386-A300-B213BC9791E0}"/>
    <cellStyle name="20% - Accent3 2 2 5 2 2 5" xfId="17233" xr:uid="{79F7EE2C-A72A-41A0-99C4-0EBE792E588B}"/>
    <cellStyle name="20% - Accent3 2 2 5 2 3" xfId="22316" xr:uid="{5E0A8DB8-B413-4DC9-AB3D-22E030695B99}"/>
    <cellStyle name="20% - Accent3 2 2 5 2 4" xfId="30763" xr:uid="{ECA94D1D-5542-4ED5-AFDF-740DF9DC53FA}"/>
    <cellStyle name="20% - Accent3 2 2 5 2 5" xfId="39210" xr:uid="{55FB2AFD-D475-4ECD-9F37-8BFD6FCF11FF}"/>
    <cellStyle name="20% - Accent3 2 2 5 2 6" xfId="13016" xr:uid="{88A1C0F1-3862-41E2-AB88-B12F51F5BBE6}"/>
    <cellStyle name="20% - Accent3 2 2 5 3" xfId="5762" xr:uid="{00000000-0005-0000-0000-000063010000}"/>
    <cellStyle name="20% - Accent3 2 2 5 3 2" xfId="24388" xr:uid="{BCEE4D68-D108-45AC-B1E4-3B0845CFBE7F}"/>
    <cellStyle name="20% - Accent3 2 2 5 3 3" xfId="32835" xr:uid="{35B711B7-364E-49DC-8C6A-0BAA5F99A759}"/>
    <cellStyle name="20% - Accent3 2 2 5 3 4" xfId="41282" xr:uid="{EE70EE51-82FE-4A55-A8BD-F21CFFC17EBD}"/>
    <cellStyle name="20% - Accent3 2 2 5 3 5" xfId="15088" xr:uid="{022EE156-6310-42A0-B34D-D931915A9CCD}"/>
    <cellStyle name="20% - Accent3 2 2 5 4" xfId="20171" xr:uid="{7923918D-C088-4098-85DF-801BA7E57FA6}"/>
    <cellStyle name="20% - Accent3 2 2 5 5" xfId="28618" xr:uid="{955AE10D-EBB1-4C9E-B236-6C761CB053AC}"/>
    <cellStyle name="20% - Accent3 2 2 5 6" xfId="37065" xr:uid="{656B9D23-FB74-4D2B-8839-51A812AB518E}"/>
    <cellStyle name="20% - Accent3 2 2 5 7" xfId="10871" xr:uid="{6A6A66FB-958D-48D3-9878-774D6627F178}"/>
    <cellStyle name="20% - Accent3 2 2 6" xfId="1869" xr:uid="{00000000-0005-0000-0000-000064010000}"/>
    <cellStyle name="20% - Accent3 2 2 6 2" xfId="4098" xr:uid="{00000000-0005-0000-0000-000065010000}"/>
    <cellStyle name="20% - Accent3 2 2 6 2 2" xfId="8320" xr:uid="{00000000-0005-0000-0000-000066010000}"/>
    <cellStyle name="20% - Accent3 2 2 6 2 2 2" xfId="26946" xr:uid="{5669BE61-C75F-4DB7-B09E-62D6EF829108}"/>
    <cellStyle name="20% - Accent3 2 2 6 2 2 3" xfId="35393" xr:uid="{F433FB9B-0FA9-4D38-B440-55FDA8FEA4EB}"/>
    <cellStyle name="20% - Accent3 2 2 6 2 2 4" xfId="43840" xr:uid="{7D797B1E-4E8D-4900-9B21-CBA290C6443A}"/>
    <cellStyle name="20% - Accent3 2 2 6 2 2 5" xfId="17646" xr:uid="{71EEF1EE-F3CA-4A27-893E-5868DAD8FC35}"/>
    <cellStyle name="20% - Accent3 2 2 6 2 3" xfId="22729" xr:uid="{B40888A8-DB8B-4F5F-90E3-3ED70D347274}"/>
    <cellStyle name="20% - Accent3 2 2 6 2 4" xfId="31176" xr:uid="{36C9025E-1D9B-4020-85A0-767D1F176250}"/>
    <cellStyle name="20% - Accent3 2 2 6 2 5" xfId="39623" xr:uid="{3F5A6BF0-154F-4AF6-9E21-E9C70879D115}"/>
    <cellStyle name="20% - Accent3 2 2 6 2 6" xfId="13429" xr:uid="{2553A0F6-6414-45F1-95C3-34D1C3609616}"/>
    <cellStyle name="20% - Accent3 2 2 6 3" xfId="6175" xr:uid="{00000000-0005-0000-0000-000067010000}"/>
    <cellStyle name="20% - Accent3 2 2 6 3 2" xfId="24801" xr:uid="{D95593C5-7E09-44E3-B1AB-316A01974295}"/>
    <cellStyle name="20% - Accent3 2 2 6 3 3" xfId="33248" xr:uid="{6262E7AE-DC87-4586-9EBA-D6F945E28D72}"/>
    <cellStyle name="20% - Accent3 2 2 6 3 4" xfId="41695" xr:uid="{946F008B-2307-453E-B8C2-D52D3941D877}"/>
    <cellStyle name="20% - Accent3 2 2 6 3 5" xfId="15501" xr:uid="{53DB5040-B19D-4955-8D60-C7EB1B13C9B7}"/>
    <cellStyle name="20% - Accent3 2 2 6 4" xfId="20584" xr:uid="{DF8EC857-4BE4-465A-A795-10C2B07AAC32}"/>
    <cellStyle name="20% - Accent3 2 2 6 5" xfId="29031" xr:uid="{41052867-6762-4DC9-85A6-1523CC303989}"/>
    <cellStyle name="20% - Accent3 2 2 6 6" xfId="37478" xr:uid="{21E16135-C4A9-40E9-9781-C870EE63CE9A}"/>
    <cellStyle name="20% - Accent3 2 2 6 7" xfId="11284" xr:uid="{0A2E1707-C36D-4615-9E5D-63623AA1F557}"/>
    <cellStyle name="20% - Accent3 2 2 7" xfId="2282" xr:uid="{00000000-0005-0000-0000-000068010000}"/>
    <cellStyle name="20% - Accent3 2 2 7 2" xfId="6588" xr:uid="{00000000-0005-0000-0000-000069010000}"/>
    <cellStyle name="20% - Accent3 2 2 7 2 2" xfId="25214" xr:uid="{9F7F9F57-0A4A-49F7-8640-60A7437805D0}"/>
    <cellStyle name="20% - Accent3 2 2 7 2 3" xfId="33661" xr:uid="{1D078889-DCA4-4941-8F62-60A8E08020EE}"/>
    <cellStyle name="20% - Accent3 2 2 7 2 4" xfId="42108" xr:uid="{7E153155-2891-4A1A-9869-C26CFE32500C}"/>
    <cellStyle name="20% - Accent3 2 2 7 2 5" xfId="15914" xr:uid="{EA66ED2B-91FC-4CD6-AC7C-6BCA71645A03}"/>
    <cellStyle name="20% - Accent3 2 2 7 3" xfId="20997" xr:uid="{6CED3056-0437-4822-BE5A-1776E4FAC924}"/>
    <cellStyle name="20% - Accent3 2 2 7 4" xfId="29444" xr:uid="{78994C2E-662D-4C39-BEC5-4F8480B39167}"/>
    <cellStyle name="20% - Accent3 2 2 7 5" xfId="37891" xr:uid="{025A7C1C-0091-4207-8279-E92405A4D86B}"/>
    <cellStyle name="20% - Accent3 2 2 7 6" xfId="11697" xr:uid="{7AC4D89B-D90E-4E7D-BF6A-D28642206A2E}"/>
    <cellStyle name="20% - Accent3 2 2 8" xfId="4522" xr:uid="{00000000-0005-0000-0000-00006A010000}"/>
    <cellStyle name="20% - Accent3 2 2 8 2" xfId="23148" xr:uid="{3A4FBFA2-591D-45F6-8B88-498BD1DCDF8D}"/>
    <cellStyle name="20% - Accent3 2 2 8 3" xfId="31595" xr:uid="{BC3030D5-1DA5-4492-A001-20C797A2C639}"/>
    <cellStyle name="20% - Accent3 2 2 8 4" xfId="40042" xr:uid="{115EECCC-58CB-4A8E-83D5-01B61B1CB6BF}"/>
    <cellStyle name="20% - Accent3 2 2 8 5" xfId="13848" xr:uid="{5F512B6F-3D82-4FAC-8447-3A0865EEB29E}"/>
    <cellStyle name="20% - Accent3 2 2 9" xfId="8895" xr:uid="{0ADDC6BA-FD9D-420D-8F5A-13E0A04BBC7C}"/>
    <cellStyle name="20% - Accent3 2 2 9 2" xfId="18219" xr:uid="{FFB5D48A-CB9E-4586-B2CD-62256F9F3D36}"/>
    <cellStyle name="20% - Accent3 2 3" xfId="21" xr:uid="{00000000-0005-0000-0000-00006B010000}"/>
    <cellStyle name="20% - Accent3 2 3 10" xfId="27380" xr:uid="{FCC8198E-AF45-4B6B-B728-129D80B786B3}"/>
    <cellStyle name="20% - Accent3 2 3 11" xfId="35827" xr:uid="{6917EC7C-5BD0-4BC4-9056-4AAF188928BA}"/>
    <cellStyle name="20% - Accent3 2 3 12" xfId="9633" xr:uid="{0DB11045-6FFD-409A-B35E-89BEE368E0F7}"/>
    <cellStyle name="20% - Accent3 2 3 2" xfId="590" xr:uid="{00000000-0005-0000-0000-00006C010000}"/>
    <cellStyle name="20% - Accent3 2 3 2 2" xfId="2861" xr:uid="{00000000-0005-0000-0000-00006D010000}"/>
    <cellStyle name="20% - Accent3 2 3 2 2 2" xfId="7083" xr:uid="{00000000-0005-0000-0000-00006E010000}"/>
    <cellStyle name="20% - Accent3 2 3 2 2 2 2" xfId="25709" xr:uid="{EE49BBA0-EB50-4FF2-B0BF-AD62F2416255}"/>
    <cellStyle name="20% - Accent3 2 3 2 2 2 3" xfId="34156" xr:uid="{AC0C24DE-5735-4F23-AC91-1C4120693E91}"/>
    <cellStyle name="20% - Accent3 2 3 2 2 2 4" xfId="42603" xr:uid="{BD88D1AB-2C19-4E78-95FB-895876FD36FB}"/>
    <cellStyle name="20% - Accent3 2 3 2 2 2 5" xfId="16409" xr:uid="{F0EDAB61-6796-4364-8A25-C73096F64F4B}"/>
    <cellStyle name="20% - Accent3 2 3 2 2 3" xfId="21492" xr:uid="{DAF63782-CBEB-408C-B76F-A9B165F7305C}"/>
    <cellStyle name="20% - Accent3 2 3 2 2 4" xfId="29939" xr:uid="{31D3D8DB-4D12-419D-9E27-E412261C59F8}"/>
    <cellStyle name="20% - Accent3 2 3 2 2 5" xfId="38386" xr:uid="{2AD757A2-8641-4F34-B5CE-6175CB13C3BD}"/>
    <cellStyle name="20% - Accent3 2 3 2 2 6" xfId="12192" xr:uid="{A6C312E8-C47A-4A30-8A63-C2FBFCDE7C71}"/>
    <cellStyle name="20% - Accent3 2 3 2 3" xfId="4938" xr:uid="{00000000-0005-0000-0000-00006F010000}"/>
    <cellStyle name="20% - Accent3 2 3 2 3 2" xfId="23564" xr:uid="{A16C7F5A-A244-4933-882A-E932F152FEE3}"/>
    <cellStyle name="20% - Accent3 2 3 2 3 3" xfId="32011" xr:uid="{ED53B1C2-4FC1-4775-9389-78EBB3838AD7}"/>
    <cellStyle name="20% - Accent3 2 3 2 3 4" xfId="40458" xr:uid="{B3B64FCF-8282-4243-A182-D63795D78A58}"/>
    <cellStyle name="20% - Accent3 2 3 2 3 5" xfId="14264" xr:uid="{87116D32-9168-4DD0-9691-DF7C6D8B6CEF}"/>
    <cellStyle name="20% - Accent3 2 3 2 4" xfId="9424" xr:uid="{C3588D98-6F24-4F2C-9F96-F34501405613}"/>
    <cellStyle name="20% - Accent3 2 3 2 4 2" xfId="18740" xr:uid="{51BF2A56-A360-4C61-B457-A10122479F85}"/>
    <cellStyle name="20% - Accent3 2 3 2 5" xfId="19347" xr:uid="{A1C3C810-8D20-40D5-9426-16A95C83E0E2}"/>
    <cellStyle name="20% - Accent3 2 3 2 6" xfId="27794" xr:uid="{736659AD-DCE0-4D95-B5C3-16A862E8D670}"/>
    <cellStyle name="20% - Accent3 2 3 2 7" xfId="36241" xr:uid="{82846D84-5FCF-4355-8B98-DB0A86069E19}"/>
    <cellStyle name="20% - Accent3 2 3 2 8" xfId="10047" xr:uid="{D62E95C2-5EF3-489F-95F9-3114972FD191}"/>
    <cellStyle name="20% - Accent3 2 3 3" xfId="1043" xr:uid="{00000000-0005-0000-0000-000070010000}"/>
    <cellStyle name="20% - Accent3 2 3 3 2" xfId="3274" xr:uid="{00000000-0005-0000-0000-000071010000}"/>
    <cellStyle name="20% - Accent3 2 3 3 2 2" xfId="7496" xr:uid="{00000000-0005-0000-0000-000072010000}"/>
    <cellStyle name="20% - Accent3 2 3 3 2 2 2" xfId="26122" xr:uid="{E82B32A7-A4FD-43F7-874A-FBED033C783A}"/>
    <cellStyle name="20% - Accent3 2 3 3 2 2 3" xfId="34569" xr:uid="{6722CAC3-D5DD-492C-8CFC-3911D168888F}"/>
    <cellStyle name="20% - Accent3 2 3 3 2 2 4" xfId="43016" xr:uid="{EB31F6D5-9F48-4F3C-AB61-32D6C9727B80}"/>
    <cellStyle name="20% - Accent3 2 3 3 2 2 5" xfId="16822" xr:uid="{F6EE728A-2918-4D22-B810-0A5A9018E46C}"/>
    <cellStyle name="20% - Accent3 2 3 3 2 3" xfId="21905" xr:uid="{BD742370-7A61-4ED8-B953-1D59CDEAE1CD}"/>
    <cellStyle name="20% - Accent3 2 3 3 2 4" xfId="30352" xr:uid="{2339D94D-731F-43E9-9C6C-B5F0A199A331}"/>
    <cellStyle name="20% - Accent3 2 3 3 2 5" xfId="38799" xr:uid="{C179718E-7B26-4877-8F53-277CD5BA0E1A}"/>
    <cellStyle name="20% - Accent3 2 3 3 2 6" xfId="12605" xr:uid="{B72AFDEE-3A0B-434B-BE9E-9788967D20E8}"/>
    <cellStyle name="20% - Accent3 2 3 3 3" xfId="5351" xr:uid="{00000000-0005-0000-0000-000073010000}"/>
    <cellStyle name="20% - Accent3 2 3 3 3 2" xfId="23977" xr:uid="{D0D5059C-E21D-4B77-A669-7F07F288509C}"/>
    <cellStyle name="20% - Accent3 2 3 3 3 3" xfId="32424" xr:uid="{4706F835-DEA8-40F0-80B0-5FFC7DAD3BAE}"/>
    <cellStyle name="20% - Accent3 2 3 3 3 4" xfId="40871" xr:uid="{C02352F4-9A21-4ED9-9908-6A9BC78646CF}"/>
    <cellStyle name="20% - Accent3 2 3 3 3 5" xfId="14677" xr:uid="{1EFD7807-C3CD-41C2-BE75-776B6D168837}"/>
    <cellStyle name="20% - Accent3 2 3 3 4" xfId="19760" xr:uid="{5DC0FDAB-0FAE-489A-8D23-4B63B489F41F}"/>
    <cellStyle name="20% - Accent3 2 3 3 5" xfId="28207" xr:uid="{F2E533C0-90F6-45F8-8412-2E8444FDBDAF}"/>
    <cellStyle name="20% - Accent3 2 3 3 6" xfId="36654" xr:uid="{3F215F1D-F990-43B8-9DA9-C9F592174129}"/>
    <cellStyle name="20% - Accent3 2 3 3 7" xfId="10460" xr:uid="{A7310E35-2D93-4A5A-86A5-7ED722D2D52B}"/>
    <cellStyle name="20% - Accent3 2 3 4" xfId="1457" xr:uid="{00000000-0005-0000-0000-000074010000}"/>
    <cellStyle name="20% - Accent3 2 3 4 2" xfId="3687" xr:uid="{00000000-0005-0000-0000-000075010000}"/>
    <cellStyle name="20% - Accent3 2 3 4 2 2" xfId="7909" xr:uid="{00000000-0005-0000-0000-000076010000}"/>
    <cellStyle name="20% - Accent3 2 3 4 2 2 2" xfId="26535" xr:uid="{6D0E481A-8792-4F4D-AEAD-A3D391C3F91D}"/>
    <cellStyle name="20% - Accent3 2 3 4 2 2 3" xfId="34982" xr:uid="{E633B174-5F53-45EE-82FE-48DD4F572B94}"/>
    <cellStyle name="20% - Accent3 2 3 4 2 2 4" xfId="43429" xr:uid="{DC992459-7257-43EA-BCE3-F199C9A2C733}"/>
    <cellStyle name="20% - Accent3 2 3 4 2 2 5" xfId="17235" xr:uid="{A5644642-9289-4106-A68B-B1CCA3E5B1C8}"/>
    <cellStyle name="20% - Accent3 2 3 4 2 3" xfId="22318" xr:uid="{363B1728-FFF0-42F8-A8C2-5A3ADA5A2FA1}"/>
    <cellStyle name="20% - Accent3 2 3 4 2 4" xfId="30765" xr:uid="{626B1335-EE52-4E61-B365-6E6008DBB358}"/>
    <cellStyle name="20% - Accent3 2 3 4 2 5" xfId="39212" xr:uid="{EA2A8852-32D8-4A91-8077-07C8F1A2CEA8}"/>
    <cellStyle name="20% - Accent3 2 3 4 2 6" xfId="13018" xr:uid="{2AC96978-D4BA-4D23-A37E-E72502070AB9}"/>
    <cellStyle name="20% - Accent3 2 3 4 3" xfId="5764" xr:uid="{00000000-0005-0000-0000-000077010000}"/>
    <cellStyle name="20% - Accent3 2 3 4 3 2" xfId="24390" xr:uid="{78A1DD03-5E45-48C8-8A56-A119438F6E04}"/>
    <cellStyle name="20% - Accent3 2 3 4 3 3" xfId="32837" xr:uid="{41FABC0A-20EC-4FFE-B6F7-8B00F3C0DC6E}"/>
    <cellStyle name="20% - Accent3 2 3 4 3 4" xfId="41284" xr:uid="{FF81ECD0-E4EC-43EE-8081-07372626915C}"/>
    <cellStyle name="20% - Accent3 2 3 4 3 5" xfId="15090" xr:uid="{9BA2566E-0D39-4AEB-93AF-BF39524BEFD3}"/>
    <cellStyle name="20% - Accent3 2 3 4 4" xfId="20173" xr:uid="{E6F27095-01BC-4719-B48C-4BE39BA688AC}"/>
    <cellStyle name="20% - Accent3 2 3 4 5" xfId="28620" xr:uid="{FA212769-6EFF-4C5C-82D0-ACCF69CDF4C3}"/>
    <cellStyle name="20% - Accent3 2 3 4 6" xfId="37067" xr:uid="{FAEBCB04-38CE-41EF-8344-B0B65A762F19}"/>
    <cellStyle name="20% - Accent3 2 3 4 7" xfId="10873" xr:uid="{29594C96-0DFF-4805-BC6F-3B05623B5666}"/>
    <cellStyle name="20% - Accent3 2 3 5" xfId="1871" xr:uid="{00000000-0005-0000-0000-000078010000}"/>
    <cellStyle name="20% - Accent3 2 3 5 2" xfId="4100" xr:uid="{00000000-0005-0000-0000-000079010000}"/>
    <cellStyle name="20% - Accent3 2 3 5 2 2" xfId="8322" xr:uid="{00000000-0005-0000-0000-00007A010000}"/>
    <cellStyle name="20% - Accent3 2 3 5 2 2 2" xfId="26948" xr:uid="{07D57EE5-6349-4570-A483-FCFA5FFC587D}"/>
    <cellStyle name="20% - Accent3 2 3 5 2 2 3" xfId="35395" xr:uid="{57F25789-9CBD-4EB2-9CFE-E2F2D2A3BF44}"/>
    <cellStyle name="20% - Accent3 2 3 5 2 2 4" xfId="43842" xr:uid="{D4D12853-E5BC-4369-A5F7-D7DE00B06B11}"/>
    <cellStyle name="20% - Accent3 2 3 5 2 2 5" xfId="17648" xr:uid="{A764E5AA-5E46-414C-8151-6C471B08B538}"/>
    <cellStyle name="20% - Accent3 2 3 5 2 3" xfId="22731" xr:uid="{98F0B529-B3A1-4445-AE76-63C194550B86}"/>
    <cellStyle name="20% - Accent3 2 3 5 2 4" xfId="31178" xr:uid="{5F64574E-B51D-400A-97F1-A7FEF7BEE400}"/>
    <cellStyle name="20% - Accent3 2 3 5 2 5" xfId="39625" xr:uid="{85EE48EF-3102-421C-94A7-3EB9BAF3D9AF}"/>
    <cellStyle name="20% - Accent3 2 3 5 2 6" xfId="13431" xr:uid="{AFF6A950-30B6-4F2C-BFA1-F9C8EA4AA273}"/>
    <cellStyle name="20% - Accent3 2 3 5 3" xfId="6177" xr:uid="{00000000-0005-0000-0000-00007B010000}"/>
    <cellStyle name="20% - Accent3 2 3 5 3 2" xfId="24803" xr:uid="{97A1DB0C-9355-43FD-BF97-772E974A3704}"/>
    <cellStyle name="20% - Accent3 2 3 5 3 3" xfId="33250" xr:uid="{FBAA4439-1F6A-440C-A2E7-5C048C1B3EED}"/>
    <cellStyle name="20% - Accent3 2 3 5 3 4" xfId="41697" xr:uid="{974AA321-1356-48B9-8E48-F3FCD4C9F6F5}"/>
    <cellStyle name="20% - Accent3 2 3 5 3 5" xfId="15503" xr:uid="{CDAC01C5-A92E-4096-9FBB-D6F78425DB08}"/>
    <cellStyle name="20% - Accent3 2 3 5 4" xfId="20586" xr:uid="{0B053A9E-CC31-4A10-830A-1A93701AED39}"/>
    <cellStyle name="20% - Accent3 2 3 5 5" xfId="29033" xr:uid="{85BCF84D-9543-4537-ABBB-13286AF237D8}"/>
    <cellStyle name="20% - Accent3 2 3 5 6" xfId="37480" xr:uid="{EC66201E-A395-4B5A-BFF5-67EA761C9F72}"/>
    <cellStyle name="20% - Accent3 2 3 5 7" xfId="11286" xr:uid="{657E7A4F-FC2E-44CD-973C-F4B18300878E}"/>
    <cellStyle name="20% - Accent3 2 3 6" xfId="2284" xr:uid="{00000000-0005-0000-0000-00007C010000}"/>
    <cellStyle name="20% - Accent3 2 3 6 2" xfId="6590" xr:uid="{00000000-0005-0000-0000-00007D010000}"/>
    <cellStyle name="20% - Accent3 2 3 6 2 2" xfId="25216" xr:uid="{0EF69262-C6FA-4186-B288-B1DAE7339927}"/>
    <cellStyle name="20% - Accent3 2 3 6 2 3" xfId="33663" xr:uid="{17037338-E6A9-48CC-8099-EA0DA3D1D56A}"/>
    <cellStyle name="20% - Accent3 2 3 6 2 4" xfId="42110" xr:uid="{56A1193C-9FF6-44C3-B0D0-5804741F7AEE}"/>
    <cellStyle name="20% - Accent3 2 3 6 2 5" xfId="15916" xr:uid="{EB206F0D-B427-4234-BD5D-F39EA17288BF}"/>
    <cellStyle name="20% - Accent3 2 3 6 3" xfId="20999" xr:uid="{92D9808F-32E7-46AC-A04B-DAB499E3D6B5}"/>
    <cellStyle name="20% - Accent3 2 3 6 4" xfId="29446" xr:uid="{62810180-E7FC-40CE-9A75-8BD4869A577B}"/>
    <cellStyle name="20% - Accent3 2 3 6 5" xfId="37893" xr:uid="{655E8953-3F4B-4044-A36C-40D75788B589}"/>
    <cellStyle name="20% - Accent3 2 3 6 6" xfId="11699" xr:uid="{2ED23BB5-0FB9-4036-AB75-964A0065644E}"/>
    <cellStyle name="20% - Accent3 2 3 7" xfId="4524" xr:uid="{00000000-0005-0000-0000-00007E010000}"/>
    <cellStyle name="20% - Accent3 2 3 7 2" xfId="23150" xr:uid="{CB133510-16F6-4663-861A-0C6DE4C28CA0}"/>
    <cellStyle name="20% - Accent3 2 3 7 3" xfId="31597" xr:uid="{1CB3F581-4E69-4A24-9E30-BD66D6AB3098}"/>
    <cellStyle name="20% - Accent3 2 3 7 4" xfId="40044" xr:uid="{67704C5B-7FF9-42B0-A98B-7DEFE96C90AE}"/>
    <cellStyle name="20% - Accent3 2 3 7 5" xfId="13850" xr:uid="{D2DBE4FA-C8A9-4248-9C5A-2B33CF893176}"/>
    <cellStyle name="20% - Accent3 2 3 8" xfId="8999" xr:uid="{2B5D0148-B6EA-4DEA-92B1-644886C27051}"/>
    <cellStyle name="20% - Accent3 2 3 8 2" xfId="18323" xr:uid="{1295A908-8C3C-446A-AF05-5F49BC3479CC}"/>
    <cellStyle name="20% - Accent3 2 3 9" xfId="18933" xr:uid="{8CC8160F-5400-4E14-A619-AE40C96D0CE7}"/>
    <cellStyle name="20% - Accent3 2 4" xfId="587" xr:uid="{00000000-0005-0000-0000-00007F010000}"/>
    <cellStyle name="20% - Accent3 2 4 2" xfId="2858" xr:uid="{00000000-0005-0000-0000-000080010000}"/>
    <cellStyle name="20% - Accent3 2 4 2 2" xfId="7080" xr:uid="{00000000-0005-0000-0000-000081010000}"/>
    <cellStyle name="20% - Accent3 2 4 2 2 2" xfId="25706" xr:uid="{A069714E-FEC3-4B55-A1A0-28A849F47065}"/>
    <cellStyle name="20% - Accent3 2 4 2 2 3" xfId="34153" xr:uid="{D012AF6B-826D-4370-BF6E-B08201FEE673}"/>
    <cellStyle name="20% - Accent3 2 4 2 2 4" xfId="42600" xr:uid="{25A64F80-80A7-48AB-A601-A6FF86258D2A}"/>
    <cellStyle name="20% - Accent3 2 4 2 2 5" xfId="16406" xr:uid="{4D69DF3B-A610-4B63-9DCF-3BEE8E8C2E61}"/>
    <cellStyle name="20% - Accent3 2 4 2 3" xfId="21489" xr:uid="{C7F6CE15-C3CB-4AC1-A3E3-ED9CC539FC46}"/>
    <cellStyle name="20% - Accent3 2 4 2 4" xfId="29936" xr:uid="{06DB79CB-372D-428B-AFE8-3A9C4ECC3648}"/>
    <cellStyle name="20% - Accent3 2 4 2 5" xfId="38383" xr:uid="{A716A0F6-21B2-4C11-A4BE-7331ACF77B6F}"/>
    <cellStyle name="20% - Accent3 2 4 2 6" xfId="12189" xr:uid="{46C573C4-8D88-4ECB-8B9B-2B9C5ECB1F75}"/>
    <cellStyle name="20% - Accent3 2 4 3" xfId="4935" xr:uid="{00000000-0005-0000-0000-000082010000}"/>
    <cellStyle name="20% - Accent3 2 4 3 2" xfId="23561" xr:uid="{C45B70FB-4E36-4422-AB5C-DBA0DEAF771D}"/>
    <cellStyle name="20% - Accent3 2 4 3 3" xfId="32008" xr:uid="{7CB00CEF-8156-4EAE-A2FF-AC52736576CA}"/>
    <cellStyle name="20% - Accent3 2 4 3 4" xfId="40455" xr:uid="{E8A66713-3998-41B8-8D28-6BE6FDB7A599}"/>
    <cellStyle name="20% - Accent3 2 4 3 5" xfId="14261" xr:uid="{AF07C9D2-9692-406A-95D3-C42A3F52071C}"/>
    <cellStyle name="20% - Accent3 2 4 4" xfId="9216" xr:uid="{A12C3877-5492-4CD3-AD22-81B3F0AB1EDD}"/>
    <cellStyle name="20% - Accent3 2 4 4 2" xfId="18533" xr:uid="{D09FAA98-380B-4B24-83CD-A30705589229}"/>
    <cellStyle name="20% - Accent3 2 4 5" xfId="19344" xr:uid="{4B316A17-386D-4841-B068-F798EC5B92BD}"/>
    <cellStyle name="20% - Accent3 2 4 6" xfId="27791" xr:uid="{A2B60573-E1CD-427C-B844-28A0B2293BA9}"/>
    <cellStyle name="20% - Accent3 2 4 7" xfId="36238" xr:uid="{5C070B46-B6DD-44DC-9650-666925D465A9}"/>
    <cellStyle name="20% - Accent3 2 4 8" xfId="10044" xr:uid="{18C9BE9B-DDFE-4C8E-B324-9E93DCF7B581}"/>
    <cellStyle name="20% - Accent3 2 5" xfId="1040" xr:uid="{00000000-0005-0000-0000-000083010000}"/>
    <cellStyle name="20% - Accent3 2 5 2" xfId="3271" xr:uid="{00000000-0005-0000-0000-000084010000}"/>
    <cellStyle name="20% - Accent3 2 5 2 2" xfId="7493" xr:uid="{00000000-0005-0000-0000-000085010000}"/>
    <cellStyle name="20% - Accent3 2 5 2 2 2" xfId="26119" xr:uid="{90256E1A-759B-4DA1-B787-1F1D49DBE2E7}"/>
    <cellStyle name="20% - Accent3 2 5 2 2 3" xfId="34566" xr:uid="{2778A851-55F9-4C38-949B-F235CBA16F58}"/>
    <cellStyle name="20% - Accent3 2 5 2 2 4" xfId="43013" xr:uid="{1F87135B-6DC9-495E-8E01-170F548B18A7}"/>
    <cellStyle name="20% - Accent3 2 5 2 2 5" xfId="16819" xr:uid="{F899B7DD-1528-4A89-B5C9-BF969E2831E0}"/>
    <cellStyle name="20% - Accent3 2 5 2 3" xfId="21902" xr:uid="{A87D801C-EEF3-4B5D-9048-460ED15BE72C}"/>
    <cellStyle name="20% - Accent3 2 5 2 4" xfId="30349" xr:uid="{F701D45F-B28D-4EA8-851D-4B88F0761A64}"/>
    <cellStyle name="20% - Accent3 2 5 2 5" xfId="38796" xr:uid="{04DA02AE-3960-472C-9BEC-D201D883FAAB}"/>
    <cellStyle name="20% - Accent3 2 5 2 6" xfId="12602" xr:uid="{2DBF9F0A-E886-44BF-8BFD-5B9B14B0CCFE}"/>
    <cellStyle name="20% - Accent3 2 5 3" xfId="5348" xr:uid="{00000000-0005-0000-0000-000086010000}"/>
    <cellStyle name="20% - Accent3 2 5 3 2" xfId="23974" xr:uid="{0EB1A309-DFFD-406B-89FF-4F82D956B0DD}"/>
    <cellStyle name="20% - Accent3 2 5 3 3" xfId="32421" xr:uid="{DD6B786F-71D7-4567-AEC8-F0BFC9BB4BB1}"/>
    <cellStyle name="20% - Accent3 2 5 3 4" xfId="40868" xr:uid="{EE8EED11-2126-43B0-82A4-F55EC94D1607}"/>
    <cellStyle name="20% - Accent3 2 5 3 5" xfId="14674" xr:uid="{9CC04E1C-C870-4572-80DF-F9E1A45247DC}"/>
    <cellStyle name="20% - Accent3 2 5 4" xfId="19757" xr:uid="{BC76C8A1-55B6-4201-A045-56B89544B5F6}"/>
    <cellStyle name="20% - Accent3 2 5 5" xfId="28204" xr:uid="{3D193D26-FA80-418F-B849-F3F1814A0569}"/>
    <cellStyle name="20% - Accent3 2 5 6" xfId="36651" xr:uid="{F60941D0-AFF1-4276-9F9C-E1990C712E5A}"/>
    <cellStyle name="20% - Accent3 2 5 7" xfId="10457" xr:uid="{B0D60C72-9D33-4514-984B-E18322A29C03}"/>
    <cellStyle name="20% - Accent3 2 6" xfId="1454" xr:uid="{00000000-0005-0000-0000-000087010000}"/>
    <cellStyle name="20% - Accent3 2 6 2" xfId="3684" xr:uid="{00000000-0005-0000-0000-000088010000}"/>
    <cellStyle name="20% - Accent3 2 6 2 2" xfId="7906" xr:uid="{00000000-0005-0000-0000-000089010000}"/>
    <cellStyle name="20% - Accent3 2 6 2 2 2" xfId="26532" xr:uid="{090A2272-7D80-4801-A463-1EB093C4EF20}"/>
    <cellStyle name="20% - Accent3 2 6 2 2 3" xfId="34979" xr:uid="{E2A30248-4FD9-4A3D-9A1A-866CFC8987E7}"/>
    <cellStyle name="20% - Accent3 2 6 2 2 4" xfId="43426" xr:uid="{95B167A5-2AF4-4185-A46D-BB29A1877182}"/>
    <cellStyle name="20% - Accent3 2 6 2 2 5" xfId="17232" xr:uid="{633926A2-F717-4504-9BD7-2D90B549A831}"/>
    <cellStyle name="20% - Accent3 2 6 2 3" xfId="22315" xr:uid="{3EFBA5C5-B908-43EE-9E4A-F21A82BE7283}"/>
    <cellStyle name="20% - Accent3 2 6 2 4" xfId="30762" xr:uid="{3F525514-1FEF-4E24-B47E-55ABA70D0D2C}"/>
    <cellStyle name="20% - Accent3 2 6 2 5" xfId="39209" xr:uid="{BD783198-8783-47C0-B030-A66B8E8B83A2}"/>
    <cellStyle name="20% - Accent3 2 6 2 6" xfId="13015" xr:uid="{32AD3440-8DAE-4632-8816-F9AB184AD14F}"/>
    <cellStyle name="20% - Accent3 2 6 3" xfId="5761" xr:uid="{00000000-0005-0000-0000-00008A010000}"/>
    <cellStyle name="20% - Accent3 2 6 3 2" xfId="24387" xr:uid="{9197E982-33C1-48FC-A83F-7CE94CDC7B59}"/>
    <cellStyle name="20% - Accent3 2 6 3 3" xfId="32834" xr:uid="{22021113-C03A-4917-A562-04B4BD650E1A}"/>
    <cellStyle name="20% - Accent3 2 6 3 4" xfId="41281" xr:uid="{D0A78BA5-B95C-4C01-B9BE-A3FD91B5BBEF}"/>
    <cellStyle name="20% - Accent3 2 6 3 5" xfId="15087" xr:uid="{D9DF81DB-5CB7-4FAD-9FC2-52594D14952B}"/>
    <cellStyle name="20% - Accent3 2 6 4" xfId="20170" xr:uid="{EF9BAFE2-0649-4085-8D40-2D9D4F4FB02D}"/>
    <cellStyle name="20% - Accent3 2 6 5" xfId="28617" xr:uid="{CDDA86A3-C905-4B8E-9154-69FEF8C25543}"/>
    <cellStyle name="20% - Accent3 2 6 6" xfId="37064" xr:uid="{C6C7D16E-4415-44A7-A938-A85EE4ED8ABB}"/>
    <cellStyle name="20% - Accent3 2 6 7" xfId="10870" xr:uid="{A5396E43-B69D-40D9-A2D0-044DCA3B6C7D}"/>
    <cellStyle name="20% - Accent3 2 7" xfId="1868" xr:uid="{00000000-0005-0000-0000-00008B010000}"/>
    <cellStyle name="20% - Accent3 2 7 2" xfId="4097" xr:uid="{00000000-0005-0000-0000-00008C010000}"/>
    <cellStyle name="20% - Accent3 2 7 2 2" xfId="8319" xr:uid="{00000000-0005-0000-0000-00008D010000}"/>
    <cellStyle name="20% - Accent3 2 7 2 2 2" xfId="26945" xr:uid="{DBAC9BDA-9B73-4BBC-A23D-0E305766BDAF}"/>
    <cellStyle name="20% - Accent3 2 7 2 2 3" xfId="35392" xr:uid="{D1F743C4-F34A-453D-8747-0369B15B5C04}"/>
    <cellStyle name="20% - Accent3 2 7 2 2 4" xfId="43839" xr:uid="{38A34A07-8D0A-4A8F-BA61-B1D70B7C02B5}"/>
    <cellStyle name="20% - Accent3 2 7 2 2 5" xfId="17645" xr:uid="{5E3D5212-1BF9-4CA8-B8D0-AB16CED5372C}"/>
    <cellStyle name="20% - Accent3 2 7 2 3" xfId="22728" xr:uid="{31C8DCE3-D97A-44F2-A229-48509C0C5CC6}"/>
    <cellStyle name="20% - Accent3 2 7 2 4" xfId="31175" xr:uid="{4D61D37F-1A32-4AAD-90FE-040FDEEA5911}"/>
    <cellStyle name="20% - Accent3 2 7 2 5" xfId="39622" xr:uid="{C236BAD5-35C3-4AE7-9567-EA42E93587E5}"/>
    <cellStyle name="20% - Accent3 2 7 2 6" xfId="13428" xr:uid="{76A7D1B0-AE16-4F7D-B4F8-EDFF03BE51B0}"/>
    <cellStyle name="20% - Accent3 2 7 3" xfId="6174" xr:uid="{00000000-0005-0000-0000-00008E010000}"/>
    <cellStyle name="20% - Accent3 2 7 3 2" xfId="24800" xr:uid="{EF26651D-A582-40A5-A5CF-6756E2B05CA4}"/>
    <cellStyle name="20% - Accent3 2 7 3 3" xfId="33247" xr:uid="{77282FF1-722D-44E6-878D-F0A27568A187}"/>
    <cellStyle name="20% - Accent3 2 7 3 4" xfId="41694" xr:uid="{9038E6F4-7FF7-46B2-B09A-FD0D2EEC90F9}"/>
    <cellStyle name="20% - Accent3 2 7 3 5" xfId="15500" xr:uid="{1654A44A-269C-470E-823E-7C11B23CD420}"/>
    <cellStyle name="20% - Accent3 2 7 4" xfId="20583" xr:uid="{E16B6454-53E4-4A46-B05F-E6DA6D1AF0CA}"/>
    <cellStyle name="20% - Accent3 2 7 5" xfId="29030" xr:uid="{FEC623BF-4213-4369-877A-AF228CA17DB0}"/>
    <cellStyle name="20% - Accent3 2 7 6" xfId="37477" xr:uid="{251E5972-D9FB-4ECB-9957-E9785E2A7A2A}"/>
    <cellStyle name="20% - Accent3 2 7 7" xfId="11283" xr:uid="{FD44319D-05FB-4536-9E32-835D4814E2B3}"/>
    <cellStyle name="20% - Accent3 2 8" xfId="2281" xr:uid="{00000000-0005-0000-0000-00008F010000}"/>
    <cellStyle name="20% - Accent3 2 8 2" xfId="6587" xr:uid="{00000000-0005-0000-0000-000090010000}"/>
    <cellStyle name="20% - Accent3 2 8 2 2" xfId="25213" xr:uid="{D6406A29-31FB-4F36-BC57-A5519D37410F}"/>
    <cellStyle name="20% - Accent3 2 8 2 3" xfId="33660" xr:uid="{0ACCB604-6E45-4E1B-9EB2-EE80C200D27F}"/>
    <cellStyle name="20% - Accent3 2 8 2 4" xfId="42107" xr:uid="{25FA5313-3205-4BE6-928C-F2F1FA70B3D4}"/>
    <cellStyle name="20% - Accent3 2 8 2 5" xfId="15913" xr:uid="{9AF4426C-85D0-41C4-9227-71AA33ADF34A}"/>
    <cellStyle name="20% - Accent3 2 8 3" xfId="20996" xr:uid="{8410EFB5-29A2-4C14-BC7A-D596AB7081DA}"/>
    <cellStyle name="20% - Accent3 2 8 4" xfId="29443" xr:uid="{26174E7E-3C0C-4754-B576-131A59626DC3}"/>
    <cellStyle name="20% - Accent3 2 8 5" xfId="37890" xr:uid="{B6E56A36-0168-494F-85CA-39B799B8E87B}"/>
    <cellStyle name="20% - Accent3 2 8 6" xfId="11696" xr:uid="{380B51F3-C81B-4C61-8004-D8C98D724B5A}"/>
    <cellStyle name="20% - Accent3 2 9" xfId="4521" xr:uid="{00000000-0005-0000-0000-000091010000}"/>
    <cellStyle name="20% - Accent3 2 9 2" xfId="23147" xr:uid="{6A75ABA2-C253-4757-B440-5CE026F67AE8}"/>
    <cellStyle name="20% - Accent3 2 9 3" xfId="31594" xr:uid="{EBC37E11-20B8-4558-A591-A3414101E6EC}"/>
    <cellStyle name="20% - Accent3 2 9 4" xfId="40041" xr:uid="{760F685B-02DD-4E22-9A02-7ACFE60985AD}"/>
    <cellStyle name="20% - Accent3 2 9 5" xfId="13847" xr:uid="{77317234-A430-4FA1-B3FA-EC3D2113392F}"/>
    <cellStyle name="20% - Accent3 3" xfId="22" xr:uid="{00000000-0005-0000-0000-000092010000}"/>
    <cellStyle name="20% - Accent3 3 10" xfId="18934" xr:uid="{B5399473-FB64-4217-BC4C-ADC2BA6B928A}"/>
    <cellStyle name="20% - Accent3 3 11" xfId="27381" xr:uid="{CFDF1738-2EB6-4D41-A397-0600EE236AAA}"/>
    <cellStyle name="20% - Accent3 3 12" xfId="35828" xr:uid="{EF9D23CC-030B-4DFB-AA2D-87E4C6648AD5}"/>
    <cellStyle name="20% - Accent3 3 13" xfId="9634" xr:uid="{6CC69156-9CD7-4FAE-AA3E-C35486809D48}"/>
    <cellStyle name="20% - Accent3 3 2" xfId="23" xr:uid="{00000000-0005-0000-0000-000093010000}"/>
    <cellStyle name="20% - Accent3 3 2 10" xfId="27382" xr:uid="{10C68376-2802-442E-B970-2A32F803F3DC}"/>
    <cellStyle name="20% - Accent3 3 2 11" xfId="35829" xr:uid="{FFBD2157-A4F9-4266-A713-645C1FE91144}"/>
    <cellStyle name="20% - Accent3 3 2 12" xfId="9635" xr:uid="{56234224-BDF2-4A77-91B3-4F7FEC58EA8E}"/>
    <cellStyle name="20% - Accent3 3 2 2" xfId="592" xr:uid="{00000000-0005-0000-0000-000094010000}"/>
    <cellStyle name="20% - Accent3 3 2 2 2" xfId="2863" xr:uid="{00000000-0005-0000-0000-000095010000}"/>
    <cellStyle name="20% - Accent3 3 2 2 2 2" xfId="7085" xr:uid="{00000000-0005-0000-0000-000096010000}"/>
    <cellStyle name="20% - Accent3 3 2 2 2 2 2" xfId="25711" xr:uid="{3EDA13B8-6AE7-40BB-BB4D-EEEF01A5869E}"/>
    <cellStyle name="20% - Accent3 3 2 2 2 2 3" xfId="34158" xr:uid="{04E05523-1774-4BD9-9A3B-79659C99A765}"/>
    <cellStyle name="20% - Accent3 3 2 2 2 2 4" xfId="42605" xr:uid="{23F19E88-9A4A-47A7-A4E9-6DA2814B183D}"/>
    <cellStyle name="20% - Accent3 3 2 2 2 2 5" xfId="16411" xr:uid="{0E7DB660-41BF-4D18-9E3E-04ABBB8B087B}"/>
    <cellStyle name="20% - Accent3 3 2 2 2 3" xfId="21494" xr:uid="{9C49B913-2B79-447D-8405-428F241F8FEF}"/>
    <cellStyle name="20% - Accent3 3 2 2 2 4" xfId="29941" xr:uid="{0DB061C2-DDA0-48B5-A93E-A50D2AD8A28E}"/>
    <cellStyle name="20% - Accent3 3 2 2 2 5" xfId="38388" xr:uid="{10FB5D62-849F-4548-A352-C47008ED809B}"/>
    <cellStyle name="20% - Accent3 3 2 2 2 6" xfId="12194" xr:uid="{639FCE18-961C-457C-BF77-F705BA764A71}"/>
    <cellStyle name="20% - Accent3 3 2 2 3" xfId="4940" xr:uid="{00000000-0005-0000-0000-000097010000}"/>
    <cellStyle name="20% - Accent3 3 2 2 3 2" xfId="23566" xr:uid="{AB3A8C7F-05ED-4E4C-A690-E94A5E6FFEA0}"/>
    <cellStyle name="20% - Accent3 3 2 2 3 3" xfId="32013" xr:uid="{044106BF-BA1B-43AC-AEF8-7ECEC6DC4DE8}"/>
    <cellStyle name="20% - Accent3 3 2 2 3 4" xfId="40460" xr:uid="{2255428B-DC78-49BA-A89A-691C708080C5}"/>
    <cellStyle name="20% - Accent3 3 2 2 3 5" xfId="14266" xr:uid="{913C0B86-1311-452A-9EA4-A9DF15D4192C}"/>
    <cellStyle name="20% - Accent3 3 2 2 4" xfId="9497" xr:uid="{43A0E151-F418-49A1-AF18-121DEB02B6D4}"/>
    <cellStyle name="20% - Accent3 3 2 2 4 2" xfId="18813" xr:uid="{B04E4751-FFE4-491C-9082-2078FECB8310}"/>
    <cellStyle name="20% - Accent3 3 2 2 5" xfId="19349" xr:uid="{C54A5734-4E59-429C-850E-C7172B4CB2BC}"/>
    <cellStyle name="20% - Accent3 3 2 2 6" xfId="27796" xr:uid="{6E02E16D-B7E6-486D-8C55-E7474AFEA0E5}"/>
    <cellStyle name="20% - Accent3 3 2 2 7" xfId="36243" xr:uid="{BE782D75-23FE-4D8C-A610-45904F1E8388}"/>
    <cellStyle name="20% - Accent3 3 2 2 8" xfId="10049" xr:uid="{9BFD01CE-6728-4E78-A3C1-C8CCD5777192}"/>
    <cellStyle name="20% - Accent3 3 2 3" xfId="1045" xr:uid="{00000000-0005-0000-0000-000098010000}"/>
    <cellStyle name="20% - Accent3 3 2 3 2" xfId="3276" xr:uid="{00000000-0005-0000-0000-000099010000}"/>
    <cellStyle name="20% - Accent3 3 2 3 2 2" xfId="7498" xr:uid="{00000000-0005-0000-0000-00009A010000}"/>
    <cellStyle name="20% - Accent3 3 2 3 2 2 2" xfId="26124" xr:uid="{C79BA5A3-FE36-4695-877A-C6C0EE91470E}"/>
    <cellStyle name="20% - Accent3 3 2 3 2 2 3" xfId="34571" xr:uid="{D47F242F-F8F5-49A4-AC6C-A39AB3744C3D}"/>
    <cellStyle name="20% - Accent3 3 2 3 2 2 4" xfId="43018" xr:uid="{7BA307CC-B402-41CE-B2CD-2318E2BE9396}"/>
    <cellStyle name="20% - Accent3 3 2 3 2 2 5" xfId="16824" xr:uid="{6F9AE7C9-E7CF-44F9-8D48-F6C40E821C6D}"/>
    <cellStyle name="20% - Accent3 3 2 3 2 3" xfId="21907" xr:uid="{C61976B7-01D7-485D-BEA2-D630C9AC15C2}"/>
    <cellStyle name="20% - Accent3 3 2 3 2 4" xfId="30354" xr:uid="{D1FB7C4F-13AD-4E6A-8168-9CEFE45F37D0}"/>
    <cellStyle name="20% - Accent3 3 2 3 2 5" xfId="38801" xr:uid="{DE9121F2-54C8-438C-9989-C043021D26AC}"/>
    <cellStyle name="20% - Accent3 3 2 3 2 6" xfId="12607" xr:uid="{0C9658A3-D701-4E1A-91C7-8884ED99F545}"/>
    <cellStyle name="20% - Accent3 3 2 3 3" xfId="5353" xr:uid="{00000000-0005-0000-0000-00009B010000}"/>
    <cellStyle name="20% - Accent3 3 2 3 3 2" xfId="23979" xr:uid="{7EC86818-A34D-4BF6-9BC0-7CC88AFC6E8F}"/>
    <cellStyle name="20% - Accent3 3 2 3 3 3" xfId="32426" xr:uid="{12EC9CF5-9154-42C5-A440-FC589AE25DE5}"/>
    <cellStyle name="20% - Accent3 3 2 3 3 4" xfId="40873" xr:uid="{5401CE8A-CA71-4D6A-B211-BF9B84DA08AA}"/>
    <cellStyle name="20% - Accent3 3 2 3 3 5" xfId="14679" xr:uid="{8D74B170-CBB7-48F9-9B44-BECDDE16C886}"/>
    <cellStyle name="20% - Accent3 3 2 3 4" xfId="19762" xr:uid="{2E4A83BC-FA40-4AC3-9B60-B829E3DE5DB1}"/>
    <cellStyle name="20% - Accent3 3 2 3 5" xfId="28209" xr:uid="{79C0B774-EC98-402F-A740-5A27B425A074}"/>
    <cellStyle name="20% - Accent3 3 2 3 6" xfId="36656" xr:uid="{1D6B3B52-71BE-41B2-A154-D2B6051FF3E0}"/>
    <cellStyle name="20% - Accent3 3 2 3 7" xfId="10462" xr:uid="{0CE055E0-B3B7-4601-9C91-80AEA6D96FAE}"/>
    <cellStyle name="20% - Accent3 3 2 4" xfId="1459" xr:uid="{00000000-0005-0000-0000-00009C010000}"/>
    <cellStyle name="20% - Accent3 3 2 4 2" xfId="3689" xr:uid="{00000000-0005-0000-0000-00009D010000}"/>
    <cellStyle name="20% - Accent3 3 2 4 2 2" xfId="7911" xr:uid="{00000000-0005-0000-0000-00009E010000}"/>
    <cellStyle name="20% - Accent3 3 2 4 2 2 2" xfId="26537" xr:uid="{122B5CBD-2452-4E31-8404-98AE5DAFD8D2}"/>
    <cellStyle name="20% - Accent3 3 2 4 2 2 3" xfId="34984" xr:uid="{BD3C409B-678B-4B64-A54E-CDEC6ECB4B93}"/>
    <cellStyle name="20% - Accent3 3 2 4 2 2 4" xfId="43431" xr:uid="{FB430CFD-98FD-4FC7-842E-D385571E8100}"/>
    <cellStyle name="20% - Accent3 3 2 4 2 2 5" xfId="17237" xr:uid="{B002F512-B9E3-423B-BAAF-AC4C4255FB7F}"/>
    <cellStyle name="20% - Accent3 3 2 4 2 3" xfId="22320" xr:uid="{8549542B-6B2F-46D2-8BE7-2754D69FC2A3}"/>
    <cellStyle name="20% - Accent3 3 2 4 2 4" xfId="30767" xr:uid="{6016A505-1D18-4198-AD8A-0C52E7A503B7}"/>
    <cellStyle name="20% - Accent3 3 2 4 2 5" xfId="39214" xr:uid="{F4680FEF-7D7F-4CA4-9766-255227156235}"/>
    <cellStyle name="20% - Accent3 3 2 4 2 6" xfId="13020" xr:uid="{B3138A32-FFB7-479A-8967-91FE66E2B7B9}"/>
    <cellStyle name="20% - Accent3 3 2 4 3" xfId="5766" xr:uid="{00000000-0005-0000-0000-00009F010000}"/>
    <cellStyle name="20% - Accent3 3 2 4 3 2" xfId="24392" xr:uid="{6BFA9029-3632-42C5-94CE-46A4953C31EF}"/>
    <cellStyle name="20% - Accent3 3 2 4 3 3" xfId="32839" xr:uid="{C2BCC906-F910-46D6-925E-B43A225239AF}"/>
    <cellStyle name="20% - Accent3 3 2 4 3 4" xfId="41286" xr:uid="{AEAC99A4-BBD1-47E0-83CD-5F3262CA6E4D}"/>
    <cellStyle name="20% - Accent3 3 2 4 3 5" xfId="15092" xr:uid="{9024810A-304E-40CD-B23D-2B54673CEE4E}"/>
    <cellStyle name="20% - Accent3 3 2 4 4" xfId="20175" xr:uid="{0EE063EA-27C2-4033-8998-824E391EA7DB}"/>
    <cellStyle name="20% - Accent3 3 2 4 5" xfId="28622" xr:uid="{367AA549-4794-4140-B79D-AC551CFAC253}"/>
    <cellStyle name="20% - Accent3 3 2 4 6" xfId="37069" xr:uid="{8DAFCFF2-8DEB-419C-819C-A1EC350BC8C6}"/>
    <cellStyle name="20% - Accent3 3 2 4 7" xfId="10875" xr:uid="{97957BC2-F8AE-47EC-A1D0-18D338D9C711}"/>
    <cellStyle name="20% - Accent3 3 2 5" xfId="1873" xr:uid="{00000000-0005-0000-0000-0000A0010000}"/>
    <cellStyle name="20% - Accent3 3 2 5 2" xfId="4102" xr:uid="{00000000-0005-0000-0000-0000A1010000}"/>
    <cellStyle name="20% - Accent3 3 2 5 2 2" xfId="8324" xr:uid="{00000000-0005-0000-0000-0000A2010000}"/>
    <cellStyle name="20% - Accent3 3 2 5 2 2 2" xfId="26950" xr:uid="{F4B4A70D-F61B-4ADA-AAD3-9C9002127897}"/>
    <cellStyle name="20% - Accent3 3 2 5 2 2 3" xfId="35397" xr:uid="{2FEDA187-CEC1-45E6-8D2C-2F058DB4D8CA}"/>
    <cellStyle name="20% - Accent3 3 2 5 2 2 4" xfId="43844" xr:uid="{9A33D723-0F54-48D0-BEF2-F09CB90C0072}"/>
    <cellStyle name="20% - Accent3 3 2 5 2 2 5" xfId="17650" xr:uid="{5ADE91E8-68BC-44C3-A7FD-68E0C1CE4E0E}"/>
    <cellStyle name="20% - Accent3 3 2 5 2 3" xfId="22733" xr:uid="{238A099D-BB26-41E3-8900-249B1C61C4A4}"/>
    <cellStyle name="20% - Accent3 3 2 5 2 4" xfId="31180" xr:uid="{939824E3-E43E-47CC-853C-2451E5FA8FE8}"/>
    <cellStyle name="20% - Accent3 3 2 5 2 5" xfId="39627" xr:uid="{BF4F8420-8C7E-4181-955F-867C0234824D}"/>
    <cellStyle name="20% - Accent3 3 2 5 2 6" xfId="13433" xr:uid="{AAC29483-4A29-499A-B3BC-ABACC1DAAD75}"/>
    <cellStyle name="20% - Accent3 3 2 5 3" xfId="6179" xr:uid="{00000000-0005-0000-0000-0000A3010000}"/>
    <cellStyle name="20% - Accent3 3 2 5 3 2" xfId="24805" xr:uid="{264A13EB-EEBC-42AD-9202-873AD1F5E36E}"/>
    <cellStyle name="20% - Accent3 3 2 5 3 3" xfId="33252" xr:uid="{CDC7F71A-8B25-45F7-97E7-68EDF65A7ED9}"/>
    <cellStyle name="20% - Accent3 3 2 5 3 4" xfId="41699" xr:uid="{486DD194-6F75-49E1-9490-87C4E9CD2705}"/>
    <cellStyle name="20% - Accent3 3 2 5 3 5" xfId="15505" xr:uid="{2FC61363-887D-48A3-998A-1620014AB628}"/>
    <cellStyle name="20% - Accent3 3 2 5 4" xfId="20588" xr:uid="{6154DF60-3812-469E-86F3-F6A41ECE694A}"/>
    <cellStyle name="20% - Accent3 3 2 5 5" xfId="29035" xr:uid="{302E037E-E6EC-41A8-A29C-361E5119CA8C}"/>
    <cellStyle name="20% - Accent3 3 2 5 6" xfId="37482" xr:uid="{76CDF64C-2F07-4992-845A-276292B6DDF4}"/>
    <cellStyle name="20% - Accent3 3 2 5 7" xfId="11288" xr:uid="{41FAC9F9-D00B-4E0F-BC9A-C3E0A12D8932}"/>
    <cellStyle name="20% - Accent3 3 2 6" xfId="2286" xr:uid="{00000000-0005-0000-0000-0000A4010000}"/>
    <cellStyle name="20% - Accent3 3 2 6 2" xfId="6592" xr:uid="{00000000-0005-0000-0000-0000A5010000}"/>
    <cellStyle name="20% - Accent3 3 2 6 2 2" xfId="25218" xr:uid="{1B6B6D61-0E0D-483F-9B52-4359203F2972}"/>
    <cellStyle name="20% - Accent3 3 2 6 2 3" xfId="33665" xr:uid="{CB3C9264-35FB-42B9-9B60-D1345DCC6C16}"/>
    <cellStyle name="20% - Accent3 3 2 6 2 4" xfId="42112" xr:uid="{506D74AD-3879-4EB5-9495-EDDDA6907A9F}"/>
    <cellStyle name="20% - Accent3 3 2 6 2 5" xfId="15918" xr:uid="{B96173DE-7EB3-4496-A9FC-112E4B8E8438}"/>
    <cellStyle name="20% - Accent3 3 2 6 3" xfId="21001" xr:uid="{B5671CB6-4206-4DA7-B578-10E44FDBABCD}"/>
    <cellStyle name="20% - Accent3 3 2 6 4" xfId="29448" xr:uid="{6CB6A3B8-8FCD-4FBD-A74E-6D134727B83F}"/>
    <cellStyle name="20% - Accent3 3 2 6 5" xfId="37895" xr:uid="{F45421B0-24F9-4220-9BE3-AF1DF4669A66}"/>
    <cellStyle name="20% - Accent3 3 2 6 6" xfId="11701" xr:uid="{805880C2-3BEE-4B81-8492-69088D9B2C5F}"/>
    <cellStyle name="20% - Accent3 3 2 7" xfId="4526" xr:uid="{00000000-0005-0000-0000-0000A6010000}"/>
    <cellStyle name="20% - Accent3 3 2 7 2" xfId="23152" xr:uid="{8B2C9F6B-DA0C-4F49-AA13-51CB088B92CE}"/>
    <cellStyle name="20% - Accent3 3 2 7 3" xfId="31599" xr:uid="{03DA835F-7E3A-432C-8D26-BC963FCE5D6F}"/>
    <cellStyle name="20% - Accent3 3 2 7 4" xfId="40046" xr:uid="{690FCE2B-BEF8-4622-B394-47F760C436AD}"/>
    <cellStyle name="20% - Accent3 3 2 7 5" xfId="13852" xr:uid="{EC3FA255-10D9-4D86-B76B-4803D7574DDC}"/>
    <cellStyle name="20% - Accent3 3 2 8" xfId="9072" xr:uid="{422EC144-F6F8-460E-8B93-316BBF9707FB}"/>
    <cellStyle name="20% - Accent3 3 2 8 2" xfId="18396" xr:uid="{01285738-5D1C-452B-AD79-CFBA58DE5C69}"/>
    <cellStyle name="20% - Accent3 3 2 9" xfId="18935" xr:uid="{8BC38F0A-A6E3-4975-B18A-258A69FD642C}"/>
    <cellStyle name="20% - Accent3 3 3" xfId="591" xr:uid="{00000000-0005-0000-0000-0000A7010000}"/>
    <cellStyle name="20% - Accent3 3 3 2" xfId="2862" xr:uid="{00000000-0005-0000-0000-0000A8010000}"/>
    <cellStyle name="20% - Accent3 3 3 2 2" xfId="7084" xr:uid="{00000000-0005-0000-0000-0000A9010000}"/>
    <cellStyle name="20% - Accent3 3 3 2 2 2" xfId="25710" xr:uid="{97A7BBE3-6925-47C2-86DD-16627175B495}"/>
    <cellStyle name="20% - Accent3 3 3 2 2 3" xfId="34157" xr:uid="{30A92604-42AF-4DFB-9F09-E05EE3DAFD10}"/>
    <cellStyle name="20% - Accent3 3 3 2 2 4" xfId="42604" xr:uid="{F959BFFB-B541-4F8A-B775-EF5F8783BFA2}"/>
    <cellStyle name="20% - Accent3 3 3 2 2 5" xfId="16410" xr:uid="{1E074E42-63BD-46AF-A295-68880C8005B2}"/>
    <cellStyle name="20% - Accent3 3 3 2 3" xfId="21493" xr:uid="{CAACD3C8-58F6-4E3F-87A2-5DA145FBB577}"/>
    <cellStyle name="20% - Accent3 3 3 2 4" xfId="29940" xr:uid="{B58EAF88-6099-44C5-8B34-3AD6830DD18A}"/>
    <cellStyle name="20% - Accent3 3 3 2 5" xfId="38387" xr:uid="{A5D03BCF-DE65-42FE-8822-7D31CE303A50}"/>
    <cellStyle name="20% - Accent3 3 3 2 6" xfId="12193" xr:uid="{2F1886E3-A7BE-4150-8CEB-08345EC5CE34}"/>
    <cellStyle name="20% - Accent3 3 3 3" xfId="4939" xr:uid="{00000000-0005-0000-0000-0000AA010000}"/>
    <cellStyle name="20% - Accent3 3 3 3 2" xfId="23565" xr:uid="{9882084F-451E-4904-BB0C-387BF473E19B}"/>
    <cellStyle name="20% - Accent3 3 3 3 3" xfId="32012" xr:uid="{B5562671-8D96-4C7B-9892-60DC974A9C98}"/>
    <cellStyle name="20% - Accent3 3 3 3 4" xfId="40459" xr:uid="{3AC81ED8-B5EA-4C35-8E70-7EFD7E6A7413}"/>
    <cellStyle name="20% - Accent3 3 3 3 5" xfId="14265" xr:uid="{CA84BBD2-B351-4FF8-8756-B8CEC14DE992}"/>
    <cellStyle name="20% - Accent3 3 3 4" xfId="9290" xr:uid="{8511D0A3-BAF4-4D49-BFEA-2ED828678819}"/>
    <cellStyle name="20% - Accent3 3 3 4 2" xfId="18606" xr:uid="{D4FE2C95-061B-40B7-A69F-F4AAFDE6731D}"/>
    <cellStyle name="20% - Accent3 3 3 5" xfId="19348" xr:uid="{959CABA8-7C0B-4702-8942-A1EAF3429D35}"/>
    <cellStyle name="20% - Accent3 3 3 6" xfId="27795" xr:uid="{F697B19A-27FD-44B7-9690-834303E261E1}"/>
    <cellStyle name="20% - Accent3 3 3 7" xfId="36242" xr:uid="{D3D7270F-A379-41E6-9C56-DD5105C27125}"/>
    <cellStyle name="20% - Accent3 3 3 8" xfId="10048" xr:uid="{395117FF-DBE0-4B52-9018-8588FBB4B5E1}"/>
    <cellStyle name="20% - Accent3 3 4" xfId="1044" xr:uid="{00000000-0005-0000-0000-0000AB010000}"/>
    <cellStyle name="20% - Accent3 3 4 2" xfId="3275" xr:uid="{00000000-0005-0000-0000-0000AC010000}"/>
    <cellStyle name="20% - Accent3 3 4 2 2" xfId="7497" xr:uid="{00000000-0005-0000-0000-0000AD010000}"/>
    <cellStyle name="20% - Accent3 3 4 2 2 2" xfId="26123" xr:uid="{492E8B99-4C5D-42EC-8343-ECB6F0C43DB3}"/>
    <cellStyle name="20% - Accent3 3 4 2 2 3" xfId="34570" xr:uid="{F39EB74F-8492-48D1-A285-AA3F9637496A}"/>
    <cellStyle name="20% - Accent3 3 4 2 2 4" xfId="43017" xr:uid="{B5C60176-F2B2-4F40-A1C1-08B4416FCF29}"/>
    <cellStyle name="20% - Accent3 3 4 2 2 5" xfId="16823" xr:uid="{42CB2846-ABBE-471B-944B-4FADA07E4E14}"/>
    <cellStyle name="20% - Accent3 3 4 2 3" xfId="21906" xr:uid="{57E9A894-B36A-4700-AFAA-9C2E941DE298}"/>
    <cellStyle name="20% - Accent3 3 4 2 4" xfId="30353" xr:uid="{5AA364BA-5D91-48F8-BB82-10B83575555A}"/>
    <cellStyle name="20% - Accent3 3 4 2 5" xfId="38800" xr:uid="{E277816B-B519-4B37-BE25-9286E86DD993}"/>
    <cellStyle name="20% - Accent3 3 4 2 6" xfId="12606" xr:uid="{443F0C03-A029-4C21-8D8E-61BEADF710FA}"/>
    <cellStyle name="20% - Accent3 3 4 3" xfId="5352" xr:uid="{00000000-0005-0000-0000-0000AE010000}"/>
    <cellStyle name="20% - Accent3 3 4 3 2" xfId="23978" xr:uid="{CC5503CC-0115-411A-98E2-60395FBEE107}"/>
    <cellStyle name="20% - Accent3 3 4 3 3" xfId="32425" xr:uid="{1D3A434F-D82C-4550-A710-B6FE748EE841}"/>
    <cellStyle name="20% - Accent3 3 4 3 4" xfId="40872" xr:uid="{14948AB4-80C8-4737-9B00-02DA732413AC}"/>
    <cellStyle name="20% - Accent3 3 4 3 5" xfId="14678" xr:uid="{F1050ACB-5B64-436C-89B7-11219BE89578}"/>
    <cellStyle name="20% - Accent3 3 4 4" xfId="19761" xr:uid="{6E73FC5C-B03C-4896-AD7D-7F6F8C454885}"/>
    <cellStyle name="20% - Accent3 3 4 5" xfId="28208" xr:uid="{D311A53A-648A-438F-B124-140E85A94600}"/>
    <cellStyle name="20% - Accent3 3 4 6" xfId="36655" xr:uid="{5EECB05A-6D09-4FDF-9A46-E85AC95EBF35}"/>
    <cellStyle name="20% - Accent3 3 4 7" xfId="10461" xr:uid="{D50AC5B9-AA5D-462A-83D1-C0C479E03C92}"/>
    <cellStyle name="20% - Accent3 3 5" xfId="1458" xr:uid="{00000000-0005-0000-0000-0000AF010000}"/>
    <cellStyle name="20% - Accent3 3 5 2" xfId="3688" xr:uid="{00000000-0005-0000-0000-0000B0010000}"/>
    <cellStyle name="20% - Accent3 3 5 2 2" xfId="7910" xr:uid="{00000000-0005-0000-0000-0000B1010000}"/>
    <cellStyle name="20% - Accent3 3 5 2 2 2" xfId="26536" xr:uid="{CC2D80BC-68FC-49B3-9A91-80253DC885AB}"/>
    <cellStyle name="20% - Accent3 3 5 2 2 3" xfId="34983" xr:uid="{4C8D22BC-4FE0-4FFE-A839-6AF77A24DC8C}"/>
    <cellStyle name="20% - Accent3 3 5 2 2 4" xfId="43430" xr:uid="{34A53E94-E422-410A-93EF-E1817FCA4088}"/>
    <cellStyle name="20% - Accent3 3 5 2 2 5" xfId="17236" xr:uid="{F44C5396-780F-4E05-8066-31EECE33C219}"/>
    <cellStyle name="20% - Accent3 3 5 2 3" xfId="22319" xr:uid="{FF700A9B-C1D9-4806-8F8E-B26ECE94E3F5}"/>
    <cellStyle name="20% - Accent3 3 5 2 4" xfId="30766" xr:uid="{8064D5DF-D2F8-4A25-8169-F9932E9A8160}"/>
    <cellStyle name="20% - Accent3 3 5 2 5" xfId="39213" xr:uid="{69E4913D-7216-4749-9483-99E482F2F2EE}"/>
    <cellStyle name="20% - Accent3 3 5 2 6" xfId="13019" xr:uid="{01593F5F-9449-4C00-8581-BC42B8B765AB}"/>
    <cellStyle name="20% - Accent3 3 5 3" xfId="5765" xr:uid="{00000000-0005-0000-0000-0000B2010000}"/>
    <cellStyle name="20% - Accent3 3 5 3 2" xfId="24391" xr:uid="{8A023536-B1F9-4955-BE39-027FF578301B}"/>
    <cellStyle name="20% - Accent3 3 5 3 3" xfId="32838" xr:uid="{BC29CA18-5B26-42B3-9F4C-06DD66DA1221}"/>
    <cellStyle name="20% - Accent3 3 5 3 4" xfId="41285" xr:uid="{34D78581-7669-45C3-B903-C9839322DE8A}"/>
    <cellStyle name="20% - Accent3 3 5 3 5" xfId="15091" xr:uid="{0E25651F-2D3B-4012-8EAE-AC3ECFBDF43A}"/>
    <cellStyle name="20% - Accent3 3 5 4" xfId="20174" xr:uid="{04464E1E-D4C3-44C1-BF2C-66B7F14427A9}"/>
    <cellStyle name="20% - Accent3 3 5 5" xfId="28621" xr:uid="{09209E1B-626E-4C48-BC8E-0618C514877A}"/>
    <cellStyle name="20% - Accent3 3 5 6" xfId="37068" xr:uid="{FE018CCA-BB12-45F7-A07C-D6A0407EF154}"/>
    <cellStyle name="20% - Accent3 3 5 7" xfId="10874" xr:uid="{3F9AD94D-91C9-4DA4-8398-C55A7D19E4BF}"/>
    <cellStyle name="20% - Accent3 3 6" xfId="1872" xr:uid="{00000000-0005-0000-0000-0000B3010000}"/>
    <cellStyle name="20% - Accent3 3 6 2" xfId="4101" xr:uid="{00000000-0005-0000-0000-0000B4010000}"/>
    <cellStyle name="20% - Accent3 3 6 2 2" xfId="8323" xr:uid="{00000000-0005-0000-0000-0000B5010000}"/>
    <cellStyle name="20% - Accent3 3 6 2 2 2" xfId="26949" xr:uid="{75862C6B-80B5-42F5-9454-75C1B7BDC6BC}"/>
    <cellStyle name="20% - Accent3 3 6 2 2 3" xfId="35396" xr:uid="{C7005B7F-ED54-4FBB-8E98-0E9C55D7218F}"/>
    <cellStyle name="20% - Accent3 3 6 2 2 4" xfId="43843" xr:uid="{39C7D987-1545-4BF7-A5C7-7807388B35A4}"/>
    <cellStyle name="20% - Accent3 3 6 2 2 5" xfId="17649" xr:uid="{38072108-72B0-4C4B-84B3-61FA49A0D8D5}"/>
    <cellStyle name="20% - Accent3 3 6 2 3" xfId="22732" xr:uid="{99C5D2DE-876B-4E93-B8B6-9F97EBA68021}"/>
    <cellStyle name="20% - Accent3 3 6 2 4" xfId="31179" xr:uid="{3015683F-77B7-4D75-BDC0-6AF42A3763DA}"/>
    <cellStyle name="20% - Accent3 3 6 2 5" xfId="39626" xr:uid="{5409F995-7123-46C5-83BE-E7AFB7EAC510}"/>
    <cellStyle name="20% - Accent3 3 6 2 6" xfId="13432" xr:uid="{60994DDE-142B-447C-9C8B-9B31522CC34D}"/>
    <cellStyle name="20% - Accent3 3 6 3" xfId="6178" xr:uid="{00000000-0005-0000-0000-0000B6010000}"/>
    <cellStyle name="20% - Accent3 3 6 3 2" xfId="24804" xr:uid="{0E534D15-E060-4480-9A63-6B4068FE5211}"/>
    <cellStyle name="20% - Accent3 3 6 3 3" xfId="33251" xr:uid="{808025E9-A197-4DD9-ACC2-B87203D5BE9C}"/>
    <cellStyle name="20% - Accent3 3 6 3 4" xfId="41698" xr:uid="{955B3989-83B7-49D9-90B6-1E22A8FFA19E}"/>
    <cellStyle name="20% - Accent3 3 6 3 5" xfId="15504" xr:uid="{763A9AC7-6CAA-40A3-AEEB-9519215020A9}"/>
    <cellStyle name="20% - Accent3 3 6 4" xfId="20587" xr:uid="{A846C5FA-7749-49DE-88A7-C4D8E11BD708}"/>
    <cellStyle name="20% - Accent3 3 6 5" xfId="29034" xr:uid="{3D8D9E22-0D98-41ED-A2C0-075AE3E43A29}"/>
    <cellStyle name="20% - Accent3 3 6 6" xfId="37481" xr:uid="{191643B6-C164-4463-89C5-0BCD19743555}"/>
    <cellStyle name="20% - Accent3 3 6 7" xfId="11287" xr:uid="{D3DF124F-90FF-4EB0-ABC7-DE364F8325D8}"/>
    <cellStyle name="20% - Accent3 3 7" xfId="2285" xr:uid="{00000000-0005-0000-0000-0000B7010000}"/>
    <cellStyle name="20% - Accent3 3 7 2" xfId="6591" xr:uid="{00000000-0005-0000-0000-0000B8010000}"/>
    <cellStyle name="20% - Accent3 3 7 2 2" xfId="25217" xr:uid="{C2FFA267-C01D-4F5B-8506-5270DEF2386F}"/>
    <cellStyle name="20% - Accent3 3 7 2 3" xfId="33664" xr:uid="{34210B00-901E-4A0F-91F9-3738CA8D02CA}"/>
    <cellStyle name="20% - Accent3 3 7 2 4" xfId="42111" xr:uid="{415C231E-AF84-44B5-98AB-A8DB1FBA5D95}"/>
    <cellStyle name="20% - Accent3 3 7 2 5" xfId="15917" xr:uid="{335F5043-6313-49E2-AE71-3549FA60D579}"/>
    <cellStyle name="20% - Accent3 3 7 3" xfId="21000" xr:uid="{7D98CEC0-B514-42BC-9E00-D9A1C77C73B9}"/>
    <cellStyle name="20% - Accent3 3 7 4" xfId="29447" xr:uid="{E0C617F9-9DBE-4794-A139-22046F1BA5A3}"/>
    <cellStyle name="20% - Accent3 3 7 5" xfId="37894" xr:uid="{035703C5-8F69-46F1-9BAE-132158E2F11B}"/>
    <cellStyle name="20% - Accent3 3 7 6" xfId="11700" xr:uid="{8E22C1A8-6743-48B2-A201-80429ED67791}"/>
    <cellStyle name="20% - Accent3 3 8" xfId="4525" xr:uid="{00000000-0005-0000-0000-0000B9010000}"/>
    <cellStyle name="20% - Accent3 3 8 2" xfId="23151" xr:uid="{CB844A24-A69C-4800-A975-D0D7337AD9B4}"/>
    <cellStyle name="20% - Accent3 3 8 3" xfId="31598" xr:uid="{1783E88A-ACF0-4B63-B7CC-4FDEBEF2C779}"/>
    <cellStyle name="20% - Accent3 3 8 4" xfId="40045" xr:uid="{6ED4FCA7-0466-424E-9C32-49998B2D636B}"/>
    <cellStyle name="20% - Accent3 3 8 5" xfId="13851" xr:uid="{A16EA939-C8D5-45DB-8046-58AE75B5BBC4}"/>
    <cellStyle name="20% - Accent3 3 9" xfId="8865" xr:uid="{FFA3EBA3-F40D-47A2-8AA1-A3A9E7BB9A8E}"/>
    <cellStyle name="20% - Accent3 3 9 2" xfId="18189" xr:uid="{1002003B-A383-4C9B-A7F1-CAC5D858E3AA}"/>
    <cellStyle name="20% - Accent3 4" xfId="24" xr:uid="{00000000-0005-0000-0000-0000BA010000}"/>
    <cellStyle name="20% - Accent3 4 10" xfId="27383" xr:uid="{0147BF6B-27ED-4DB3-8C9F-E52F5214E92F}"/>
    <cellStyle name="20% - Accent3 4 11" xfId="35830" xr:uid="{32EA015D-55CA-4F46-9AB7-F29B0B8A1AA2}"/>
    <cellStyle name="20% - Accent3 4 12" xfId="9636" xr:uid="{AFCF7CA7-E09E-41DA-B20F-F00F8A1F8F4C}"/>
    <cellStyle name="20% - Accent3 4 2" xfId="593" xr:uid="{00000000-0005-0000-0000-0000BB010000}"/>
    <cellStyle name="20% - Accent3 4 2 2" xfId="2864" xr:uid="{00000000-0005-0000-0000-0000BC010000}"/>
    <cellStyle name="20% - Accent3 4 2 2 2" xfId="7086" xr:uid="{00000000-0005-0000-0000-0000BD010000}"/>
    <cellStyle name="20% - Accent3 4 2 2 2 2" xfId="25712" xr:uid="{584C3719-1207-4EC8-A04B-585E5A547F3B}"/>
    <cellStyle name="20% - Accent3 4 2 2 2 3" xfId="34159" xr:uid="{8E9E3560-B48D-4DC3-9282-464E10CEB9B0}"/>
    <cellStyle name="20% - Accent3 4 2 2 2 4" xfId="42606" xr:uid="{62E9EBB3-A606-4D1D-ACBF-63C5447591E4}"/>
    <cellStyle name="20% - Accent3 4 2 2 2 5" xfId="16412" xr:uid="{268F246B-09A9-4481-9F35-352D10DD8DC7}"/>
    <cellStyle name="20% - Accent3 4 2 2 3" xfId="21495" xr:uid="{777E7E0E-A9A9-4775-BFFE-1EDBEE4B93A0}"/>
    <cellStyle name="20% - Accent3 4 2 2 4" xfId="29942" xr:uid="{FCC6BB19-012E-4A18-8C8C-274AA26396A5}"/>
    <cellStyle name="20% - Accent3 4 2 2 5" xfId="38389" xr:uid="{221E3622-7E3B-43D5-B301-C1BD96D04B17}"/>
    <cellStyle name="20% - Accent3 4 2 2 6" xfId="12195" xr:uid="{6B97359F-603A-4E3F-ACEE-6DEB8D4F5669}"/>
    <cellStyle name="20% - Accent3 4 2 3" xfId="4941" xr:uid="{00000000-0005-0000-0000-0000BE010000}"/>
    <cellStyle name="20% - Accent3 4 2 3 2" xfId="23567" xr:uid="{DCB38CA9-4F4E-4AE6-BA90-5E7ADECB173B}"/>
    <cellStyle name="20% - Accent3 4 2 3 3" xfId="32014" xr:uid="{A0D912E9-87B0-4944-BC69-82A18130D897}"/>
    <cellStyle name="20% - Accent3 4 2 3 4" xfId="40461" xr:uid="{FE0BBAD9-E254-4DFB-84C9-F148776D25A9}"/>
    <cellStyle name="20% - Accent3 4 2 3 5" xfId="14267" xr:uid="{A7C9FC0F-092B-4A24-8A48-47ABCBF01373}"/>
    <cellStyle name="20% - Accent3 4 2 4" xfId="9376" xr:uid="{92AC27CA-0B0B-4AFE-8457-D3F19BE2837F}"/>
    <cellStyle name="20% - Accent3 4 2 4 2" xfId="18692" xr:uid="{522C1149-7613-4946-8D87-14EF04318B2B}"/>
    <cellStyle name="20% - Accent3 4 2 5" xfId="19350" xr:uid="{BD45583B-B1EE-4A1C-AF97-BFA6184CEF8A}"/>
    <cellStyle name="20% - Accent3 4 2 6" xfId="27797" xr:uid="{B301237F-DA46-4172-8E5A-16B03BAD9444}"/>
    <cellStyle name="20% - Accent3 4 2 7" xfId="36244" xr:uid="{B9C28C5D-8925-4B9B-81FB-2A23AAA2B44C}"/>
    <cellStyle name="20% - Accent3 4 2 8" xfId="10050" xr:uid="{D7BFA338-E630-4AB5-80B5-B2150A8FCF05}"/>
    <cellStyle name="20% - Accent3 4 3" xfId="1046" xr:uid="{00000000-0005-0000-0000-0000BF010000}"/>
    <cellStyle name="20% - Accent3 4 3 2" xfId="3277" xr:uid="{00000000-0005-0000-0000-0000C0010000}"/>
    <cellStyle name="20% - Accent3 4 3 2 2" xfId="7499" xr:uid="{00000000-0005-0000-0000-0000C1010000}"/>
    <cellStyle name="20% - Accent3 4 3 2 2 2" xfId="26125" xr:uid="{823510CB-E8F8-4A9F-9FA6-81A6BFC35AF8}"/>
    <cellStyle name="20% - Accent3 4 3 2 2 3" xfId="34572" xr:uid="{B2A1F334-DF8A-4499-83CD-3360D23FB187}"/>
    <cellStyle name="20% - Accent3 4 3 2 2 4" xfId="43019" xr:uid="{9ED85B6E-C82A-4913-9524-0BD10B78A548}"/>
    <cellStyle name="20% - Accent3 4 3 2 2 5" xfId="16825" xr:uid="{B7F239C6-8191-455D-9FBC-6BB94F845EED}"/>
    <cellStyle name="20% - Accent3 4 3 2 3" xfId="21908" xr:uid="{2BA6E1AC-1C7A-4C32-BDCE-504B67BB1ABB}"/>
    <cellStyle name="20% - Accent3 4 3 2 4" xfId="30355" xr:uid="{99665CF2-D2B9-400C-8F8A-2AE4F7352004}"/>
    <cellStyle name="20% - Accent3 4 3 2 5" xfId="38802" xr:uid="{492807F4-1C60-4D92-8EDC-D5D2F98086ED}"/>
    <cellStyle name="20% - Accent3 4 3 2 6" xfId="12608" xr:uid="{BB6F151E-4508-4DEA-805B-C68FD750F78B}"/>
    <cellStyle name="20% - Accent3 4 3 3" xfId="5354" xr:uid="{00000000-0005-0000-0000-0000C2010000}"/>
    <cellStyle name="20% - Accent3 4 3 3 2" xfId="23980" xr:uid="{8C3AEBDA-D055-4AB5-ADB5-FA13E1EE4AAB}"/>
    <cellStyle name="20% - Accent3 4 3 3 3" xfId="32427" xr:uid="{8407DFBA-DD97-49EC-86B9-4AF401B90F63}"/>
    <cellStyle name="20% - Accent3 4 3 3 4" xfId="40874" xr:uid="{F9C032D0-CBAC-4E17-B1F9-F44B411FA655}"/>
    <cellStyle name="20% - Accent3 4 3 3 5" xfId="14680" xr:uid="{C1D06F56-8F93-484C-8473-1D8F53596984}"/>
    <cellStyle name="20% - Accent3 4 3 4" xfId="19763" xr:uid="{25963E4A-F90C-4EBE-B100-19E90AB118DD}"/>
    <cellStyle name="20% - Accent3 4 3 5" xfId="28210" xr:uid="{A2C5CC77-7E3C-45E0-98CC-E3A3B31E0E48}"/>
    <cellStyle name="20% - Accent3 4 3 6" xfId="36657" xr:uid="{D46628C0-8EF2-4FC2-ABF0-DDE173625697}"/>
    <cellStyle name="20% - Accent3 4 3 7" xfId="10463" xr:uid="{BFC06CF0-116E-4E0C-B6BF-1AACA2216C03}"/>
    <cellStyle name="20% - Accent3 4 4" xfId="1460" xr:uid="{00000000-0005-0000-0000-0000C3010000}"/>
    <cellStyle name="20% - Accent3 4 4 2" xfId="3690" xr:uid="{00000000-0005-0000-0000-0000C4010000}"/>
    <cellStyle name="20% - Accent3 4 4 2 2" xfId="7912" xr:uid="{00000000-0005-0000-0000-0000C5010000}"/>
    <cellStyle name="20% - Accent3 4 4 2 2 2" xfId="26538" xr:uid="{3E84D59F-B2A4-463D-889D-28260C525ED1}"/>
    <cellStyle name="20% - Accent3 4 4 2 2 3" xfId="34985" xr:uid="{B558B421-7020-47CB-AA8D-94A6D17153A6}"/>
    <cellStyle name="20% - Accent3 4 4 2 2 4" xfId="43432" xr:uid="{A906D805-A2D7-460D-BF71-E8D867C08870}"/>
    <cellStyle name="20% - Accent3 4 4 2 2 5" xfId="17238" xr:uid="{41996926-69B7-4705-A57E-45F3EB0BCD98}"/>
    <cellStyle name="20% - Accent3 4 4 2 3" xfId="22321" xr:uid="{D085AC46-AE7D-4A48-843A-81610C305033}"/>
    <cellStyle name="20% - Accent3 4 4 2 4" xfId="30768" xr:uid="{D32B3EA5-0C16-4209-9F14-F2AF75184EB8}"/>
    <cellStyle name="20% - Accent3 4 4 2 5" xfId="39215" xr:uid="{480AE00B-1212-4957-BD8D-38E327FE3707}"/>
    <cellStyle name="20% - Accent3 4 4 2 6" xfId="13021" xr:uid="{91B28CBB-0A33-4262-8647-3BD9B8BD48D1}"/>
    <cellStyle name="20% - Accent3 4 4 3" xfId="5767" xr:uid="{00000000-0005-0000-0000-0000C6010000}"/>
    <cellStyle name="20% - Accent3 4 4 3 2" xfId="24393" xr:uid="{89E588AB-D3E3-4D04-A4DD-602C68F8A61B}"/>
    <cellStyle name="20% - Accent3 4 4 3 3" xfId="32840" xr:uid="{42E1D2A2-1090-4EC4-AA68-6A57F53D178A}"/>
    <cellStyle name="20% - Accent3 4 4 3 4" xfId="41287" xr:uid="{9283132C-744F-421D-B77A-90D7AFC7ED0F}"/>
    <cellStyle name="20% - Accent3 4 4 3 5" xfId="15093" xr:uid="{BCDF99A3-3960-4DD4-8042-8C0867C94B21}"/>
    <cellStyle name="20% - Accent3 4 4 4" xfId="20176" xr:uid="{FBE3B8EF-9ED9-4BA8-B6A1-CBD95FD5FD97}"/>
    <cellStyle name="20% - Accent3 4 4 5" xfId="28623" xr:uid="{6ECDE2BF-7B51-4A13-BDD6-13B8BED85FA2}"/>
    <cellStyle name="20% - Accent3 4 4 6" xfId="37070" xr:uid="{576ED377-9B30-4508-9431-18D55A46F030}"/>
    <cellStyle name="20% - Accent3 4 4 7" xfId="10876" xr:uid="{F315F32A-6CB3-4DB3-89D2-247357DFB25B}"/>
    <cellStyle name="20% - Accent3 4 5" xfId="1874" xr:uid="{00000000-0005-0000-0000-0000C7010000}"/>
    <cellStyle name="20% - Accent3 4 5 2" xfId="4103" xr:uid="{00000000-0005-0000-0000-0000C8010000}"/>
    <cellStyle name="20% - Accent3 4 5 2 2" xfId="8325" xr:uid="{00000000-0005-0000-0000-0000C9010000}"/>
    <cellStyle name="20% - Accent3 4 5 2 2 2" xfId="26951" xr:uid="{6E912A19-E467-4359-8A5D-DC79F8DDB9FF}"/>
    <cellStyle name="20% - Accent3 4 5 2 2 3" xfId="35398" xr:uid="{B28970CF-2E00-4FD3-9270-C357516F08F5}"/>
    <cellStyle name="20% - Accent3 4 5 2 2 4" xfId="43845" xr:uid="{704C55AF-161A-42E7-BEA3-0E089A457B69}"/>
    <cellStyle name="20% - Accent3 4 5 2 2 5" xfId="17651" xr:uid="{9106F2DE-050F-4936-8B14-2A31B777A87C}"/>
    <cellStyle name="20% - Accent3 4 5 2 3" xfId="22734" xr:uid="{295D6CF0-021A-4FB2-9715-CA47FEB8F407}"/>
    <cellStyle name="20% - Accent3 4 5 2 4" xfId="31181" xr:uid="{ADD85B34-68C1-45CB-AA69-528E115025BE}"/>
    <cellStyle name="20% - Accent3 4 5 2 5" xfId="39628" xr:uid="{B6ABF3C4-32F5-4B17-AB04-8BB86C581C18}"/>
    <cellStyle name="20% - Accent3 4 5 2 6" xfId="13434" xr:uid="{80EEF421-DE51-401A-90E1-9A5E97A81E52}"/>
    <cellStyle name="20% - Accent3 4 5 3" xfId="6180" xr:uid="{00000000-0005-0000-0000-0000CA010000}"/>
    <cellStyle name="20% - Accent3 4 5 3 2" xfId="24806" xr:uid="{C9AF7D03-7C51-4AA7-9082-F38BA874D5F7}"/>
    <cellStyle name="20% - Accent3 4 5 3 3" xfId="33253" xr:uid="{7B1ABC86-04D2-4DC7-993E-B4809005E162}"/>
    <cellStyle name="20% - Accent3 4 5 3 4" xfId="41700" xr:uid="{14E534D0-1772-409C-9480-6E61A62B1613}"/>
    <cellStyle name="20% - Accent3 4 5 3 5" xfId="15506" xr:uid="{B16EB618-5A3E-431C-A236-1F6B90712015}"/>
    <cellStyle name="20% - Accent3 4 5 4" xfId="20589" xr:uid="{93DC2F1F-96EC-4303-BFF6-453DB0BFE070}"/>
    <cellStyle name="20% - Accent3 4 5 5" xfId="29036" xr:uid="{F91E7EBC-61E2-4152-BF74-B5E52C39AF62}"/>
    <cellStyle name="20% - Accent3 4 5 6" xfId="37483" xr:uid="{564D8DED-BAB3-4534-BD92-AD55ABC78D13}"/>
    <cellStyle name="20% - Accent3 4 5 7" xfId="11289" xr:uid="{EBFC91FE-CA59-4535-B153-3BEF95A02FDB}"/>
    <cellStyle name="20% - Accent3 4 6" xfId="2287" xr:uid="{00000000-0005-0000-0000-0000CB010000}"/>
    <cellStyle name="20% - Accent3 4 6 2" xfId="6593" xr:uid="{00000000-0005-0000-0000-0000CC010000}"/>
    <cellStyle name="20% - Accent3 4 6 2 2" xfId="25219" xr:uid="{CA51B580-6F8A-48FB-AAC1-67D0AD78AB36}"/>
    <cellStyle name="20% - Accent3 4 6 2 3" xfId="33666" xr:uid="{1DCA50FF-6A78-47BD-9F31-EB0C89EB6004}"/>
    <cellStyle name="20% - Accent3 4 6 2 4" xfId="42113" xr:uid="{5C12FE29-1E97-47DE-8319-51796C7F20EC}"/>
    <cellStyle name="20% - Accent3 4 6 2 5" xfId="15919" xr:uid="{F6A04CF2-EF2A-4431-8EA4-3B329B62DD87}"/>
    <cellStyle name="20% - Accent3 4 6 3" xfId="21002" xr:uid="{9DA3CD9B-D86D-4097-A09C-19A7F4A9DD93}"/>
    <cellStyle name="20% - Accent3 4 6 4" xfId="29449" xr:uid="{D3975DFF-E9C4-4772-9C0A-F954A0A44D95}"/>
    <cellStyle name="20% - Accent3 4 6 5" xfId="37896" xr:uid="{6E95EE20-0432-453C-8786-417CA78C33BD}"/>
    <cellStyle name="20% - Accent3 4 6 6" xfId="11702" xr:uid="{1C4ABB42-21F8-4CEF-AEAD-2315C034A553}"/>
    <cellStyle name="20% - Accent3 4 7" xfId="4527" xr:uid="{00000000-0005-0000-0000-0000CD010000}"/>
    <cellStyle name="20% - Accent3 4 7 2" xfId="23153" xr:uid="{DC5525C6-DE47-451C-8223-25185FC43338}"/>
    <cellStyle name="20% - Accent3 4 7 3" xfId="31600" xr:uid="{5C05771B-9F71-4DA0-B798-60BA6A1F4747}"/>
    <cellStyle name="20% - Accent3 4 7 4" xfId="40047" xr:uid="{25B6A6B7-7D6C-460C-8E18-7F07BDE137E8}"/>
    <cellStyle name="20% - Accent3 4 7 5" xfId="13853" xr:uid="{5306AEE3-5AE7-40F7-84E8-9BF5DF096378}"/>
    <cellStyle name="20% - Accent3 4 8" xfId="8951" xr:uid="{3CB7770B-4F12-4C44-B65D-06C641FEE851}"/>
    <cellStyle name="20% - Accent3 4 8 2" xfId="18275" xr:uid="{CE414233-046E-4BBC-8207-E6A964B89540}"/>
    <cellStyle name="20% - Accent3 4 9" xfId="18936" xr:uid="{5F83B806-A305-4BA6-8558-8AB489CC3946}"/>
    <cellStyle name="20% - Accent3 5" xfId="586" xr:uid="{00000000-0005-0000-0000-0000CE010000}"/>
    <cellStyle name="20% - Accent3 5 2" xfId="2857" xr:uid="{00000000-0005-0000-0000-0000CF010000}"/>
    <cellStyle name="20% - Accent3 5 2 2" xfId="7079" xr:uid="{00000000-0005-0000-0000-0000D0010000}"/>
    <cellStyle name="20% - Accent3 5 2 2 2" xfId="25705" xr:uid="{D3F94E74-38B9-43A3-A554-A9B9417E3013}"/>
    <cellStyle name="20% - Accent3 5 2 2 3" xfId="34152" xr:uid="{5C6D57C3-E071-4C92-96B5-DEC535DA4A2C}"/>
    <cellStyle name="20% - Accent3 5 2 2 4" xfId="42599" xr:uid="{E886F91C-2726-4B7E-B39A-29C38F58D46C}"/>
    <cellStyle name="20% - Accent3 5 2 2 5" xfId="16405" xr:uid="{495E7D82-2F64-4EA5-B3DF-F4E31F66B6E0}"/>
    <cellStyle name="20% - Accent3 5 2 3" xfId="21488" xr:uid="{9536DAB6-7A45-45D6-B7E5-6E9E8F2EACB7}"/>
    <cellStyle name="20% - Accent3 5 2 4" xfId="29935" xr:uid="{C266FE1D-2CCE-41CC-8D67-EA7B9C1DBAEA}"/>
    <cellStyle name="20% - Accent3 5 2 5" xfId="38382" xr:uid="{EE6F294B-0D41-45A6-B770-F9A1C61EBCF7}"/>
    <cellStyle name="20% - Accent3 5 2 6" xfId="12188" xr:uid="{05A81ACF-9D79-4D85-B304-644ED7F65961}"/>
    <cellStyle name="20% - Accent3 5 3" xfId="4934" xr:uid="{00000000-0005-0000-0000-0000D1010000}"/>
    <cellStyle name="20% - Accent3 5 3 2" xfId="23560" xr:uid="{58E58E6D-BC1F-4277-84A2-FA6528097930}"/>
    <cellStyle name="20% - Accent3 5 3 3" xfId="32007" xr:uid="{B3DD7BF0-E148-4888-A9E6-CDE4FA8E824C}"/>
    <cellStyle name="20% - Accent3 5 3 4" xfId="40454" xr:uid="{4E0B73A2-CD73-43CD-9857-B56A954FF9CB}"/>
    <cellStyle name="20% - Accent3 5 3 5" xfId="14260" xr:uid="{261D2594-AAB1-4223-A255-4CFFD0DCFF06}"/>
    <cellStyle name="20% - Accent3 5 4" xfId="9184" xr:uid="{F51B2D95-9593-4370-A6D2-AFEF087D7920}"/>
    <cellStyle name="20% - Accent3 5 4 2" xfId="18503" xr:uid="{05DEF7CC-41D1-4C1C-B4F0-90A5DF4D585C}"/>
    <cellStyle name="20% - Accent3 5 5" xfId="19343" xr:uid="{9BE1DACA-0FB9-47B7-A059-D79628196D13}"/>
    <cellStyle name="20% - Accent3 5 6" xfId="27790" xr:uid="{51399791-F580-42E9-9F29-CB143B3C13C3}"/>
    <cellStyle name="20% - Accent3 5 7" xfId="36237" xr:uid="{5E79D6AE-7A05-40A5-ACEE-1EF9A8AFBDDC}"/>
    <cellStyle name="20% - Accent3 5 8" xfId="10043" xr:uid="{09B7CF69-098A-4C4C-8ABF-AB4D6E6E3F12}"/>
    <cellStyle name="20% - Accent3 6" xfId="1039" xr:uid="{00000000-0005-0000-0000-0000D2010000}"/>
    <cellStyle name="20% - Accent3 6 2" xfId="3270" xr:uid="{00000000-0005-0000-0000-0000D3010000}"/>
    <cellStyle name="20% - Accent3 6 2 2" xfId="7492" xr:uid="{00000000-0005-0000-0000-0000D4010000}"/>
    <cellStyle name="20% - Accent3 6 2 2 2" xfId="26118" xr:uid="{A2BBBEE5-84B9-4BAB-81D9-3473121C1782}"/>
    <cellStyle name="20% - Accent3 6 2 2 3" xfId="34565" xr:uid="{036D40DD-69D0-4AD0-AB47-EAD6BE76A083}"/>
    <cellStyle name="20% - Accent3 6 2 2 4" xfId="43012" xr:uid="{728F2223-8CEC-4F1C-87A5-F92CB7DCBF48}"/>
    <cellStyle name="20% - Accent3 6 2 2 5" xfId="16818" xr:uid="{406FFBF2-4E8C-4058-BCC6-7C148F297AAC}"/>
    <cellStyle name="20% - Accent3 6 2 3" xfId="21901" xr:uid="{8A633188-92A6-4B5F-B8B9-E15284D97839}"/>
    <cellStyle name="20% - Accent3 6 2 4" xfId="30348" xr:uid="{18EDB57F-36D6-49D1-B797-260CA37B5483}"/>
    <cellStyle name="20% - Accent3 6 2 5" xfId="38795" xr:uid="{88F28E29-9B4D-452C-BF43-A178B641988B}"/>
    <cellStyle name="20% - Accent3 6 2 6" xfId="12601" xr:uid="{9D30ADBF-39BF-4BD0-B21B-6D213AA3E566}"/>
    <cellStyle name="20% - Accent3 6 3" xfId="5347" xr:uid="{00000000-0005-0000-0000-0000D5010000}"/>
    <cellStyle name="20% - Accent3 6 3 2" xfId="23973" xr:uid="{4AC7606D-A239-4580-956E-BCFD03ED1F76}"/>
    <cellStyle name="20% - Accent3 6 3 3" xfId="32420" xr:uid="{CD28ABC4-B414-40A0-B955-B7B4C9C9CCF1}"/>
    <cellStyle name="20% - Accent3 6 3 4" xfId="40867" xr:uid="{47FF8629-8AFE-4311-8B05-BB0AE333CE7B}"/>
    <cellStyle name="20% - Accent3 6 3 5" xfId="14673" xr:uid="{48002861-CBAB-41B2-B326-5F5A523FCD2C}"/>
    <cellStyle name="20% - Accent3 6 4" xfId="19756" xr:uid="{CFAAC34D-BF33-435C-8C42-E917F00576DF}"/>
    <cellStyle name="20% - Accent3 6 5" xfId="28203" xr:uid="{D56185B2-FA89-4484-B91C-F4CB0FC66989}"/>
    <cellStyle name="20% - Accent3 6 6" xfId="36650" xr:uid="{E5CB0240-9FC6-464E-81D2-F099F169FAA8}"/>
    <cellStyle name="20% - Accent3 6 7" xfId="10456" xr:uid="{9A02F2EF-4579-4773-9328-44E05E6CD18F}"/>
    <cellStyle name="20% - Accent3 7" xfId="1453" xr:uid="{00000000-0005-0000-0000-0000D6010000}"/>
    <cellStyle name="20% - Accent3 7 2" xfId="3683" xr:uid="{00000000-0005-0000-0000-0000D7010000}"/>
    <cellStyle name="20% - Accent3 7 2 2" xfId="7905" xr:uid="{00000000-0005-0000-0000-0000D8010000}"/>
    <cellStyle name="20% - Accent3 7 2 2 2" xfId="26531" xr:uid="{664106A7-116F-4C28-AC00-D9283F236727}"/>
    <cellStyle name="20% - Accent3 7 2 2 3" xfId="34978" xr:uid="{1BD6DCAD-8B73-4C16-8B3B-FACAF96FFA6A}"/>
    <cellStyle name="20% - Accent3 7 2 2 4" xfId="43425" xr:uid="{9297D937-FBBB-4202-A796-D99A5D4E4870}"/>
    <cellStyle name="20% - Accent3 7 2 2 5" xfId="17231" xr:uid="{CF0EC54E-3776-4A43-B582-4D16F835CB78}"/>
    <cellStyle name="20% - Accent3 7 2 3" xfId="22314" xr:uid="{A5CE3D18-37C3-4C97-A67C-654C0ACBCFCC}"/>
    <cellStyle name="20% - Accent3 7 2 4" xfId="30761" xr:uid="{FABF8935-0C11-4543-9AEF-CD0A4F9BAC80}"/>
    <cellStyle name="20% - Accent3 7 2 5" xfId="39208" xr:uid="{89D78BF4-E69A-4AB4-8AB8-E67CE8B660C4}"/>
    <cellStyle name="20% - Accent3 7 2 6" xfId="13014" xr:uid="{276F6757-292B-4B33-915A-57AAD4BDB7F9}"/>
    <cellStyle name="20% - Accent3 7 3" xfId="5760" xr:uid="{00000000-0005-0000-0000-0000D9010000}"/>
    <cellStyle name="20% - Accent3 7 3 2" xfId="24386" xr:uid="{FE907162-7EC7-47A4-991D-875C28029064}"/>
    <cellStyle name="20% - Accent3 7 3 3" xfId="32833" xr:uid="{BAAC5011-DBF4-478E-80B4-DE4F5AF93991}"/>
    <cellStyle name="20% - Accent3 7 3 4" xfId="41280" xr:uid="{1EBBB1B3-00D6-452A-81C4-40ECDD6BDC79}"/>
    <cellStyle name="20% - Accent3 7 3 5" xfId="15086" xr:uid="{AC40BDCB-554A-437B-9A39-146FC41859C0}"/>
    <cellStyle name="20% - Accent3 7 4" xfId="20169" xr:uid="{BE463015-502C-4CAD-9711-588755C65A1A}"/>
    <cellStyle name="20% - Accent3 7 5" xfId="28616" xr:uid="{90F4B647-946A-4B52-93C6-DC4EF1419989}"/>
    <cellStyle name="20% - Accent3 7 6" xfId="37063" xr:uid="{510E3C19-DB06-4254-9EAB-C8494AAB3E5E}"/>
    <cellStyle name="20% - Accent3 7 7" xfId="10869" xr:uid="{BDEDCFCA-3027-4FBB-8FB9-5FCC06BF528A}"/>
    <cellStyle name="20% - Accent3 8" xfId="1867" xr:uid="{00000000-0005-0000-0000-0000DA010000}"/>
    <cellStyle name="20% - Accent3 8 2" xfId="4096" xr:uid="{00000000-0005-0000-0000-0000DB010000}"/>
    <cellStyle name="20% - Accent3 8 2 2" xfId="8318" xr:uid="{00000000-0005-0000-0000-0000DC010000}"/>
    <cellStyle name="20% - Accent3 8 2 2 2" xfId="26944" xr:uid="{8172343F-8005-447C-BD7E-AFD6FA444D00}"/>
    <cellStyle name="20% - Accent3 8 2 2 3" xfId="35391" xr:uid="{1006B572-C5EC-444E-9FC6-6D2DC8FCAD2B}"/>
    <cellStyle name="20% - Accent3 8 2 2 4" xfId="43838" xr:uid="{513A28A2-8535-4179-83D4-6D53BB581C38}"/>
    <cellStyle name="20% - Accent3 8 2 2 5" xfId="17644" xr:uid="{B3C9A007-3CFB-48EB-944E-9924F95584F3}"/>
    <cellStyle name="20% - Accent3 8 2 3" xfId="22727" xr:uid="{10F80473-75DC-42B2-9748-F6C00BC35826}"/>
    <cellStyle name="20% - Accent3 8 2 4" xfId="31174" xr:uid="{C926FFCB-88A8-407C-BDEF-51CB379182C8}"/>
    <cellStyle name="20% - Accent3 8 2 5" xfId="39621" xr:uid="{81A6F8D0-8CD5-4835-B79D-02A9E51B9B29}"/>
    <cellStyle name="20% - Accent3 8 2 6" xfId="13427" xr:uid="{1A408D17-8CE2-4842-B9DA-14B19E9047D5}"/>
    <cellStyle name="20% - Accent3 8 3" xfId="6173" xr:uid="{00000000-0005-0000-0000-0000DD010000}"/>
    <cellStyle name="20% - Accent3 8 3 2" xfId="24799" xr:uid="{FFE821CD-6079-45E4-8DDF-D13CC383985F}"/>
    <cellStyle name="20% - Accent3 8 3 3" xfId="33246" xr:uid="{9CFA6CBD-F25D-4BE6-BC41-254D8A1C7CF0}"/>
    <cellStyle name="20% - Accent3 8 3 4" xfId="41693" xr:uid="{238675E5-BA4B-4DD8-9C96-684239705CEB}"/>
    <cellStyle name="20% - Accent3 8 3 5" xfId="15499" xr:uid="{62EB5740-2BC6-486D-976F-21DC24723F01}"/>
    <cellStyle name="20% - Accent3 8 4" xfId="20582" xr:uid="{121E6E29-C3E3-4DED-8F20-D20CD8267E07}"/>
    <cellStyle name="20% - Accent3 8 5" xfId="29029" xr:uid="{5434BBC3-B334-4B6E-A026-BA1A86AB5438}"/>
    <cellStyle name="20% - Accent3 8 6" xfId="37476" xr:uid="{D8B25B36-EC6F-4240-B2BB-1D4F196861C4}"/>
    <cellStyle name="20% - Accent3 8 7" xfId="11282" xr:uid="{7AADB1A6-D09D-43E7-B712-89EBA876F3B9}"/>
    <cellStyle name="20% - Accent3 9" xfId="2280" xr:uid="{00000000-0005-0000-0000-0000DE010000}"/>
    <cellStyle name="20% - Accent3 9 2" xfId="6586" xr:uid="{00000000-0005-0000-0000-0000DF010000}"/>
    <cellStyle name="20% - Accent3 9 2 2" xfId="25212" xr:uid="{28B3FA56-2954-4ABC-B1D5-FCB4C5DB2DA2}"/>
    <cellStyle name="20% - Accent3 9 2 3" xfId="33659" xr:uid="{9118D200-9012-4270-BB7B-A661537F73A6}"/>
    <cellStyle name="20% - Accent3 9 2 4" xfId="42106" xr:uid="{6C4FADD0-6B94-4B0A-BCB8-C7A6634A70C9}"/>
    <cellStyle name="20% - Accent3 9 2 5" xfId="15912" xr:uid="{B8F7F46A-8DE8-4B02-B88E-FB420BA0CA63}"/>
    <cellStyle name="20% - Accent3 9 3" xfId="20995" xr:uid="{796A8C87-8369-4417-9453-B16E2FC405D5}"/>
    <cellStyle name="20% - Accent3 9 4" xfId="29442" xr:uid="{D2208DB5-5A00-4420-B4FD-3C3125CBC96F}"/>
    <cellStyle name="20% - Accent3 9 5" xfId="37889" xr:uid="{5A3EB578-23FB-4D10-A2D7-2A563901F592}"/>
    <cellStyle name="20% - Accent3 9 6" xfId="11695" xr:uid="{2158B7A5-AC0B-4785-A061-BF50810E31BB}"/>
    <cellStyle name="20% - Accent4" xfId="25" builtinId="42" customBuiltin="1"/>
    <cellStyle name="20% - Accent4 10" xfId="4528" xr:uid="{00000000-0005-0000-0000-0000E1010000}"/>
    <cellStyle name="20% - Accent4 10 2" xfId="23154" xr:uid="{95F3148E-FA51-483D-A6F0-E3A77EB28825}"/>
    <cellStyle name="20% - Accent4 10 3" xfId="31601" xr:uid="{C1868DFD-D38C-4BDD-98A0-DF5E2CB5A66F}"/>
    <cellStyle name="20% - Accent4 10 4" xfId="40048" xr:uid="{E7FCC932-6484-4550-98A0-76AF18DB8995}"/>
    <cellStyle name="20% - Accent4 10 5" xfId="13854" xr:uid="{0BCAC36B-40B4-4554-B647-132E5FB7B7F8}"/>
    <cellStyle name="20% - Accent4 11" xfId="8764" xr:uid="{4A9BF508-806C-496D-AEC5-5842E4A62892}"/>
    <cellStyle name="20% - Accent4 11 2" xfId="18088" xr:uid="{9E37B67A-4435-486D-9D16-297A414DD73D}"/>
    <cellStyle name="20% - Accent4 12" xfId="18937" xr:uid="{21938212-FF39-4207-9978-56A00CCB991A}"/>
    <cellStyle name="20% - Accent4 13" xfId="27384" xr:uid="{C0F3B290-1BE0-46E2-A873-1339DE2E0051}"/>
    <cellStyle name="20% - Accent4 14" xfId="35831" xr:uid="{1C7C1807-5841-4378-96F0-A54736816F88}"/>
    <cellStyle name="20% - Accent4 15" xfId="9637" xr:uid="{CAA39923-E8CE-4AE5-ABCE-C317DA6131DC}"/>
    <cellStyle name="20% - Accent4 2" xfId="26" xr:uid="{00000000-0005-0000-0000-0000E2010000}"/>
    <cellStyle name="20% - Accent4 2 10" xfId="8794" xr:uid="{31A2F477-5237-45C2-B43F-25AC049A95FF}"/>
    <cellStyle name="20% - Accent4 2 10 2" xfId="18118" xr:uid="{A548EC9E-01DA-4A21-9D72-4B4C59833590}"/>
    <cellStyle name="20% - Accent4 2 11" xfId="18938" xr:uid="{7351E4DD-2B66-406A-9E70-1FE80E03564B}"/>
    <cellStyle name="20% - Accent4 2 12" xfId="27385" xr:uid="{7606FC86-80BD-4691-ACF7-11006B2F7736}"/>
    <cellStyle name="20% - Accent4 2 13" xfId="35832" xr:uid="{5E64BC89-9AC2-4F4B-ACA0-02480BA426D2}"/>
    <cellStyle name="20% - Accent4 2 14" xfId="9638" xr:uid="{8349D55C-A269-4106-8380-E6D486D8F1E4}"/>
    <cellStyle name="20% - Accent4 2 2" xfId="27" xr:uid="{00000000-0005-0000-0000-0000E3010000}"/>
    <cellStyle name="20% - Accent4 2 2 10" xfId="18939" xr:uid="{ADB84A6B-6D54-4C49-8674-A57E1C828A66}"/>
    <cellStyle name="20% - Accent4 2 2 11" xfId="27386" xr:uid="{EA3CCEAD-3CF2-4CD2-A3B7-AC51A72F33C7}"/>
    <cellStyle name="20% - Accent4 2 2 12" xfId="35833" xr:uid="{383440E9-4625-495D-8250-6AE762D156AA}"/>
    <cellStyle name="20% - Accent4 2 2 13" xfId="9639" xr:uid="{B110C896-52A7-4251-ACD2-5847E6C95A16}"/>
    <cellStyle name="20% - Accent4 2 2 2" xfId="28" xr:uid="{00000000-0005-0000-0000-0000E4010000}"/>
    <cellStyle name="20% - Accent4 2 2 2 10" xfId="27387" xr:uid="{B2B2841B-4A83-4816-8573-C33C9DC2DF7E}"/>
    <cellStyle name="20% - Accent4 2 2 2 11" xfId="35834" xr:uid="{734C0127-62FC-4360-8938-C21CFB0D8B6F}"/>
    <cellStyle name="20% - Accent4 2 2 2 12" xfId="9640" xr:uid="{81A1B7EB-3920-48B7-BE81-81FE48277FCF}"/>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2 2 2" xfId="25716" xr:uid="{C244FA65-F334-456D-B4C2-CEF56567C00F}"/>
    <cellStyle name="20% - Accent4 2 2 2 2 2 2 3" xfId="34163" xr:uid="{20B09AF3-34FF-4D6A-B296-3C48882FAF7B}"/>
    <cellStyle name="20% - Accent4 2 2 2 2 2 2 4" xfId="42610" xr:uid="{D63DB0AE-53CC-49B0-BD8F-E0D3DD023F4F}"/>
    <cellStyle name="20% - Accent4 2 2 2 2 2 2 5" xfId="16416" xr:uid="{B52FF201-5C9D-42A1-9FC6-E92854ED6477}"/>
    <cellStyle name="20% - Accent4 2 2 2 2 2 3" xfId="21499" xr:uid="{69E59000-465E-4D06-91FB-282BA71302A3}"/>
    <cellStyle name="20% - Accent4 2 2 2 2 2 4" xfId="29946" xr:uid="{BCFACAC5-5FF7-464B-B47F-DEB4478A7208}"/>
    <cellStyle name="20% - Accent4 2 2 2 2 2 5" xfId="38393" xr:uid="{5C4222C9-CC7D-4094-83EC-3DF063D8A9FF}"/>
    <cellStyle name="20% - Accent4 2 2 2 2 2 6" xfId="12199" xr:uid="{E26C1FE4-7390-48FC-AFFB-D96B944D9866}"/>
    <cellStyle name="20% - Accent4 2 2 2 2 3" xfId="4945" xr:uid="{00000000-0005-0000-0000-0000E8010000}"/>
    <cellStyle name="20% - Accent4 2 2 2 2 3 2" xfId="23571" xr:uid="{5117999F-CD73-4ADF-A2ED-779D9922CAAF}"/>
    <cellStyle name="20% - Accent4 2 2 2 2 3 3" xfId="32018" xr:uid="{8F7DE404-2EEC-4EF0-A93A-30255B5CAAB5}"/>
    <cellStyle name="20% - Accent4 2 2 2 2 3 4" xfId="40465" xr:uid="{C6DAD0E0-3A17-458F-B0E6-984AF005DD09}"/>
    <cellStyle name="20% - Accent4 2 2 2 2 3 5" xfId="14271" xr:uid="{BFE12852-FE7C-45D6-BEA8-16F43F038DFE}"/>
    <cellStyle name="20% - Accent4 2 2 2 2 4" xfId="9529" xr:uid="{0C40CE19-1873-4316-818D-CC943AAFBB7B}"/>
    <cellStyle name="20% - Accent4 2 2 2 2 4 2" xfId="18845" xr:uid="{0696A5AF-3600-490E-B830-6C47FBE0C770}"/>
    <cellStyle name="20% - Accent4 2 2 2 2 5" xfId="19354" xr:uid="{F0EF255A-7562-42E3-9646-155656620A75}"/>
    <cellStyle name="20% - Accent4 2 2 2 2 6" xfId="27801" xr:uid="{CC83E72E-C7E9-47D9-9CAF-538808C4163A}"/>
    <cellStyle name="20% - Accent4 2 2 2 2 7" xfId="36248" xr:uid="{089A7C4F-17F4-48C5-8AC0-F7C57554FBCB}"/>
    <cellStyle name="20% - Accent4 2 2 2 2 8" xfId="10054" xr:uid="{EA317250-22CE-4B16-B05E-529163D47815}"/>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2 2 2" xfId="26129" xr:uid="{C325B398-EF97-4675-80F4-A88EBEDBAF8B}"/>
    <cellStyle name="20% - Accent4 2 2 2 3 2 2 3" xfId="34576" xr:uid="{2AB92F09-7D57-4ECF-8084-16783C11358F}"/>
    <cellStyle name="20% - Accent4 2 2 2 3 2 2 4" xfId="43023" xr:uid="{5028D1AB-EEB7-4181-AFF6-ED2307D8C04B}"/>
    <cellStyle name="20% - Accent4 2 2 2 3 2 2 5" xfId="16829" xr:uid="{53F04E24-A24F-4A54-BD2E-8D869EB1D651}"/>
    <cellStyle name="20% - Accent4 2 2 2 3 2 3" xfId="21912" xr:uid="{735B3CE5-D73D-4E77-8530-6270CC10BE0A}"/>
    <cellStyle name="20% - Accent4 2 2 2 3 2 4" xfId="30359" xr:uid="{3924B679-94E1-4762-ACCE-B79C3255EFBA}"/>
    <cellStyle name="20% - Accent4 2 2 2 3 2 5" xfId="38806" xr:uid="{DF1567EC-CB91-46BD-B065-7E0A59DD0D09}"/>
    <cellStyle name="20% - Accent4 2 2 2 3 2 6" xfId="12612" xr:uid="{88BEF97B-F4B2-46DF-B943-195E8E4568E2}"/>
    <cellStyle name="20% - Accent4 2 2 2 3 3" xfId="5358" xr:uid="{00000000-0005-0000-0000-0000EC010000}"/>
    <cellStyle name="20% - Accent4 2 2 2 3 3 2" xfId="23984" xr:uid="{0A3C5578-B397-4D17-B767-32C01AAA5CA2}"/>
    <cellStyle name="20% - Accent4 2 2 2 3 3 3" xfId="32431" xr:uid="{E6292ECE-3137-4B7F-AB8B-49CC4AB418FD}"/>
    <cellStyle name="20% - Accent4 2 2 2 3 3 4" xfId="40878" xr:uid="{D6F04267-9ADA-427B-AE6D-5BE3DCFB9781}"/>
    <cellStyle name="20% - Accent4 2 2 2 3 3 5" xfId="14684" xr:uid="{A5DA2204-6073-4C9A-A5A4-B74B3AF4C373}"/>
    <cellStyle name="20% - Accent4 2 2 2 3 4" xfId="19767" xr:uid="{60984F7E-6087-4A17-912F-0AFB83B1ECC0}"/>
    <cellStyle name="20% - Accent4 2 2 2 3 5" xfId="28214" xr:uid="{059B043D-416F-4875-830E-4C94C004EA81}"/>
    <cellStyle name="20% - Accent4 2 2 2 3 6" xfId="36661" xr:uid="{BE2AF27C-D31D-4EE7-B48A-CDF69F875436}"/>
    <cellStyle name="20% - Accent4 2 2 2 3 7" xfId="10467" xr:uid="{6DB47A56-60DA-4CA0-993A-15145C903AAD}"/>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2 2 2" xfId="26542" xr:uid="{27A426F9-BB53-4098-98F5-6271E34FFE06}"/>
    <cellStyle name="20% - Accent4 2 2 2 4 2 2 3" xfId="34989" xr:uid="{4433BE2F-B3B0-4A6C-82B7-3725105B69F2}"/>
    <cellStyle name="20% - Accent4 2 2 2 4 2 2 4" xfId="43436" xr:uid="{2C2ECACE-6E15-4D66-BBFA-67B4356035B3}"/>
    <cellStyle name="20% - Accent4 2 2 2 4 2 2 5" xfId="17242" xr:uid="{95C160AA-C2C8-4622-BBAD-489826B619A3}"/>
    <cellStyle name="20% - Accent4 2 2 2 4 2 3" xfId="22325" xr:uid="{16476D96-A53D-4D49-91B4-E245679538B5}"/>
    <cellStyle name="20% - Accent4 2 2 2 4 2 4" xfId="30772" xr:uid="{DCF8B489-F064-4510-B7B2-4BADE67A219D}"/>
    <cellStyle name="20% - Accent4 2 2 2 4 2 5" xfId="39219" xr:uid="{BAE835A6-8E4B-45C6-BAE5-734D56205512}"/>
    <cellStyle name="20% - Accent4 2 2 2 4 2 6" xfId="13025" xr:uid="{D8A578B6-D130-4D9F-A4B3-E4A35E60C05A}"/>
    <cellStyle name="20% - Accent4 2 2 2 4 3" xfId="5771" xr:uid="{00000000-0005-0000-0000-0000F0010000}"/>
    <cellStyle name="20% - Accent4 2 2 2 4 3 2" xfId="24397" xr:uid="{392A181B-5F7E-4D53-9C50-4B6B46E01A20}"/>
    <cellStyle name="20% - Accent4 2 2 2 4 3 3" xfId="32844" xr:uid="{CCDD0E5A-AC9C-430D-AF0E-E16C7312AD49}"/>
    <cellStyle name="20% - Accent4 2 2 2 4 3 4" xfId="41291" xr:uid="{892C6603-D9A1-4B96-89F2-DFB03575BAC8}"/>
    <cellStyle name="20% - Accent4 2 2 2 4 3 5" xfId="15097" xr:uid="{A3C202B5-5AAD-48B6-AB4D-FF0BC5A84A88}"/>
    <cellStyle name="20% - Accent4 2 2 2 4 4" xfId="20180" xr:uid="{839D50DF-369D-4E4D-9E21-EBBE7A44B76B}"/>
    <cellStyle name="20% - Accent4 2 2 2 4 5" xfId="28627" xr:uid="{971F21A3-6843-4260-900A-8D7CECBD68EF}"/>
    <cellStyle name="20% - Accent4 2 2 2 4 6" xfId="37074" xr:uid="{650DB61D-496D-423F-BBD3-983F8F2D7706}"/>
    <cellStyle name="20% - Accent4 2 2 2 4 7" xfId="10880" xr:uid="{C399AFAD-99AD-498C-B65A-40CFFB37CEB4}"/>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2 2 2" xfId="26955" xr:uid="{C9B647A6-7C6C-438A-A8AA-6094B530AA3C}"/>
    <cellStyle name="20% - Accent4 2 2 2 5 2 2 3" xfId="35402" xr:uid="{3FAB3DBA-78A5-43C6-8762-A4A4BA3A9237}"/>
    <cellStyle name="20% - Accent4 2 2 2 5 2 2 4" xfId="43849" xr:uid="{6CDFE91C-0697-4E7C-85C8-F78C14BB1615}"/>
    <cellStyle name="20% - Accent4 2 2 2 5 2 2 5" xfId="17655" xr:uid="{7F42C52C-F5A5-46C2-8F0C-3C4D96C7675F}"/>
    <cellStyle name="20% - Accent4 2 2 2 5 2 3" xfId="22738" xr:uid="{C3898657-99F2-4048-AC2E-58923F9A14F6}"/>
    <cellStyle name="20% - Accent4 2 2 2 5 2 4" xfId="31185" xr:uid="{54032ADC-504A-4AC6-8F8C-3B9C572672A5}"/>
    <cellStyle name="20% - Accent4 2 2 2 5 2 5" xfId="39632" xr:uid="{5D6F6BBF-AA96-476E-830F-C45240E007B3}"/>
    <cellStyle name="20% - Accent4 2 2 2 5 2 6" xfId="13438" xr:uid="{605E3487-7C4E-45D8-B97E-7CB37971B2B8}"/>
    <cellStyle name="20% - Accent4 2 2 2 5 3" xfId="6184" xr:uid="{00000000-0005-0000-0000-0000F4010000}"/>
    <cellStyle name="20% - Accent4 2 2 2 5 3 2" xfId="24810" xr:uid="{390827BB-A9C8-488C-9BB1-260643D3EAB8}"/>
    <cellStyle name="20% - Accent4 2 2 2 5 3 3" xfId="33257" xr:uid="{9B0A1394-3373-4743-A9C3-41D57A21C0F7}"/>
    <cellStyle name="20% - Accent4 2 2 2 5 3 4" xfId="41704" xr:uid="{B3C64F1F-4BFB-4D1E-AC5D-05AD29C0AE09}"/>
    <cellStyle name="20% - Accent4 2 2 2 5 3 5" xfId="15510" xr:uid="{7FD22460-5CA0-4338-B1E3-AF544BACAFF2}"/>
    <cellStyle name="20% - Accent4 2 2 2 5 4" xfId="20593" xr:uid="{154B52F6-EEC0-40A1-B299-DF8473177C48}"/>
    <cellStyle name="20% - Accent4 2 2 2 5 5" xfId="29040" xr:uid="{E89B9E7A-387B-48EC-8E9B-3DAB9E604319}"/>
    <cellStyle name="20% - Accent4 2 2 2 5 6" xfId="37487" xr:uid="{F1680B18-C674-463B-8A3B-7CD8298B8178}"/>
    <cellStyle name="20% - Accent4 2 2 2 5 7" xfId="11293" xr:uid="{7432F43E-A9C5-45AA-9FFC-383E9D0453E6}"/>
    <cellStyle name="20% - Accent4 2 2 2 6" xfId="2291" xr:uid="{00000000-0005-0000-0000-0000F5010000}"/>
    <cellStyle name="20% - Accent4 2 2 2 6 2" xfId="6597" xr:uid="{00000000-0005-0000-0000-0000F6010000}"/>
    <cellStyle name="20% - Accent4 2 2 2 6 2 2" xfId="25223" xr:uid="{E962F68E-8BBB-4A03-A15F-74E399C30887}"/>
    <cellStyle name="20% - Accent4 2 2 2 6 2 3" xfId="33670" xr:uid="{6EE60E55-514C-404F-A6B4-18A50D408549}"/>
    <cellStyle name="20% - Accent4 2 2 2 6 2 4" xfId="42117" xr:uid="{1354BBE1-AD68-4DDE-BB0A-9E91FCADEF09}"/>
    <cellStyle name="20% - Accent4 2 2 2 6 2 5" xfId="15923" xr:uid="{DC0293FC-451D-4B12-925C-AD925183C779}"/>
    <cellStyle name="20% - Accent4 2 2 2 6 3" xfId="21006" xr:uid="{49377919-A7D3-4FFF-BA75-5C6477617A6B}"/>
    <cellStyle name="20% - Accent4 2 2 2 6 4" xfId="29453" xr:uid="{71D2942A-9F46-4715-84C4-93B50BF4804F}"/>
    <cellStyle name="20% - Accent4 2 2 2 6 5" xfId="37900" xr:uid="{11344F49-7706-46FF-8165-59C627AC7138}"/>
    <cellStyle name="20% - Accent4 2 2 2 6 6" xfId="11706" xr:uid="{952F5A9D-9B9E-4E98-82AA-70C609CD819E}"/>
    <cellStyle name="20% - Accent4 2 2 2 7" xfId="4531" xr:uid="{00000000-0005-0000-0000-0000F7010000}"/>
    <cellStyle name="20% - Accent4 2 2 2 7 2" xfId="23157" xr:uid="{6953B40F-D583-4D4B-8359-C579A577B421}"/>
    <cellStyle name="20% - Accent4 2 2 2 7 3" xfId="31604" xr:uid="{7367B609-51A7-40E4-8104-BECC7CD23896}"/>
    <cellStyle name="20% - Accent4 2 2 2 7 4" xfId="40051" xr:uid="{BE553BCA-CC48-4619-96D5-43306D12209E}"/>
    <cellStyle name="20% - Accent4 2 2 2 7 5" xfId="13857" xr:uid="{BB0BF309-051D-4E33-8812-2FA13D0259B6}"/>
    <cellStyle name="20% - Accent4 2 2 2 8" xfId="9104" xr:uid="{526BE306-22BA-4A85-81B2-34AEB56F0D90}"/>
    <cellStyle name="20% - Accent4 2 2 2 8 2" xfId="18428" xr:uid="{27D2DF09-C07F-4A53-BE08-BDBC65DF9969}"/>
    <cellStyle name="20% - Accent4 2 2 2 9" xfId="18940" xr:uid="{422FAB36-AA8E-438C-B6D9-0E7511D6B4C1}"/>
    <cellStyle name="20% - Accent4 2 2 3" xfId="596" xr:uid="{00000000-0005-0000-0000-0000F8010000}"/>
    <cellStyle name="20% - Accent4 2 2 3 2" xfId="2867" xr:uid="{00000000-0005-0000-0000-0000F9010000}"/>
    <cellStyle name="20% - Accent4 2 2 3 2 2" xfId="7089" xr:uid="{00000000-0005-0000-0000-0000FA010000}"/>
    <cellStyle name="20% - Accent4 2 2 3 2 2 2" xfId="25715" xr:uid="{5C1E61E8-66FE-4E9F-86EB-54C70C1528A1}"/>
    <cellStyle name="20% - Accent4 2 2 3 2 2 3" xfId="34162" xr:uid="{138A9C33-2521-419B-9C7D-EE3287140D6A}"/>
    <cellStyle name="20% - Accent4 2 2 3 2 2 4" xfId="42609" xr:uid="{783FEA25-0029-43B0-A6B4-74E280BEA232}"/>
    <cellStyle name="20% - Accent4 2 2 3 2 2 5" xfId="16415" xr:uid="{489E1CC8-C603-40D8-8F4B-3A1FF6102C27}"/>
    <cellStyle name="20% - Accent4 2 2 3 2 3" xfId="21498" xr:uid="{1A2F886A-B7AE-4E79-8138-63A68FC16278}"/>
    <cellStyle name="20% - Accent4 2 2 3 2 4" xfId="29945" xr:uid="{67AB3ABE-3F5E-453E-A6AF-8E6B81A9F038}"/>
    <cellStyle name="20% - Accent4 2 2 3 2 5" xfId="38392" xr:uid="{4545BD8D-A43A-408C-BE0F-157D7144A0BE}"/>
    <cellStyle name="20% - Accent4 2 2 3 2 6" xfId="12198" xr:uid="{8EFA1EFB-A1A5-42B8-BDA2-BE2FC5C05800}"/>
    <cellStyle name="20% - Accent4 2 2 3 3" xfId="4944" xr:uid="{00000000-0005-0000-0000-0000FB010000}"/>
    <cellStyle name="20% - Accent4 2 2 3 3 2" xfId="23570" xr:uid="{F566AF3E-D6BC-4032-8F23-6D34FC18AB68}"/>
    <cellStyle name="20% - Accent4 2 2 3 3 3" xfId="32017" xr:uid="{36F66BAF-12E3-4E72-A832-2DA1F7BC3C0A}"/>
    <cellStyle name="20% - Accent4 2 2 3 3 4" xfId="40464" xr:uid="{88715146-B498-499F-8A79-3028E2A50398}"/>
    <cellStyle name="20% - Accent4 2 2 3 3 5" xfId="14270" xr:uid="{BFA77171-C8F3-4F17-82B9-F16782C0E976}"/>
    <cellStyle name="20% - Accent4 2 2 3 4" xfId="9322" xr:uid="{003BBE99-27AA-4036-A373-4475953A88F4}"/>
    <cellStyle name="20% - Accent4 2 2 3 4 2" xfId="18638" xr:uid="{0050515B-1800-4B69-9F21-BBD369819BF2}"/>
    <cellStyle name="20% - Accent4 2 2 3 5" xfId="19353" xr:uid="{1CA46E6F-E7E3-4C76-8994-5A3C44DA6419}"/>
    <cellStyle name="20% - Accent4 2 2 3 6" xfId="27800" xr:uid="{5B8820BC-BFBC-4F65-A679-67E75536A6AE}"/>
    <cellStyle name="20% - Accent4 2 2 3 7" xfId="36247" xr:uid="{7932DD1C-A2B6-4A32-BB91-40C0D3AE42CF}"/>
    <cellStyle name="20% - Accent4 2 2 3 8" xfId="10053" xr:uid="{71EFEF22-C1E5-44AF-9B14-2520F222332C}"/>
    <cellStyle name="20% - Accent4 2 2 4" xfId="1049" xr:uid="{00000000-0005-0000-0000-0000FC010000}"/>
    <cellStyle name="20% - Accent4 2 2 4 2" xfId="3280" xr:uid="{00000000-0005-0000-0000-0000FD010000}"/>
    <cellStyle name="20% - Accent4 2 2 4 2 2" xfId="7502" xr:uid="{00000000-0005-0000-0000-0000FE010000}"/>
    <cellStyle name="20% - Accent4 2 2 4 2 2 2" xfId="26128" xr:uid="{6E7D2A3E-4311-4855-96A6-F52C127AD4F9}"/>
    <cellStyle name="20% - Accent4 2 2 4 2 2 3" xfId="34575" xr:uid="{69ADCC85-106B-490A-8845-DC7BB080348A}"/>
    <cellStyle name="20% - Accent4 2 2 4 2 2 4" xfId="43022" xr:uid="{26DEA470-ECDA-4F4A-975E-38AABE02E3AF}"/>
    <cellStyle name="20% - Accent4 2 2 4 2 2 5" xfId="16828" xr:uid="{139DBE26-D8D1-4881-8FB8-CBEB93B6765C}"/>
    <cellStyle name="20% - Accent4 2 2 4 2 3" xfId="21911" xr:uid="{49278605-8CD2-4EFF-BECF-2875ADE929A4}"/>
    <cellStyle name="20% - Accent4 2 2 4 2 4" xfId="30358" xr:uid="{7884E430-942C-4D31-95DC-ACF3D20176E1}"/>
    <cellStyle name="20% - Accent4 2 2 4 2 5" xfId="38805" xr:uid="{E0090106-4BC0-4651-A831-4398EA2C1BA9}"/>
    <cellStyle name="20% - Accent4 2 2 4 2 6" xfId="12611" xr:uid="{81F43176-91BE-4BC6-BD8A-275FD884B72C}"/>
    <cellStyle name="20% - Accent4 2 2 4 3" xfId="5357" xr:uid="{00000000-0005-0000-0000-0000FF010000}"/>
    <cellStyle name="20% - Accent4 2 2 4 3 2" xfId="23983" xr:uid="{7F5FF3A8-CC3E-4838-8559-B667E334ED63}"/>
    <cellStyle name="20% - Accent4 2 2 4 3 3" xfId="32430" xr:uid="{336856FA-D3E1-48E2-8091-31580C602C10}"/>
    <cellStyle name="20% - Accent4 2 2 4 3 4" xfId="40877" xr:uid="{28549FAB-6815-4DA6-BACC-3124FDFD0C08}"/>
    <cellStyle name="20% - Accent4 2 2 4 3 5" xfId="14683" xr:uid="{4261D021-7B34-44C8-82D6-7E2E70B8E411}"/>
    <cellStyle name="20% - Accent4 2 2 4 4" xfId="19766" xr:uid="{F9371EF7-2A5F-405E-A4F2-79F5C9571C03}"/>
    <cellStyle name="20% - Accent4 2 2 4 5" xfId="28213" xr:uid="{BCF174EF-BF8E-49CB-80BE-08B7314B21BD}"/>
    <cellStyle name="20% - Accent4 2 2 4 6" xfId="36660" xr:uid="{24A0956C-2280-48DA-B794-F1761F5E5616}"/>
    <cellStyle name="20% - Accent4 2 2 4 7" xfId="10466" xr:uid="{82514A73-742C-4472-AF72-6FD3AC54850A}"/>
    <cellStyle name="20% - Accent4 2 2 5" xfId="1463" xr:uid="{00000000-0005-0000-0000-000000020000}"/>
    <cellStyle name="20% - Accent4 2 2 5 2" xfId="3693" xr:uid="{00000000-0005-0000-0000-000001020000}"/>
    <cellStyle name="20% - Accent4 2 2 5 2 2" xfId="7915" xr:uid="{00000000-0005-0000-0000-000002020000}"/>
    <cellStyle name="20% - Accent4 2 2 5 2 2 2" xfId="26541" xr:uid="{852A0E7D-2FFA-4C93-886E-3AAFC9F53013}"/>
    <cellStyle name="20% - Accent4 2 2 5 2 2 3" xfId="34988" xr:uid="{69B580E2-A7A4-47D1-875E-0503A42CB9FA}"/>
    <cellStyle name="20% - Accent4 2 2 5 2 2 4" xfId="43435" xr:uid="{3B1E431E-8A25-4C3D-92CD-A8E83B60963E}"/>
    <cellStyle name="20% - Accent4 2 2 5 2 2 5" xfId="17241" xr:uid="{A090A598-820C-49F0-A880-98DE1BAA39AD}"/>
    <cellStyle name="20% - Accent4 2 2 5 2 3" xfId="22324" xr:uid="{87FE240C-B956-457F-B900-E5AE07DE2BDA}"/>
    <cellStyle name="20% - Accent4 2 2 5 2 4" xfId="30771" xr:uid="{C153E40C-56A9-44C8-A306-30010BEDA113}"/>
    <cellStyle name="20% - Accent4 2 2 5 2 5" xfId="39218" xr:uid="{40EFF8DD-4F44-4947-BA15-F97323953340}"/>
    <cellStyle name="20% - Accent4 2 2 5 2 6" xfId="13024" xr:uid="{6A459E25-7BDA-452D-9B45-56C02552E5B2}"/>
    <cellStyle name="20% - Accent4 2 2 5 3" xfId="5770" xr:uid="{00000000-0005-0000-0000-000003020000}"/>
    <cellStyle name="20% - Accent4 2 2 5 3 2" xfId="24396" xr:uid="{7FF91E97-629A-4AAE-BFDB-B398B9E55D13}"/>
    <cellStyle name="20% - Accent4 2 2 5 3 3" xfId="32843" xr:uid="{0F22515E-3E00-4C0A-93DB-374AB07B4820}"/>
    <cellStyle name="20% - Accent4 2 2 5 3 4" xfId="41290" xr:uid="{42178D17-9ECB-4BD7-8AAE-0250B924322F}"/>
    <cellStyle name="20% - Accent4 2 2 5 3 5" xfId="15096" xr:uid="{FAF47553-AAEB-4894-A059-D933C11F5D16}"/>
    <cellStyle name="20% - Accent4 2 2 5 4" xfId="20179" xr:uid="{F4432D97-441E-4AE3-90D8-C02176F721DA}"/>
    <cellStyle name="20% - Accent4 2 2 5 5" xfId="28626" xr:uid="{5921D86F-E86A-4FD3-914C-BF3E1F49BDB6}"/>
    <cellStyle name="20% - Accent4 2 2 5 6" xfId="37073" xr:uid="{7AD10D88-1313-4C7B-A46F-C7A364CD75D8}"/>
    <cellStyle name="20% - Accent4 2 2 5 7" xfId="10879" xr:uid="{029ABB86-ED8B-4A15-88FB-565BBD08EDAF}"/>
    <cellStyle name="20% - Accent4 2 2 6" xfId="1877" xr:uid="{00000000-0005-0000-0000-000004020000}"/>
    <cellStyle name="20% - Accent4 2 2 6 2" xfId="4106" xr:uid="{00000000-0005-0000-0000-000005020000}"/>
    <cellStyle name="20% - Accent4 2 2 6 2 2" xfId="8328" xr:uid="{00000000-0005-0000-0000-000006020000}"/>
    <cellStyle name="20% - Accent4 2 2 6 2 2 2" xfId="26954" xr:uid="{E1D70CFD-0114-4452-B078-EBCD880AB075}"/>
    <cellStyle name="20% - Accent4 2 2 6 2 2 3" xfId="35401" xr:uid="{A19C9B15-61FC-4A50-8BEA-A1D8D4AB6C9A}"/>
    <cellStyle name="20% - Accent4 2 2 6 2 2 4" xfId="43848" xr:uid="{8E96007F-C4F9-43FC-A5E3-8E45D13CEB2B}"/>
    <cellStyle name="20% - Accent4 2 2 6 2 2 5" xfId="17654" xr:uid="{B7FA7A79-E57D-4AB7-B337-604E8549E970}"/>
    <cellStyle name="20% - Accent4 2 2 6 2 3" xfId="22737" xr:uid="{2F4FDEB3-1CCD-4230-BF58-94E5232A298F}"/>
    <cellStyle name="20% - Accent4 2 2 6 2 4" xfId="31184" xr:uid="{267CE842-F72A-43D2-824F-9F0158B83FE3}"/>
    <cellStyle name="20% - Accent4 2 2 6 2 5" xfId="39631" xr:uid="{2C261585-20C0-4B2D-B2E6-0C73FEDAAC45}"/>
    <cellStyle name="20% - Accent4 2 2 6 2 6" xfId="13437" xr:uid="{39CA0B34-E1C6-416E-A34F-3037B25CAAED}"/>
    <cellStyle name="20% - Accent4 2 2 6 3" xfId="6183" xr:uid="{00000000-0005-0000-0000-000007020000}"/>
    <cellStyle name="20% - Accent4 2 2 6 3 2" xfId="24809" xr:uid="{DFDA219B-0BA4-4FA9-B489-E8BB59C750E0}"/>
    <cellStyle name="20% - Accent4 2 2 6 3 3" xfId="33256" xr:uid="{5B33C7B8-EB6F-494C-B6C6-BBC6EC92CC43}"/>
    <cellStyle name="20% - Accent4 2 2 6 3 4" xfId="41703" xr:uid="{D8FB2D2C-1EDC-4574-8289-88A5DCB547BB}"/>
    <cellStyle name="20% - Accent4 2 2 6 3 5" xfId="15509" xr:uid="{4E7497AB-0014-4332-8044-54714076C5FB}"/>
    <cellStyle name="20% - Accent4 2 2 6 4" xfId="20592" xr:uid="{763FBBD3-8C06-455D-AB66-60C8EC3BE85F}"/>
    <cellStyle name="20% - Accent4 2 2 6 5" xfId="29039" xr:uid="{E457338C-3027-42D4-9488-E2BA29A2BE9C}"/>
    <cellStyle name="20% - Accent4 2 2 6 6" xfId="37486" xr:uid="{CD06A8F7-57DD-4517-B2AA-B1B5CD7F0E4B}"/>
    <cellStyle name="20% - Accent4 2 2 6 7" xfId="11292" xr:uid="{29519B2B-1CCD-4F37-B5DB-1B4AF1168A3D}"/>
    <cellStyle name="20% - Accent4 2 2 7" xfId="2290" xr:uid="{00000000-0005-0000-0000-000008020000}"/>
    <cellStyle name="20% - Accent4 2 2 7 2" xfId="6596" xr:uid="{00000000-0005-0000-0000-000009020000}"/>
    <cellStyle name="20% - Accent4 2 2 7 2 2" xfId="25222" xr:uid="{CA3D26D3-367D-4F5B-84F8-DB9641C75520}"/>
    <cellStyle name="20% - Accent4 2 2 7 2 3" xfId="33669" xr:uid="{A5366C15-5DE1-473B-AA5B-7B6F896ECA56}"/>
    <cellStyle name="20% - Accent4 2 2 7 2 4" xfId="42116" xr:uid="{57E4DC63-BEB7-4C11-A592-93828500492D}"/>
    <cellStyle name="20% - Accent4 2 2 7 2 5" xfId="15922" xr:uid="{8D4A3D8D-35DE-42F3-9398-0593B9E2919F}"/>
    <cellStyle name="20% - Accent4 2 2 7 3" xfId="21005" xr:uid="{FF2E7331-59BC-4CBC-8524-387E90243AE8}"/>
    <cellStyle name="20% - Accent4 2 2 7 4" xfId="29452" xr:uid="{77B60429-FB9A-4214-B631-C0B3C9FB1030}"/>
    <cellStyle name="20% - Accent4 2 2 7 5" xfId="37899" xr:uid="{7632D43F-60D3-4F2F-9733-0D87A07921A2}"/>
    <cellStyle name="20% - Accent4 2 2 7 6" xfId="11705" xr:uid="{F55BD372-246B-44FD-9A0C-072511DE2F88}"/>
    <cellStyle name="20% - Accent4 2 2 8" xfId="4530" xr:uid="{00000000-0005-0000-0000-00000A020000}"/>
    <cellStyle name="20% - Accent4 2 2 8 2" xfId="23156" xr:uid="{376BB3C1-30DE-4586-8EFE-1022E284F293}"/>
    <cellStyle name="20% - Accent4 2 2 8 3" xfId="31603" xr:uid="{18D6C41E-4063-496C-BB10-52DFEDE03E1B}"/>
    <cellStyle name="20% - Accent4 2 2 8 4" xfId="40050" xr:uid="{DEF5849D-FA08-4527-BFEE-604805BE4ABB}"/>
    <cellStyle name="20% - Accent4 2 2 8 5" xfId="13856" xr:uid="{4DE4D78C-22A2-45DF-8B58-7F8BA4894740}"/>
    <cellStyle name="20% - Accent4 2 2 9" xfId="8897" xr:uid="{3A58A73C-0193-4EAC-8E12-5BF8743CE9BA}"/>
    <cellStyle name="20% - Accent4 2 2 9 2" xfId="18221" xr:uid="{3E1FA0D3-B7BE-4E94-90C7-BCDBCB8584EB}"/>
    <cellStyle name="20% - Accent4 2 3" xfId="29" xr:uid="{00000000-0005-0000-0000-00000B020000}"/>
    <cellStyle name="20% - Accent4 2 3 10" xfId="27388" xr:uid="{4EE3170D-CD63-4B55-A6C6-B3852C99D1E0}"/>
    <cellStyle name="20% - Accent4 2 3 11" xfId="35835" xr:uid="{B4B898B1-EADA-4B0C-AF28-616C19B89F2D}"/>
    <cellStyle name="20% - Accent4 2 3 12" xfId="9641" xr:uid="{1632E597-522F-4A1C-80E8-378CC6D720CD}"/>
    <cellStyle name="20% - Accent4 2 3 2" xfId="598" xr:uid="{00000000-0005-0000-0000-00000C020000}"/>
    <cellStyle name="20% - Accent4 2 3 2 2" xfId="2869" xr:uid="{00000000-0005-0000-0000-00000D020000}"/>
    <cellStyle name="20% - Accent4 2 3 2 2 2" xfId="7091" xr:uid="{00000000-0005-0000-0000-00000E020000}"/>
    <cellStyle name="20% - Accent4 2 3 2 2 2 2" xfId="25717" xr:uid="{CB850717-116A-459C-82F3-55525FAA1603}"/>
    <cellStyle name="20% - Accent4 2 3 2 2 2 3" xfId="34164" xr:uid="{7D2D0236-CCAB-48C9-9990-56D2DCEA15A7}"/>
    <cellStyle name="20% - Accent4 2 3 2 2 2 4" xfId="42611" xr:uid="{1D07A8E6-5411-4C76-915C-CD31AB503D6A}"/>
    <cellStyle name="20% - Accent4 2 3 2 2 2 5" xfId="16417" xr:uid="{52E96624-3A5F-436B-848F-AC8F8E07BF23}"/>
    <cellStyle name="20% - Accent4 2 3 2 2 3" xfId="21500" xr:uid="{88619E71-B280-4BF4-9B59-4E3586BBB053}"/>
    <cellStyle name="20% - Accent4 2 3 2 2 4" xfId="29947" xr:uid="{9405A917-822F-4F70-A4DF-7C55B00EE5E2}"/>
    <cellStyle name="20% - Accent4 2 3 2 2 5" xfId="38394" xr:uid="{21B28106-4CED-47C3-B769-08F420C43A15}"/>
    <cellStyle name="20% - Accent4 2 3 2 2 6" xfId="12200" xr:uid="{C4E7ABEE-804E-4840-B9D2-E2EE3D3E3B9F}"/>
    <cellStyle name="20% - Accent4 2 3 2 3" xfId="4946" xr:uid="{00000000-0005-0000-0000-00000F020000}"/>
    <cellStyle name="20% - Accent4 2 3 2 3 2" xfId="23572" xr:uid="{A008B06E-FB1F-4E88-852F-CCE5684249BE}"/>
    <cellStyle name="20% - Accent4 2 3 2 3 3" xfId="32019" xr:uid="{066F71ED-DFB6-4F27-A828-F4F95E185F3A}"/>
    <cellStyle name="20% - Accent4 2 3 2 3 4" xfId="40466" xr:uid="{54540F65-BB09-48BF-9681-8A16C3CF59BF}"/>
    <cellStyle name="20% - Accent4 2 3 2 3 5" xfId="14272" xr:uid="{2F7716E6-CE11-43A4-B57F-4F2F01563875}"/>
    <cellStyle name="20% - Accent4 2 3 2 4" xfId="9426" xr:uid="{5B247D51-FBFD-4799-8395-E3F1C04297B8}"/>
    <cellStyle name="20% - Accent4 2 3 2 4 2" xfId="18742" xr:uid="{9040C3DD-1CF9-4A76-BD46-754207081ABB}"/>
    <cellStyle name="20% - Accent4 2 3 2 5" xfId="19355" xr:uid="{DCA2631D-F774-49B9-AC27-9B75BEF601D8}"/>
    <cellStyle name="20% - Accent4 2 3 2 6" xfId="27802" xr:uid="{43E66860-7ECA-4613-8133-C94726F3A6E5}"/>
    <cellStyle name="20% - Accent4 2 3 2 7" xfId="36249" xr:uid="{46AFC064-F5F4-4A01-A502-B83E00EBF8A3}"/>
    <cellStyle name="20% - Accent4 2 3 2 8" xfId="10055" xr:uid="{E831A461-0F4C-481B-932D-E8F71F550DF2}"/>
    <cellStyle name="20% - Accent4 2 3 3" xfId="1051" xr:uid="{00000000-0005-0000-0000-000010020000}"/>
    <cellStyle name="20% - Accent4 2 3 3 2" xfId="3282" xr:uid="{00000000-0005-0000-0000-000011020000}"/>
    <cellStyle name="20% - Accent4 2 3 3 2 2" xfId="7504" xr:uid="{00000000-0005-0000-0000-000012020000}"/>
    <cellStyle name="20% - Accent4 2 3 3 2 2 2" xfId="26130" xr:uid="{A9DB9F96-7494-4C9A-A58A-0BE4EE17C5FA}"/>
    <cellStyle name="20% - Accent4 2 3 3 2 2 3" xfId="34577" xr:uid="{A41B8A82-37FD-4AEC-9774-A9483FCC1244}"/>
    <cellStyle name="20% - Accent4 2 3 3 2 2 4" xfId="43024" xr:uid="{75B0F12C-BD09-453A-AA9A-13473D5380A3}"/>
    <cellStyle name="20% - Accent4 2 3 3 2 2 5" xfId="16830" xr:uid="{4BE1AA3F-DDDD-4E81-A891-0F6F19E2A0CC}"/>
    <cellStyle name="20% - Accent4 2 3 3 2 3" xfId="21913" xr:uid="{0285B9A3-0F6D-4233-AA79-0A0C50405EB8}"/>
    <cellStyle name="20% - Accent4 2 3 3 2 4" xfId="30360" xr:uid="{9D0FF927-2B3A-4132-8EDD-8FDCB28F6D0E}"/>
    <cellStyle name="20% - Accent4 2 3 3 2 5" xfId="38807" xr:uid="{A8D2AD97-73E4-4321-84F4-14EBD2D0EB80}"/>
    <cellStyle name="20% - Accent4 2 3 3 2 6" xfId="12613" xr:uid="{355AFE4E-0E47-4AFC-8A69-B1AAEBC4D52B}"/>
    <cellStyle name="20% - Accent4 2 3 3 3" xfId="5359" xr:uid="{00000000-0005-0000-0000-000013020000}"/>
    <cellStyle name="20% - Accent4 2 3 3 3 2" xfId="23985" xr:uid="{6FD68656-49C1-48DA-8444-053B558A092E}"/>
    <cellStyle name="20% - Accent4 2 3 3 3 3" xfId="32432" xr:uid="{3D62E976-9793-49E8-856E-487D2716E382}"/>
    <cellStyle name="20% - Accent4 2 3 3 3 4" xfId="40879" xr:uid="{A1CB47E5-6085-4E63-9487-21C974B88254}"/>
    <cellStyle name="20% - Accent4 2 3 3 3 5" xfId="14685" xr:uid="{0D435D16-CDA3-495B-9ABC-5B2C90DD9F12}"/>
    <cellStyle name="20% - Accent4 2 3 3 4" xfId="19768" xr:uid="{4FD9E4D8-9AA7-4E81-BCB8-ACE22AE429A5}"/>
    <cellStyle name="20% - Accent4 2 3 3 5" xfId="28215" xr:uid="{98738DD2-D6FF-4954-A1E0-F3873D884C14}"/>
    <cellStyle name="20% - Accent4 2 3 3 6" xfId="36662" xr:uid="{C78AA540-EA1F-4E72-9412-145B53F3F70D}"/>
    <cellStyle name="20% - Accent4 2 3 3 7" xfId="10468" xr:uid="{C5C1313E-6321-497C-99B4-FEB89DD1F26C}"/>
    <cellStyle name="20% - Accent4 2 3 4" xfId="1465" xr:uid="{00000000-0005-0000-0000-000014020000}"/>
    <cellStyle name="20% - Accent4 2 3 4 2" xfId="3695" xr:uid="{00000000-0005-0000-0000-000015020000}"/>
    <cellStyle name="20% - Accent4 2 3 4 2 2" xfId="7917" xr:uid="{00000000-0005-0000-0000-000016020000}"/>
    <cellStyle name="20% - Accent4 2 3 4 2 2 2" xfId="26543" xr:uid="{D16C77B4-1418-4AFD-A2F1-9E9186BA4C05}"/>
    <cellStyle name="20% - Accent4 2 3 4 2 2 3" xfId="34990" xr:uid="{4F5894D6-1BBC-4FDA-9434-C58754C96010}"/>
    <cellStyle name="20% - Accent4 2 3 4 2 2 4" xfId="43437" xr:uid="{C4D96310-F068-4A48-A10F-F8322823187B}"/>
    <cellStyle name="20% - Accent4 2 3 4 2 2 5" xfId="17243" xr:uid="{BE7E9F92-1078-4866-A758-48F54EDF874C}"/>
    <cellStyle name="20% - Accent4 2 3 4 2 3" xfId="22326" xr:uid="{F841D3FA-2AB2-4264-8D77-EBBD00A9B8B4}"/>
    <cellStyle name="20% - Accent4 2 3 4 2 4" xfId="30773" xr:uid="{5DB7A643-309F-49D3-8A2D-16DE7CDEAE7D}"/>
    <cellStyle name="20% - Accent4 2 3 4 2 5" xfId="39220" xr:uid="{0849125F-B2F2-4224-8E25-3BF8F9EB60F4}"/>
    <cellStyle name="20% - Accent4 2 3 4 2 6" xfId="13026" xr:uid="{D09822E3-12F3-4219-947E-3BAE67D8273C}"/>
    <cellStyle name="20% - Accent4 2 3 4 3" xfId="5772" xr:uid="{00000000-0005-0000-0000-000017020000}"/>
    <cellStyle name="20% - Accent4 2 3 4 3 2" xfId="24398" xr:uid="{5AF5200B-9287-432D-971D-25F223CB2E9B}"/>
    <cellStyle name="20% - Accent4 2 3 4 3 3" xfId="32845" xr:uid="{A74567CD-438F-43ED-A6B2-6310CD7AEFF8}"/>
    <cellStyle name="20% - Accent4 2 3 4 3 4" xfId="41292" xr:uid="{375165FF-6AF0-4F9D-A5D2-6D3E6B761EC0}"/>
    <cellStyle name="20% - Accent4 2 3 4 3 5" xfId="15098" xr:uid="{57B01333-7A43-42AB-BF3B-F6045ECEF79F}"/>
    <cellStyle name="20% - Accent4 2 3 4 4" xfId="20181" xr:uid="{5A531F95-4E78-4A9F-8F64-A95D3F39BA55}"/>
    <cellStyle name="20% - Accent4 2 3 4 5" xfId="28628" xr:uid="{CA4962FF-CF55-4258-A9BB-C15612DDC19E}"/>
    <cellStyle name="20% - Accent4 2 3 4 6" xfId="37075" xr:uid="{AB380310-6A06-4916-B26A-A805993032A0}"/>
    <cellStyle name="20% - Accent4 2 3 4 7" xfId="10881" xr:uid="{A4DCD4D6-A21C-41BD-B36B-FFD1DB0639A2}"/>
    <cellStyle name="20% - Accent4 2 3 5" xfId="1879" xr:uid="{00000000-0005-0000-0000-000018020000}"/>
    <cellStyle name="20% - Accent4 2 3 5 2" xfId="4108" xr:uid="{00000000-0005-0000-0000-000019020000}"/>
    <cellStyle name="20% - Accent4 2 3 5 2 2" xfId="8330" xr:uid="{00000000-0005-0000-0000-00001A020000}"/>
    <cellStyle name="20% - Accent4 2 3 5 2 2 2" xfId="26956" xr:uid="{8CAEEB93-8573-4EEC-9300-2227840AB6C1}"/>
    <cellStyle name="20% - Accent4 2 3 5 2 2 3" xfId="35403" xr:uid="{C807AD51-9FF4-4CC8-AEDF-157FF1A7B9E5}"/>
    <cellStyle name="20% - Accent4 2 3 5 2 2 4" xfId="43850" xr:uid="{092E4B98-5818-4DF4-92C4-20DEF6DD4A25}"/>
    <cellStyle name="20% - Accent4 2 3 5 2 2 5" xfId="17656" xr:uid="{D24C07C2-682A-4677-B467-92A9436C034A}"/>
    <cellStyle name="20% - Accent4 2 3 5 2 3" xfId="22739" xr:uid="{5A05E2A5-3B0F-4944-A6C8-54E08C61A54F}"/>
    <cellStyle name="20% - Accent4 2 3 5 2 4" xfId="31186" xr:uid="{9C4F8993-B74C-4C27-9BCB-BE05E348B4FB}"/>
    <cellStyle name="20% - Accent4 2 3 5 2 5" xfId="39633" xr:uid="{3469F799-4F68-46E1-A268-292115D7A65C}"/>
    <cellStyle name="20% - Accent4 2 3 5 2 6" xfId="13439" xr:uid="{6934631A-6E43-461B-9DD6-E7854B646492}"/>
    <cellStyle name="20% - Accent4 2 3 5 3" xfId="6185" xr:uid="{00000000-0005-0000-0000-00001B020000}"/>
    <cellStyle name="20% - Accent4 2 3 5 3 2" xfId="24811" xr:uid="{CB8CFB4F-6CF3-4FED-8E50-9CC1216EC337}"/>
    <cellStyle name="20% - Accent4 2 3 5 3 3" xfId="33258" xr:uid="{67A8B6A0-63FA-43E4-B4B8-9CB020577D0E}"/>
    <cellStyle name="20% - Accent4 2 3 5 3 4" xfId="41705" xr:uid="{FD8B40C5-6C0E-49BA-AE58-5BFE5EA27921}"/>
    <cellStyle name="20% - Accent4 2 3 5 3 5" xfId="15511" xr:uid="{DDD362DA-6A58-4AA5-9994-9791B6DD85BD}"/>
    <cellStyle name="20% - Accent4 2 3 5 4" xfId="20594" xr:uid="{315D3D05-E362-4C08-89B3-C6756BF5D295}"/>
    <cellStyle name="20% - Accent4 2 3 5 5" xfId="29041" xr:uid="{70D9C41A-78E8-4A18-9862-DD7042154616}"/>
    <cellStyle name="20% - Accent4 2 3 5 6" xfId="37488" xr:uid="{0E2B911B-866D-4310-9416-1FDEBAC40F21}"/>
    <cellStyle name="20% - Accent4 2 3 5 7" xfId="11294" xr:uid="{870B2C62-EDAF-4F1B-A3D1-D91939DEDF7C}"/>
    <cellStyle name="20% - Accent4 2 3 6" xfId="2292" xr:uid="{00000000-0005-0000-0000-00001C020000}"/>
    <cellStyle name="20% - Accent4 2 3 6 2" xfId="6598" xr:uid="{00000000-0005-0000-0000-00001D020000}"/>
    <cellStyle name="20% - Accent4 2 3 6 2 2" xfId="25224" xr:uid="{45976010-20F0-4AC3-8853-57E70E254921}"/>
    <cellStyle name="20% - Accent4 2 3 6 2 3" xfId="33671" xr:uid="{D6CCC2F4-76C3-4007-BE0D-9654D3349123}"/>
    <cellStyle name="20% - Accent4 2 3 6 2 4" xfId="42118" xr:uid="{46E26E56-19CA-4E7C-87B7-957160FA3866}"/>
    <cellStyle name="20% - Accent4 2 3 6 2 5" xfId="15924" xr:uid="{4534C482-8DAC-43B5-BEA1-E58CC66C7A5C}"/>
    <cellStyle name="20% - Accent4 2 3 6 3" xfId="21007" xr:uid="{E1B49FBC-601D-4A60-974D-66E31D346E93}"/>
    <cellStyle name="20% - Accent4 2 3 6 4" xfId="29454" xr:uid="{32ABAECE-3EDC-4F7F-9528-E61CEDC09F94}"/>
    <cellStyle name="20% - Accent4 2 3 6 5" xfId="37901" xr:uid="{18D895CB-4508-4B64-B8C0-A8A571BB3B2E}"/>
    <cellStyle name="20% - Accent4 2 3 6 6" xfId="11707" xr:uid="{C9376863-DDD0-4735-AD0D-8632D79133D9}"/>
    <cellStyle name="20% - Accent4 2 3 7" xfId="4532" xr:uid="{00000000-0005-0000-0000-00001E020000}"/>
    <cellStyle name="20% - Accent4 2 3 7 2" xfId="23158" xr:uid="{613C39F7-02DC-4CE2-9FEB-2D07AEBB1B03}"/>
    <cellStyle name="20% - Accent4 2 3 7 3" xfId="31605" xr:uid="{F1DEC385-3287-4531-89D2-AD5D6BDEA633}"/>
    <cellStyle name="20% - Accent4 2 3 7 4" xfId="40052" xr:uid="{E8DC71CD-56CD-4485-91C7-259A2FD0E164}"/>
    <cellStyle name="20% - Accent4 2 3 7 5" xfId="13858" xr:uid="{B1BCDCE2-7136-4DF8-BF3B-9D37D892A3E2}"/>
    <cellStyle name="20% - Accent4 2 3 8" xfId="9001" xr:uid="{B9DE6BBA-06E2-4FC8-B645-F20E60244072}"/>
    <cellStyle name="20% - Accent4 2 3 8 2" xfId="18325" xr:uid="{06EEF4C8-2D14-4C6F-9B8D-6F0048C4A278}"/>
    <cellStyle name="20% - Accent4 2 3 9" xfId="18941" xr:uid="{DD41160C-AB50-4A69-9ECD-461F974ABA93}"/>
    <cellStyle name="20% - Accent4 2 4" xfId="595" xr:uid="{00000000-0005-0000-0000-00001F020000}"/>
    <cellStyle name="20% - Accent4 2 4 2" xfId="2866" xr:uid="{00000000-0005-0000-0000-000020020000}"/>
    <cellStyle name="20% - Accent4 2 4 2 2" xfId="7088" xr:uid="{00000000-0005-0000-0000-000021020000}"/>
    <cellStyle name="20% - Accent4 2 4 2 2 2" xfId="25714" xr:uid="{D2F0126D-1875-46C1-BDB1-B1A7FBE303D2}"/>
    <cellStyle name="20% - Accent4 2 4 2 2 3" xfId="34161" xr:uid="{A1DF8A08-0CC5-45CD-8F01-3A65E6C1CE97}"/>
    <cellStyle name="20% - Accent4 2 4 2 2 4" xfId="42608" xr:uid="{229E3CF8-FF78-4331-A9E6-8020C4091AC0}"/>
    <cellStyle name="20% - Accent4 2 4 2 2 5" xfId="16414" xr:uid="{9AD41F8B-5912-4154-9B2C-F5ADA0B792A5}"/>
    <cellStyle name="20% - Accent4 2 4 2 3" xfId="21497" xr:uid="{63F1F3B7-0234-4C17-81AF-83C80C7B138C}"/>
    <cellStyle name="20% - Accent4 2 4 2 4" xfId="29944" xr:uid="{2C4CFDDF-4307-4192-B0FE-A186DFB9A599}"/>
    <cellStyle name="20% - Accent4 2 4 2 5" xfId="38391" xr:uid="{19DB6E55-2060-4AE4-85FB-F863144F39D6}"/>
    <cellStyle name="20% - Accent4 2 4 2 6" xfId="12197" xr:uid="{57C4647A-F0E6-48CE-B8FD-305842FBAC27}"/>
    <cellStyle name="20% - Accent4 2 4 3" xfId="4943" xr:uid="{00000000-0005-0000-0000-000022020000}"/>
    <cellStyle name="20% - Accent4 2 4 3 2" xfId="23569" xr:uid="{F97122EF-98C8-4278-9993-1DCF20F21B25}"/>
    <cellStyle name="20% - Accent4 2 4 3 3" xfId="32016" xr:uid="{49C9E87B-3A25-4D61-B039-0E2D3D01DE73}"/>
    <cellStyle name="20% - Accent4 2 4 3 4" xfId="40463" xr:uid="{81F970FE-7545-415E-A8F0-67F6A4873CA7}"/>
    <cellStyle name="20% - Accent4 2 4 3 5" xfId="14269" xr:uid="{EA111657-12E8-4178-87E1-DDB79A3DFD78}"/>
    <cellStyle name="20% - Accent4 2 4 4" xfId="9218" xr:uid="{EEA9CEE5-7B27-41EB-B571-13D0ADC44445}"/>
    <cellStyle name="20% - Accent4 2 4 4 2" xfId="18535" xr:uid="{38833ABD-9928-4444-BB02-A49019603F99}"/>
    <cellStyle name="20% - Accent4 2 4 5" xfId="19352" xr:uid="{E4D23003-A591-4721-B427-DF636FBFAEF9}"/>
    <cellStyle name="20% - Accent4 2 4 6" xfId="27799" xr:uid="{62D3FE6C-DA1D-4EC1-82B8-EAA014358542}"/>
    <cellStyle name="20% - Accent4 2 4 7" xfId="36246" xr:uid="{B5819570-56BC-450F-8D30-0D1C4F5CBB77}"/>
    <cellStyle name="20% - Accent4 2 4 8" xfId="10052" xr:uid="{AB615E8A-A12F-4462-A195-56A67D6564F7}"/>
    <cellStyle name="20% - Accent4 2 5" xfId="1048" xr:uid="{00000000-0005-0000-0000-000023020000}"/>
    <cellStyle name="20% - Accent4 2 5 2" xfId="3279" xr:uid="{00000000-0005-0000-0000-000024020000}"/>
    <cellStyle name="20% - Accent4 2 5 2 2" xfId="7501" xr:uid="{00000000-0005-0000-0000-000025020000}"/>
    <cellStyle name="20% - Accent4 2 5 2 2 2" xfId="26127" xr:uid="{A73F9EC6-52BA-4E34-9B26-B2BDA5AC6F20}"/>
    <cellStyle name="20% - Accent4 2 5 2 2 3" xfId="34574" xr:uid="{CE777642-BEC0-4800-8D33-1923EDB973D5}"/>
    <cellStyle name="20% - Accent4 2 5 2 2 4" xfId="43021" xr:uid="{56A6D54A-A0F3-4701-AFF3-3BB3DF98FF20}"/>
    <cellStyle name="20% - Accent4 2 5 2 2 5" xfId="16827" xr:uid="{2AAED956-A7C4-427D-94DF-9566D1C97639}"/>
    <cellStyle name="20% - Accent4 2 5 2 3" xfId="21910" xr:uid="{5BD0C715-CF9A-49CF-A498-CC4FBAF2DA2D}"/>
    <cellStyle name="20% - Accent4 2 5 2 4" xfId="30357" xr:uid="{536E9502-9AAE-4473-9F1E-671A04AE4101}"/>
    <cellStyle name="20% - Accent4 2 5 2 5" xfId="38804" xr:uid="{20B4CCD8-CD23-49FC-A1BC-98A0561E563D}"/>
    <cellStyle name="20% - Accent4 2 5 2 6" xfId="12610" xr:uid="{DF0F1611-844F-467B-85A8-A1EEB4FDA87A}"/>
    <cellStyle name="20% - Accent4 2 5 3" xfId="5356" xr:uid="{00000000-0005-0000-0000-000026020000}"/>
    <cellStyle name="20% - Accent4 2 5 3 2" xfId="23982" xr:uid="{742A2028-24FE-4DBE-971A-1570733D0A63}"/>
    <cellStyle name="20% - Accent4 2 5 3 3" xfId="32429" xr:uid="{73FF246E-C0F2-469C-8756-B39A1BC8DB31}"/>
    <cellStyle name="20% - Accent4 2 5 3 4" xfId="40876" xr:uid="{05AD8FC3-2E84-4EB5-A9F1-994A3FB4E27D}"/>
    <cellStyle name="20% - Accent4 2 5 3 5" xfId="14682" xr:uid="{67C2F507-AF61-4E84-8F86-F9D4B6D48CD6}"/>
    <cellStyle name="20% - Accent4 2 5 4" xfId="19765" xr:uid="{7AC0FE6E-DE03-49D6-B202-399520413364}"/>
    <cellStyle name="20% - Accent4 2 5 5" xfId="28212" xr:uid="{43DC16CC-6488-4F85-8050-EDCC2B97241F}"/>
    <cellStyle name="20% - Accent4 2 5 6" xfId="36659" xr:uid="{5CD67D5E-1608-4524-91DB-954D4391EDB4}"/>
    <cellStyle name="20% - Accent4 2 5 7" xfId="10465" xr:uid="{DDC58D84-5703-40DC-968B-544BBA12F35D}"/>
    <cellStyle name="20% - Accent4 2 6" xfId="1462" xr:uid="{00000000-0005-0000-0000-000027020000}"/>
    <cellStyle name="20% - Accent4 2 6 2" xfId="3692" xr:uid="{00000000-0005-0000-0000-000028020000}"/>
    <cellStyle name="20% - Accent4 2 6 2 2" xfId="7914" xr:uid="{00000000-0005-0000-0000-000029020000}"/>
    <cellStyle name="20% - Accent4 2 6 2 2 2" xfId="26540" xr:uid="{4AE1E50E-B20F-4E3B-AC76-BEE4C4E462D6}"/>
    <cellStyle name="20% - Accent4 2 6 2 2 3" xfId="34987" xr:uid="{EAB1020C-629A-4074-92AE-B227A197A719}"/>
    <cellStyle name="20% - Accent4 2 6 2 2 4" xfId="43434" xr:uid="{D053FA0B-92F8-4B96-BA52-3850A0D006E9}"/>
    <cellStyle name="20% - Accent4 2 6 2 2 5" xfId="17240" xr:uid="{940191C7-DD1F-4757-8DC1-F8DD1D545857}"/>
    <cellStyle name="20% - Accent4 2 6 2 3" xfId="22323" xr:uid="{954DB6F2-F09B-4184-B0EB-488A2B2BFC0D}"/>
    <cellStyle name="20% - Accent4 2 6 2 4" xfId="30770" xr:uid="{3A746EDA-E5BD-4468-A6AB-966E37A61F94}"/>
    <cellStyle name="20% - Accent4 2 6 2 5" xfId="39217" xr:uid="{F7002A8C-8994-48C6-97DE-A5C88994082E}"/>
    <cellStyle name="20% - Accent4 2 6 2 6" xfId="13023" xr:uid="{8A188289-A4DD-4925-BA5C-EBC0336ACCB2}"/>
    <cellStyle name="20% - Accent4 2 6 3" xfId="5769" xr:uid="{00000000-0005-0000-0000-00002A020000}"/>
    <cellStyle name="20% - Accent4 2 6 3 2" xfId="24395" xr:uid="{C3492268-BCCC-4ECA-9A36-CDFCFD46EE72}"/>
    <cellStyle name="20% - Accent4 2 6 3 3" xfId="32842" xr:uid="{30A8D13A-637A-41B4-B9DB-ECD8BB7B6AA1}"/>
    <cellStyle name="20% - Accent4 2 6 3 4" xfId="41289" xr:uid="{26D20014-CA3C-4251-A03B-096AD424C290}"/>
    <cellStyle name="20% - Accent4 2 6 3 5" xfId="15095" xr:uid="{BE06AA4B-DD94-44D7-A977-E939E8D218EA}"/>
    <cellStyle name="20% - Accent4 2 6 4" xfId="20178" xr:uid="{666C3C1D-43F1-4059-ACA2-5938302EBF34}"/>
    <cellStyle name="20% - Accent4 2 6 5" xfId="28625" xr:uid="{91625797-12C6-4D97-982F-97BD1666670D}"/>
    <cellStyle name="20% - Accent4 2 6 6" xfId="37072" xr:uid="{B19E2A44-91A4-4988-B249-4B910AD1AC27}"/>
    <cellStyle name="20% - Accent4 2 6 7" xfId="10878" xr:uid="{A0867588-D8B4-4C9C-8D89-9FB5FFC604B1}"/>
    <cellStyle name="20% - Accent4 2 7" xfId="1876" xr:uid="{00000000-0005-0000-0000-00002B020000}"/>
    <cellStyle name="20% - Accent4 2 7 2" xfId="4105" xr:uid="{00000000-0005-0000-0000-00002C020000}"/>
    <cellStyle name="20% - Accent4 2 7 2 2" xfId="8327" xr:uid="{00000000-0005-0000-0000-00002D020000}"/>
    <cellStyle name="20% - Accent4 2 7 2 2 2" xfId="26953" xr:uid="{87684210-7806-40C1-9204-4A9DF65DF811}"/>
    <cellStyle name="20% - Accent4 2 7 2 2 3" xfId="35400" xr:uid="{107C4680-AFD9-4B9A-BEBA-A076CEA593BC}"/>
    <cellStyle name="20% - Accent4 2 7 2 2 4" xfId="43847" xr:uid="{BDCFF307-A3CD-4C1D-A731-BC01EB9180C6}"/>
    <cellStyle name="20% - Accent4 2 7 2 2 5" xfId="17653" xr:uid="{8F589D96-5D6B-4EFC-A947-D29AAF5806C8}"/>
    <cellStyle name="20% - Accent4 2 7 2 3" xfId="22736" xr:uid="{01C31757-3C7A-47F6-8545-5F3CE6C06281}"/>
    <cellStyle name="20% - Accent4 2 7 2 4" xfId="31183" xr:uid="{B5059317-949D-4C5E-887A-B69235F95C46}"/>
    <cellStyle name="20% - Accent4 2 7 2 5" xfId="39630" xr:uid="{9322AF0B-D3A7-4DDC-AC85-5657816599AF}"/>
    <cellStyle name="20% - Accent4 2 7 2 6" xfId="13436" xr:uid="{71C60051-DF46-4435-B2E0-61B1FFDC7753}"/>
    <cellStyle name="20% - Accent4 2 7 3" xfId="6182" xr:uid="{00000000-0005-0000-0000-00002E020000}"/>
    <cellStyle name="20% - Accent4 2 7 3 2" xfId="24808" xr:uid="{9D1403EF-B4C7-470A-8F7B-443244BE05F1}"/>
    <cellStyle name="20% - Accent4 2 7 3 3" xfId="33255" xr:uid="{4E63877C-5F5A-472C-8F12-71A3D47AF24D}"/>
    <cellStyle name="20% - Accent4 2 7 3 4" xfId="41702" xr:uid="{7F016B61-EC0D-4C24-86E3-048EEF2D612D}"/>
    <cellStyle name="20% - Accent4 2 7 3 5" xfId="15508" xr:uid="{4D3A3EC4-62E7-4509-B85D-79EAC2D704F2}"/>
    <cellStyle name="20% - Accent4 2 7 4" xfId="20591" xr:uid="{C1AB513B-75A3-4984-8C00-22D8E606501C}"/>
    <cellStyle name="20% - Accent4 2 7 5" xfId="29038" xr:uid="{7FD6D6D5-EA47-4E97-A89C-BD8330DC0B27}"/>
    <cellStyle name="20% - Accent4 2 7 6" xfId="37485" xr:uid="{3DF3157C-AD94-43AC-989F-948C6C8C3B16}"/>
    <cellStyle name="20% - Accent4 2 7 7" xfId="11291" xr:uid="{AEDF49D7-771C-4C2A-A32F-B0D3394C75EF}"/>
    <cellStyle name="20% - Accent4 2 8" xfId="2289" xr:uid="{00000000-0005-0000-0000-00002F020000}"/>
    <cellStyle name="20% - Accent4 2 8 2" xfId="6595" xr:uid="{00000000-0005-0000-0000-000030020000}"/>
    <cellStyle name="20% - Accent4 2 8 2 2" xfId="25221" xr:uid="{6DF960E3-716D-4B68-97C6-C62BE75F78E1}"/>
    <cellStyle name="20% - Accent4 2 8 2 3" xfId="33668" xr:uid="{1E006D1D-5340-4EAF-B7B4-340A038F0400}"/>
    <cellStyle name="20% - Accent4 2 8 2 4" xfId="42115" xr:uid="{867B494E-26ED-466D-82E6-234CA892B30F}"/>
    <cellStyle name="20% - Accent4 2 8 2 5" xfId="15921" xr:uid="{C3DE4CA2-D2C7-4A32-9655-43C74BE3BEA9}"/>
    <cellStyle name="20% - Accent4 2 8 3" xfId="21004" xr:uid="{4972EE9E-87E6-4C48-90EF-5BD41D2B2201}"/>
    <cellStyle name="20% - Accent4 2 8 4" xfId="29451" xr:uid="{78FFB161-617F-4C75-BCA2-DCE9FBB9B0F0}"/>
    <cellStyle name="20% - Accent4 2 8 5" xfId="37898" xr:uid="{F826D0F0-025B-4439-A557-0EB387AE37DA}"/>
    <cellStyle name="20% - Accent4 2 8 6" xfId="11704" xr:uid="{8F5E5DA0-8A67-4B89-9218-92F41E31E1CE}"/>
    <cellStyle name="20% - Accent4 2 9" xfId="4529" xr:uid="{00000000-0005-0000-0000-000031020000}"/>
    <cellStyle name="20% - Accent4 2 9 2" xfId="23155" xr:uid="{737496ED-50A2-4989-8681-F416D48C0DB0}"/>
    <cellStyle name="20% - Accent4 2 9 3" xfId="31602" xr:uid="{2C339B67-B044-403B-8C57-53276062A87F}"/>
    <cellStyle name="20% - Accent4 2 9 4" xfId="40049" xr:uid="{9DE42675-4617-44C9-B879-0932CD7F06E8}"/>
    <cellStyle name="20% - Accent4 2 9 5" xfId="13855" xr:uid="{1B7CB4A4-813A-4718-B4F4-B359AF408680}"/>
    <cellStyle name="20% - Accent4 3" xfId="30" xr:uid="{00000000-0005-0000-0000-000032020000}"/>
    <cellStyle name="20% - Accent4 3 10" xfId="18942" xr:uid="{A5072A20-8C08-4E3B-AECD-8BEC76F1A7A2}"/>
    <cellStyle name="20% - Accent4 3 11" xfId="27389" xr:uid="{4BA3568B-2B93-4FEE-B8C1-E5D549405B23}"/>
    <cellStyle name="20% - Accent4 3 12" xfId="35836" xr:uid="{034737E4-7472-4579-9F4A-194E5CA3B799}"/>
    <cellStyle name="20% - Accent4 3 13" xfId="9642" xr:uid="{0BF05C2A-3614-4D24-B58A-2C2F2380E32B}"/>
    <cellStyle name="20% - Accent4 3 2" xfId="31" xr:uid="{00000000-0005-0000-0000-000033020000}"/>
    <cellStyle name="20% - Accent4 3 2 10" xfId="27390" xr:uid="{CA85A1D3-1AE8-4074-9012-6B53C18942B3}"/>
    <cellStyle name="20% - Accent4 3 2 11" xfId="35837" xr:uid="{50E78EE5-C54A-4988-9C0D-4F52152E1079}"/>
    <cellStyle name="20% - Accent4 3 2 12" xfId="9643" xr:uid="{90E3CF80-A30B-4A5D-88EC-C3B8E365FF10}"/>
    <cellStyle name="20% - Accent4 3 2 2" xfId="600" xr:uid="{00000000-0005-0000-0000-000034020000}"/>
    <cellStyle name="20% - Accent4 3 2 2 2" xfId="2871" xr:uid="{00000000-0005-0000-0000-000035020000}"/>
    <cellStyle name="20% - Accent4 3 2 2 2 2" xfId="7093" xr:uid="{00000000-0005-0000-0000-000036020000}"/>
    <cellStyle name="20% - Accent4 3 2 2 2 2 2" xfId="25719" xr:uid="{FDFA6101-A418-4413-8298-827F313E4F10}"/>
    <cellStyle name="20% - Accent4 3 2 2 2 2 3" xfId="34166" xr:uid="{EDF4B615-6592-4E6F-9723-818E6A9CEF32}"/>
    <cellStyle name="20% - Accent4 3 2 2 2 2 4" xfId="42613" xr:uid="{3B61E33B-C1FC-4153-8C0D-5A0725BFD740}"/>
    <cellStyle name="20% - Accent4 3 2 2 2 2 5" xfId="16419" xr:uid="{B9C66AEE-DCFC-4493-825F-45659CF87298}"/>
    <cellStyle name="20% - Accent4 3 2 2 2 3" xfId="21502" xr:uid="{EC4C0FF9-9FB6-49EA-AB4C-335E08B39703}"/>
    <cellStyle name="20% - Accent4 3 2 2 2 4" xfId="29949" xr:uid="{0F35D8C1-7B08-4E0F-AD0F-36C4980CE295}"/>
    <cellStyle name="20% - Accent4 3 2 2 2 5" xfId="38396" xr:uid="{A37E7894-04E4-4DEB-B7E1-F347E2E940A7}"/>
    <cellStyle name="20% - Accent4 3 2 2 2 6" xfId="12202" xr:uid="{14B810E8-C47C-4FCE-80DD-5FED0CE3F139}"/>
    <cellStyle name="20% - Accent4 3 2 2 3" xfId="4948" xr:uid="{00000000-0005-0000-0000-000037020000}"/>
    <cellStyle name="20% - Accent4 3 2 2 3 2" xfId="23574" xr:uid="{4509C457-0D00-4E3C-B582-2D3835883275}"/>
    <cellStyle name="20% - Accent4 3 2 2 3 3" xfId="32021" xr:uid="{EAD598D4-D6ED-464B-86EB-00D265DE8643}"/>
    <cellStyle name="20% - Accent4 3 2 2 3 4" xfId="40468" xr:uid="{6ACCEEAE-A8B0-4315-9425-FD3D5BA3BC43}"/>
    <cellStyle name="20% - Accent4 3 2 2 3 5" xfId="14274" xr:uid="{2469E74E-01D3-430B-9A91-BE6E49E7116F}"/>
    <cellStyle name="20% - Accent4 3 2 2 4" xfId="9499" xr:uid="{019308F4-938B-408B-A627-483AF94276A0}"/>
    <cellStyle name="20% - Accent4 3 2 2 4 2" xfId="18815" xr:uid="{583620DF-49DD-4356-B8EE-E95340E7E253}"/>
    <cellStyle name="20% - Accent4 3 2 2 5" xfId="19357" xr:uid="{5D760B1B-7B15-40E3-8AB3-74872DD1CE4C}"/>
    <cellStyle name="20% - Accent4 3 2 2 6" xfId="27804" xr:uid="{897D95C5-5CE0-4D09-9AB0-132A6ABC77B0}"/>
    <cellStyle name="20% - Accent4 3 2 2 7" xfId="36251" xr:uid="{934E1C73-9EF3-45D9-9276-4364384A0AB9}"/>
    <cellStyle name="20% - Accent4 3 2 2 8" xfId="10057" xr:uid="{4E607CA9-CD52-4E7D-8E74-EC8B2303594E}"/>
    <cellStyle name="20% - Accent4 3 2 3" xfId="1053" xr:uid="{00000000-0005-0000-0000-000038020000}"/>
    <cellStyle name="20% - Accent4 3 2 3 2" xfId="3284" xr:uid="{00000000-0005-0000-0000-000039020000}"/>
    <cellStyle name="20% - Accent4 3 2 3 2 2" xfId="7506" xr:uid="{00000000-0005-0000-0000-00003A020000}"/>
    <cellStyle name="20% - Accent4 3 2 3 2 2 2" xfId="26132" xr:uid="{28B8C65B-7725-454F-93CF-46B066A97EF2}"/>
    <cellStyle name="20% - Accent4 3 2 3 2 2 3" xfId="34579" xr:uid="{C1CF22B3-1BC2-4E70-AAE8-4DA11D60690F}"/>
    <cellStyle name="20% - Accent4 3 2 3 2 2 4" xfId="43026" xr:uid="{F08C7F1E-3E69-44A7-8DA8-8C3CA521B7C0}"/>
    <cellStyle name="20% - Accent4 3 2 3 2 2 5" xfId="16832" xr:uid="{D70C35B9-1F7C-456F-97EB-C0961C76720C}"/>
    <cellStyle name="20% - Accent4 3 2 3 2 3" xfId="21915" xr:uid="{111A23AC-4111-4593-9DE0-2D4B667B6420}"/>
    <cellStyle name="20% - Accent4 3 2 3 2 4" xfId="30362" xr:uid="{518247BA-3DD1-447E-A1AB-FBF3294058D8}"/>
    <cellStyle name="20% - Accent4 3 2 3 2 5" xfId="38809" xr:uid="{E130D872-65BF-433C-9994-F339097E142D}"/>
    <cellStyle name="20% - Accent4 3 2 3 2 6" xfId="12615" xr:uid="{16195AF1-0F3D-4531-8EC7-EAB03AD05428}"/>
    <cellStyle name="20% - Accent4 3 2 3 3" xfId="5361" xr:uid="{00000000-0005-0000-0000-00003B020000}"/>
    <cellStyle name="20% - Accent4 3 2 3 3 2" xfId="23987" xr:uid="{E89A5FCA-09CB-4A5C-8047-453933B49137}"/>
    <cellStyle name="20% - Accent4 3 2 3 3 3" xfId="32434" xr:uid="{F44D26D3-4F20-4769-B00C-29F44644C88E}"/>
    <cellStyle name="20% - Accent4 3 2 3 3 4" xfId="40881" xr:uid="{7012176F-A3CB-4885-8FE1-DC132D8FFDDE}"/>
    <cellStyle name="20% - Accent4 3 2 3 3 5" xfId="14687" xr:uid="{CD01E509-76BC-4882-8AA9-3432B4F79EC2}"/>
    <cellStyle name="20% - Accent4 3 2 3 4" xfId="19770" xr:uid="{C82C3714-9414-491A-9E8E-93940A2955C4}"/>
    <cellStyle name="20% - Accent4 3 2 3 5" xfId="28217" xr:uid="{C54FACD8-B576-4BF7-998C-F5EE0B4E2CE4}"/>
    <cellStyle name="20% - Accent4 3 2 3 6" xfId="36664" xr:uid="{32B897F7-6DA5-444D-8583-25FC738ABB6F}"/>
    <cellStyle name="20% - Accent4 3 2 3 7" xfId="10470" xr:uid="{3A98FD49-ADDC-47E8-808C-9250BBCAE8BD}"/>
    <cellStyle name="20% - Accent4 3 2 4" xfId="1467" xr:uid="{00000000-0005-0000-0000-00003C020000}"/>
    <cellStyle name="20% - Accent4 3 2 4 2" xfId="3697" xr:uid="{00000000-0005-0000-0000-00003D020000}"/>
    <cellStyle name="20% - Accent4 3 2 4 2 2" xfId="7919" xr:uid="{00000000-0005-0000-0000-00003E020000}"/>
    <cellStyle name="20% - Accent4 3 2 4 2 2 2" xfId="26545" xr:uid="{549E95BB-CC25-4485-A9C3-3EE92EE0D17F}"/>
    <cellStyle name="20% - Accent4 3 2 4 2 2 3" xfId="34992" xr:uid="{93A8E75C-5E7D-4D2A-926D-E59C1FF92A0E}"/>
    <cellStyle name="20% - Accent4 3 2 4 2 2 4" xfId="43439" xr:uid="{AC3F8538-A0BC-4470-94C1-842F7C3DED95}"/>
    <cellStyle name="20% - Accent4 3 2 4 2 2 5" xfId="17245" xr:uid="{C99CB155-4E87-42CA-A746-B3A1E657EAB1}"/>
    <cellStyle name="20% - Accent4 3 2 4 2 3" xfId="22328" xr:uid="{1B6E17BC-2F1A-4C49-8E01-C10E93EDEC00}"/>
    <cellStyle name="20% - Accent4 3 2 4 2 4" xfId="30775" xr:uid="{E1F505E4-BA40-4644-AFD4-7B44A022806A}"/>
    <cellStyle name="20% - Accent4 3 2 4 2 5" xfId="39222" xr:uid="{3648E3FB-02CB-47E8-98EC-D756975DBDF0}"/>
    <cellStyle name="20% - Accent4 3 2 4 2 6" xfId="13028" xr:uid="{B178A2A8-6527-4A75-A339-67B2FE48943B}"/>
    <cellStyle name="20% - Accent4 3 2 4 3" xfId="5774" xr:uid="{00000000-0005-0000-0000-00003F020000}"/>
    <cellStyle name="20% - Accent4 3 2 4 3 2" xfId="24400" xr:uid="{5BC2CB9F-AFD7-40ED-B25D-DB253F6D3980}"/>
    <cellStyle name="20% - Accent4 3 2 4 3 3" xfId="32847" xr:uid="{E8666E46-3FA7-4D30-8CC8-8C05782FB015}"/>
    <cellStyle name="20% - Accent4 3 2 4 3 4" xfId="41294" xr:uid="{CD381291-8B81-4891-9F3F-BCF60160A841}"/>
    <cellStyle name="20% - Accent4 3 2 4 3 5" xfId="15100" xr:uid="{04449350-0675-4546-AD62-8CB4B24AEB52}"/>
    <cellStyle name="20% - Accent4 3 2 4 4" xfId="20183" xr:uid="{9B5A3EDC-427F-4C70-93C0-C1A00DE8693B}"/>
    <cellStyle name="20% - Accent4 3 2 4 5" xfId="28630" xr:uid="{F6AC8FFA-E257-44D2-B9A4-EF2A30501DA7}"/>
    <cellStyle name="20% - Accent4 3 2 4 6" xfId="37077" xr:uid="{9F7F1DB5-DD0C-4D0F-BE51-2648AC06528A}"/>
    <cellStyle name="20% - Accent4 3 2 4 7" xfId="10883" xr:uid="{8ABAF38D-09F3-4BC6-92E4-C667F6087087}"/>
    <cellStyle name="20% - Accent4 3 2 5" xfId="1881" xr:uid="{00000000-0005-0000-0000-000040020000}"/>
    <cellStyle name="20% - Accent4 3 2 5 2" xfId="4110" xr:uid="{00000000-0005-0000-0000-000041020000}"/>
    <cellStyle name="20% - Accent4 3 2 5 2 2" xfId="8332" xr:uid="{00000000-0005-0000-0000-000042020000}"/>
    <cellStyle name="20% - Accent4 3 2 5 2 2 2" xfId="26958" xr:uid="{E9B37FD2-76FB-45A1-8114-C6D9284053CA}"/>
    <cellStyle name="20% - Accent4 3 2 5 2 2 3" xfId="35405" xr:uid="{D4B78C89-8325-473E-AE2D-2CAE79EF030C}"/>
    <cellStyle name="20% - Accent4 3 2 5 2 2 4" xfId="43852" xr:uid="{5D3E6AB1-3FB8-4E23-A918-0CD6A018F7A3}"/>
    <cellStyle name="20% - Accent4 3 2 5 2 2 5" xfId="17658" xr:uid="{5ACD3B2C-C4EF-43B3-B57E-C741963693D0}"/>
    <cellStyle name="20% - Accent4 3 2 5 2 3" xfId="22741" xr:uid="{AD3606B4-E924-4E76-8ECB-22DB6FA6CAD6}"/>
    <cellStyle name="20% - Accent4 3 2 5 2 4" xfId="31188" xr:uid="{8A7DCB55-214A-4C88-A86A-80DC10096E8A}"/>
    <cellStyle name="20% - Accent4 3 2 5 2 5" xfId="39635" xr:uid="{E86F272F-6BA8-498F-B93A-A620C786B686}"/>
    <cellStyle name="20% - Accent4 3 2 5 2 6" xfId="13441" xr:uid="{E1910ECF-1BAF-405F-B5EE-73552FBE0DE6}"/>
    <cellStyle name="20% - Accent4 3 2 5 3" xfId="6187" xr:uid="{00000000-0005-0000-0000-000043020000}"/>
    <cellStyle name="20% - Accent4 3 2 5 3 2" xfId="24813" xr:uid="{BFEF5B64-C3F8-4703-8C1E-A3526A9D4D99}"/>
    <cellStyle name="20% - Accent4 3 2 5 3 3" xfId="33260" xr:uid="{59B32908-5DE4-4811-A683-A77C2498D758}"/>
    <cellStyle name="20% - Accent4 3 2 5 3 4" xfId="41707" xr:uid="{0B760A30-90BF-4F78-9B6B-8C2BE0F7A5FA}"/>
    <cellStyle name="20% - Accent4 3 2 5 3 5" xfId="15513" xr:uid="{62CC44B2-F148-4F78-A587-BB490B2B3339}"/>
    <cellStyle name="20% - Accent4 3 2 5 4" xfId="20596" xr:uid="{74D177B3-D775-4593-BDB5-7E13A1973E09}"/>
    <cellStyle name="20% - Accent4 3 2 5 5" xfId="29043" xr:uid="{EFD27E97-9226-419B-B66F-DD817CDDB43D}"/>
    <cellStyle name="20% - Accent4 3 2 5 6" xfId="37490" xr:uid="{0ABBF86E-80F4-45F2-AE26-681A624F0095}"/>
    <cellStyle name="20% - Accent4 3 2 5 7" xfId="11296" xr:uid="{9051881C-DFC4-4807-A346-C82A2F596F8C}"/>
    <cellStyle name="20% - Accent4 3 2 6" xfId="2294" xr:uid="{00000000-0005-0000-0000-000044020000}"/>
    <cellStyle name="20% - Accent4 3 2 6 2" xfId="6600" xr:uid="{00000000-0005-0000-0000-000045020000}"/>
    <cellStyle name="20% - Accent4 3 2 6 2 2" xfId="25226" xr:uid="{DC3F3B50-8BB7-4135-BE9D-76C4127E0605}"/>
    <cellStyle name="20% - Accent4 3 2 6 2 3" xfId="33673" xr:uid="{CF798118-9963-4222-A783-CDF4B6DD10D4}"/>
    <cellStyle name="20% - Accent4 3 2 6 2 4" xfId="42120" xr:uid="{4E7AF690-570E-483C-AFD3-B7C9E738C08C}"/>
    <cellStyle name="20% - Accent4 3 2 6 2 5" xfId="15926" xr:uid="{97F3B04F-F690-45CC-AA73-98AD4F8973CA}"/>
    <cellStyle name="20% - Accent4 3 2 6 3" xfId="21009" xr:uid="{81FC3FBC-8C99-4E5E-A837-339F491D9D61}"/>
    <cellStyle name="20% - Accent4 3 2 6 4" xfId="29456" xr:uid="{07B88C6D-EB45-4CE8-9217-E21A0D8295CA}"/>
    <cellStyle name="20% - Accent4 3 2 6 5" xfId="37903" xr:uid="{35781847-CA02-40C5-A189-BBF034703B65}"/>
    <cellStyle name="20% - Accent4 3 2 6 6" xfId="11709" xr:uid="{2C7881D4-4AE4-4CBC-839B-3D91B46BB4F7}"/>
    <cellStyle name="20% - Accent4 3 2 7" xfId="4534" xr:uid="{00000000-0005-0000-0000-000046020000}"/>
    <cellStyle name="20% - Accent4 3 2 7 2" xfId="23160" xr:uid="{40B90634-6868-4743-AEEC-5F813C8EB60C}"/>
    <cellStyle name="20% - Accent4 3 2 7 3" xfId="31607" xr:uid="{FABC16EB-A503-48B7-8AED-65C2A9BD2428}"/>
    <cellStyle name="20% - Accent4 3 2 7 4" xfId="40054" xr:uid="{89E1F4DC-5D18-4150-A8EB-CDCDAA8D72AA}"/>
    <cellStyle name="20% - Accent4 3 2 7 5" xfId="13860" xr:uid="{D53FF427-0B96-46BD-8859-50F38902A934}"/>
    <cellStyle name="20% - Accent4 3 2 8" xfId="9074" xr:uid="{BA25EAA8-2B5F-4309-91A3-FC61FCEF209C}"/>
    <cellStyle name="20% - Accent4 3 2 8 2" xfId="18398" xr:uid="{4336766E-8557-4F64-AF7B-4915C6C360E3}"/>
    <cellStyle name="20% - Accent4 3 2 9" xfId="18943" xr:uid="{33DF9098-72FE-49B1-ACD4-2DA6B22CEECC}"/>
    <cellStyle name="20% - Accent4 3 3" xfId="599" xr:uid="{00000000-0005-0000-0000-000047020000}"/>
    <cellStyle name="20% - Accent4 3 3 2" xfId="2870" xr:uid="{00000000-0005-0000-0000-000048020000}"/>
    <cellStyle name="20% - Accent4 3 3 2 2" xfId="7092" xr:uid="{00000000-0005-0000-0000-000049020000}"/>
    <cellStyle name="20% - Accent4 3 3 2 2 2" xfId="25718" xr:uid="{81CE32D9-9A5E-4400-9940-135678F3F29A}"/>
    <cellStyle name="20% - Accent4 3 3 2 2 3" xfId="34165" xr:uid="{BBB9A0BD-A2C0-46CD-88FD-E6EEFAD56C31}"/>
    <cellStyle name="20% - Accent4 3 3 2 2 4" xfId="42612" xr:uid="{D637ACFF-E753-426E-80E2-9799761B66DD}"/>
    <cellStyle name="20% - Accent4 3 3 2 2 5" xfId="16418" xr:uid="{7E6118F7-4819-4545-8D5D-6425DEA392AA}"/>
    <cellStyle name="20% - Accent4 3 3 2 3" xfId="21501" xr:uid="{006FC7ED-57A4-40E2-9C7C-B18D6A5B1B72}"/>
    <cellStyle name="20% - Accent4 3 3 2 4" xfId="29948" xr:uid="{687E5BCB-A947-4A03-9281-F01F4756D4E4}"/>
    <cellStyle name="20% - Accent4 3 3 2 5" xfId="38395" xr:uid="{304EECD2-EF08-4899-9B45-54762DFEB78C}"/>
    <cellStyle name="20% - Accent4 3 3 2 6" xfId="12201" xr:uid="{AF9733A1-7B65-4BA4-8B8B-C617DFD4005B}"/>
    <cellStyle name="20% - Accent4 3 3 3" xfId="4947" xr:uid="{00000000-0005-0000-0000-00004A020000}"/>
    <cellStyle name="20% - Accent4 3 3 3 2" xfId="23573" xr:uid="{C19B7B6D-A544-49AA-9F74-B66FDD0147C6}"/>
    <cellStyle name="20% - Accent4 3 3 3 3" xfId="32020" xr:uid="{05965E3F-F722-4C72-9242-13445752C00C}"/>
    <cellStyle name="20% - Accent4 3 3 3 4" xfId="40467" xr:uid="{C9509891-C982-48E8-ACBE-1D5D3D1C8F36}"/>
    <cellStyle name="20% - Accent4 3 3 3 5" xfId="14273" xr:uid="{3C0FAD36-5395-4253-9383-D954178E7706}"/>
    <cellStyle name="20% - Accent4 3 3 4" xfId="9292" xr:uid="{E33AB5E9-A8F9-45CB-AD95-0E461E901C30}"/>
    <cellStyle name="20% - Accent4 3 3 4 2" xfId="18608" xr:uid="{137D12DE-FB01-4C79-AB17-2F375499A6E4}"/>
    <cellStyle name="20% - Accent4 3 3 5" xfId="19356" xr:uid="{E88A423B-2C0A-4CD8-B745-1A4107E891FB}"/>
    <cellStyle name="20% - Accent4 3 3 6" xfId="27803" xr:uid="{77C4DC45-A3B2-4CCB-A533-21764507BA46}"/>
    <cellStyle name="20% - Accent4 3 3 7" xfId="36250" xr:uid="{76E2F4A9-E818-4BED-AE48-6A7F8BFA954A}"/>
    <cellStyle name="20% - Accent4 3 3 8" xfId="10056" xr:uid="{17994B78-B863-4C86-AC0B-9105FF754BEB}"/>
    <cellStyle name="20% - Accent4 3 4" xfId="1052" xr:uid="{00000000-0005-0000-0000-00004B020000}"/>
    <cellStyle name="20% - Accent4 3 4 2" xfId="3283" xr:uid="{00000000-0005-0000-0000-00004C020000}"/>
    <cellStyle name="20% - Accent4 3 4 2 2" xfId="7505" xr:uid="{00000000-0005-0000-0000-00004D020000}"/>
    <cellStyle name="20% - Accent4 3 4 2 2 2" xfId="26131" xr:uid="{6F2C677A-2A96-44E4-B8D4-AEDA3FA2545E}"/>
    <cellStyle name="20% - Accent4 3 4 2 2 3" xfId="34578" xr:uid="{ABDCC22F-100F-4799-B787-3ADD240A0CF1}"/>
    <cellStyle name="20% - Accent4 3 4 2 2 4" xfId="43025" xr:uid="{20DD5158-E297-47D6-B48F-3E4C70B3F6C0}"/>
    <cellStyle name="20% - Accent4 3 4 2 2 5" xfId="16831" xr:uid="{678005B1-665E-423C-9FEA-2ABDF12F314F}"/>
    <cellStyle name="20% - Accent4 3 4 2 3" xfId="21914" xr:uid="{6A55897F-C4BF-4A77-B7F0-1E9A593C7EDD}"/>
    <cellStyle name="20% - Accent4 3 4 2 4" xfId="30361" xr:uid="{B70B3568-0684-4B8A-AFE5-A8A071E7B3D9}"/>
    <cellStyle name="20% - Accent4 3 4 2 5" xfId="38808" xr:uid="{FF36CE9E-027E-44FD-84A0-2EC1E0DC126D}"/>
    <cellStyle name="20% - Accent4 3 4 2 6" xfId="12614" xr:uid="{69664D78-E4E8-430F-9414-CBCB8D206A3F}"/>
    <cellStyle name="20% - Accent4 3 4 3" xfId="5360" xr:uid="{00000000-0005-0000-0000-00004E020000}"/>
    <cellStyle name="20% - Accent4 3 4 3 2" xfId="23986" xr:uid="{8133011D-F590-4058-B66F-0B4AC1A9A6AC}"/>
    <cellStyle name="20% - Accent4 3 4 3 3" xfId="32433" xr:uid="{EBD98D87-547A-4FD8-AF3E-F7E482B576B6}"/>
    <cellStyle name="20% - Accent4 3 4 3 4" xfId="40880" xr:uid="{839E08D4-1DFD-42E4-9D98-46346D020AF5}"/>
    <cellStyle name="20% - Accent4 3 4 3 5" xfId="14686" xr:uid="{B05EF407-39CE-4E69-ACF4-2BD0B2A1AC3E}"/>
    <cellStyle name="20% - Accent4 3 4 4" xfId="19769" xr:uid="{FCAD220C-5831-45AC-8B3B-8A1BFF8CCD5F}"/>
    <cellStyle name="20% - Accent4 3 4 5" xfId="28216" xr:uid="{6BF35CDE-5EF1-4E74-92BA-105626D26C17}"/>
    <cellStyle name="20% - Accent4 3 4 6" xfId="36663" xr:uid="{9F2F0ADB-F660-4F95-9D3A-4F256346E9AC}"/>
    <cellStyle name="20% - Accent4 3 4 7" xfId="10469" xr:uid="{05CF1031-4897-479A-BE89-BDAF12FAE9C2}"/>
    <cellStyle name="20% - Accent4 3 5" xfId="1466" xr:uid="{00000000-0005-0000-0000-00004F020000}"/>
    <cellStyle name="20% - Accent4 3 5 2" xfId="3696" xr:uid="{00000000-0005-0000-0000-000050020000}"/>
    <cellStyle name="20% - Accent4 3 5 2 2" xfId="7918" xr:uid="{00000000-0005-0000-0000-000051020000}"/>
    <cellStyle name="20% - Accent4 3 5 2 2 2" xfId="26544" xr:uid="{5983BBA3-B4E3-4027-8B30-7118FB6F89A3}"/>
    <cellStyle name="20% - Accent4 3 5 2 2 3" xfId="34991" xr:uid="{0A6B7CF1-F8C7-4F0A-98FD-26467346CAA4}"/>
    <cellStyle name="20% - Accent4 3 5 2 2 4" xfId="43438" xr:uid="{B269E7D3-A104-4A05-AC9A-CD9E3A179417}"/>
    <cellStyle name="20% - Accent4 3 5 2 2 5" xfId="17244" xr:uid="{C81DAC30-6CCA-46B9-B498-0D7414E43FEF}"/>
    <cellStyle name="20% - Accent4 3 5 2 3" xfId="22327" xr:uid="{19F93CAA-9C6C-4DA7-8EE4-E71A293FEAB1}"/>
    <cellStyle name="20% - Accent4 3 5 2 4" xfId="30774" xr:uid="{6BA2E5DD-AE86-48A7-A526-B8BC3342881F}"/>
    <cellStyle name="20% - Accent4 3 5 2 5" xfId="39221" xr:uid="{1552C6B0-FC46-4C26-A6F8-2E2CA78DAA6F}"/>
    <cellStyle name="20% - Accent4 3 5 2 6" xfId="13027" xr:uid="{31A186DA-E50B-4701-9C2C-9EAE8FDBAAA3}"/>
    <cellStyle name="20% - Accent4 3 5 3" xfId="5773" xr:uid="{00000000-0005-0000-0000-000052020000}"/>
    <cellStyle name="20% - Accent4 3 5 3 2" xfId="24399" xr:uid="{E7C91C5D-A044-490E-8C33-489D75D6468A}"/>
    <cellStyle name="20% - Accent4 3 5 3 3" xfId="32846" xr:uid="{3AE00A46-F4C8-4D6C-8791-094A16FC0884}"/>
    <cellStyle name="20% - Accent4 3 5 3 4" xfId="41293" xr:uid="{A29BE068-90DF-4A9F-9D2F-A64F8F08DDE5}"/>
    <cellStyle name="20% - Accent4 3 5 3 5" xfId="15099" xr:uid="{3141DF7E-C1F6-4D57-B4C5-E063411E0C89}"/>
    <cellStyle name="20% - Accent4 3 5 4" xfId="20182" xr:uid="{6E846431-80CA-4D21-8A9D-BDA7B8206926}"/>
    <cellStyle name="20% - Accent4 3 5 5" xfId="28629" xr:uid="{3B1C5418-E46A-4B7F-A201-47305E46D4F8}"/>
    <cellStyle name="20% - Accent4 3 5 6" xfId="37076" xr:uid="{1DBE3666-6A81-4B2D-8F18-1386595C21F1}"/>
    <cellStyle name="20% - Accent4 3 5 7" xfId="10882" xr:uid="{93F30DEA-8FD8-47C0-B694-BA20F6BA8879}"/>
    <cellStyle name="20% - Accent4 3 6" xfId="1880" xr:uid="{00000000-0005-0000-0000-000053020000}"/>
    <cellStyle name="20% - Accent4 3 6 2" xfId="4109" xr:uid="{00000000-0005-0000-0000-000054020000}"/>
    <cellStyle name="20% - Accent4 3 6 2 2" xfId="8331" xr:uid="{00000000-0005-0000-0000-000055020000}"/>
    <cellStyle name="20% - Accent4 3 6 2 2 2" xfId="26957" xr:uid="{0B461926-8058-4E1E-BF3A-97DBDAD57B85}"/>
    <cellStyle name="20% - Accent4 3 6 2 2 3" xfId="35404" xr:uid="{2D9BF837-4B1C-494A-B3FB-513AF80881B0}"/>
    <cellStyle name="20% - Accent4 3 6 2 2 4" xfId="43851" xr:uid="{CD615B5C-B303-4D10-834A-F6AF6C85CC8B}"/>
    <cellStyle name="20% - Accent4 3 6 2 2 5" xfId="17657" xr:uid="{FD37F383-90DC-45C8-AA6F-FBADF9699725}"/>
    <cellStyle name="20% - Accent4 3 6 2 3" xfId="22740" xr:uid="{F7ADF13D-A039-4FD0-8937-FCCE0FA4D3C0}"/>
    <cellStyle name="20% - Accent4 3 6 2 4" xfId="31187" xr:uid="{1829EEAF-7208-4A73-8D16-D6163E148E48}"/>
    <cellStyle name="20% - Accent4 3 6 2 5" xfId="39634" xr:uid="{29CB9EDF-7141-493C-8706-4476ED87BDDF}"/>
    <cellStyle name="20% - Accent4 3 6 2 6" xfId="13440" xr:uid="{479726E7-61DC-4CD0-BA63-CCBDCEC55AF1}"/>
    <cellStyle name="20% - Accent4 3 6 3" xfId="6186" xr:uid="{00000000-0005-0000-0000-000056020000}"/>
    <cellStyle name="20% - Accent4 3 6 3 2" xfId="24812" xr:uid="{DBDE7A9C-A41F-405D-8562-F53FF74BADAA}"/>
    <cellStyle name="20% - Accent4 3 6 3 3" xfId="33259" xr:uid="{BD90B27D-582A-458A-9F0F-589C087766B4}"/>
    <cellStyle name="20% - Accent4 3 6 3 4" xfId="41706" xr:uid="{32F5B10B-8C31-4349-A9F2-A79D43F90FE2}"/>
    <cellStyle name="20% - Accent4 3 6 3 5" xfId="15512" xr:uid="{672AF2BC-7E4F-447A-A30F-0B34016E76EB}"/>
    <cellStyle name="20% - Accent4 3 6 4" xfId="20595" xr:uid="{DBBF84DB-B743-4F67-8866-B96966A8AA84}"/>
    <cellStyle name="20% - Accent4 3 6 5" xfId="29042" xr:uid="{AB3AFC32-7178-4C8C-962A-78760DF35004}"/>
    <cellStyle name="20% - Accent4 3 6 6" xfId="37489" xr:uid="{7966D703-B763-497F-A860-73D8C16FD3A0}"/>
    <cellStyle name="20% - Accent4 3 6 7" xfId="11295" xr:uid="{CCB4D3DB-3D1D-4BCE-B2E3-7A694A366045}"/>
    <cellStyle name="20% - Accent4 3 7" xfId="2293" xr:uid="{00000000-0005-0000-0000-000057020000}"/>
    <cellStyle name="20% - Accent4 3 7 2" xfId="6599" xr:uid="{00000000-0005-0000-0000-000058020000}"/>
    <cellStyle name="20% - Accent4 3 7 2 2" xfId="25225" xr:uid="{84B31A76-9118-4C81-A874-2737CB041F8F}"/>
    <cellStyle name="20% - Accent4 3 7 2 3" xfId="33672" xr:uid="{18FDA694-C5AF-498A-BE38-5C8F6F743C00}"/>
    <cellStyle name="20% - Accent4 3 7 2 4" xfId="42119" xr:uid="{675AB1EF-F3A7-48BC-A976-97496DC84603}"/>
    <cellStyle name="20% - Accent4 3 7 2 5" xfId="15925" xr:uid="{32C6DCBF-F7F8-45B3-98F0-E16D3C22E9B5}"/>
    <cellStyle name="20% - Accent4 3 7 3" xfId="21008" xr:uid="{BC446DC8-1053-48F5-BA81-AF927839BB9C}"/>
    <cellStyle name="20% - Accent4 3 7 4" xfId="29455" xr:uid="{BD583669-D50B-41AF-B2BF-5FD5DB0FD2DA}"/>
    <cellStyle name="20% - Accent4 3 7 5" xfId="37902" xr:uid="{9AB40F61-1434-4BF2-9FA4-73391A4AC147}"/>
    <cellStyle name="20% - Accent4 3 7 6" xfId="11708" xr:uid="{F93D5394-C6FD-444B-9300-5D205213C8F2}"/>
    <cellStyle name="20% - Accent4 3 8" xfId="4533" xr:uid="{00000000-0005-0000-0000-000059020000}"/>
    <cellStyle name="20% - Accent4 3 8 2" xfId="23159" xr:uid="{54826E00-B9FB-4327-90B2-43A71D6989DF}"/>
    <cellStyle name="20% - Accent4 3 8 3" xfId="31606" xr:uid="{304233EB-72EA-4F8F-A2DC-FF237592F445}"/>
    <cellStyle name="20% - Accent4 3 8 4" xfId="40053" xr:uid="{CD94E39F-2C00-4E9C-864F-28824A63B097}"/>
    <cellStyle name="20% - Accent4 3 8 5" xfId="13859" xr:uid="{B6F2F659-6A33-4F32-AF24-66425AC0E629}"/>
    <cellStyle name="20% - Accent4 3 9" xfId="8867" xr:uid="{27FB4CEF-7F56-4AEC-B5AC-6B6A1477FBD8}"/>
    <cellStyle name="20% - Accent4 3 9 2" xfId="18191" xr:uid="{1F102044-DE1C-42C1-AC58-E5915F94F45B}"/>
    <cellStyle name="20% - Accent4 4" xfId="32" xr:uid="{00000000-0005-0000-0000-00005A020000}"/>
    <cellStyle name="20% - Accent4 4 10" xfId="27391" xr:uid="{20AFEF4E-8179-469B-98D7-2D69A847F4B4}"/>
    <cellStyle name="20% - Accent4 4 11" xfId="35838" xr:uid="{0AD001BD-E2B0-4096-9C8E-BDFFDDDB2480}"/>
    <cellStyle name="20% - Accent4 4 12" xfId="9644" xr:uid="{93F5007B-635F-4A64-8887-4EAE4FC276D1}"/>
    <cellStyle name="20% - Accent4 4 2" xfId="601" xr:uid="{00000000-0005-0000-0000-00005B020000}"/>
    <cellStyle name="20% - Accent4 4 2 2" xfId="2872" xr:uid="{00000000-0005-0000-0000-00005C020000}"/>
    <cellStyle name="20% - Accent4 4 2 2 2" xfId="7094" xr:uid="{00000000-0005-0000-0000-00005D020000}"/>
    <cellStyle name="20% - Accent4 4 2 2 2 2" xfId="25720" xr:uid="{6E5914AC-600C-4F72-9B40-93450DA995F5}"/>
    <cellStyle name="20% - Accent4 4 2 2 2 3" xfId="34167" xr:uid="{94688685-B471-4E44-A929-9607D83903B1}"/>
    <cellStyle name="20% - Accent4 4 2 2 2 4" xfId="42614" xr:uid="{04EBDA35-3742-45AE-9FFD-5CBA88FE1B16}"/>
    <cellStyle name="20% - Accent4 4 2 2 2 5" xfId="16420" xr:uid="{C9551B7E-BA63-4669-8EBD-4B39D5338E76}"/>
    <cellStyle name="20% - Accent4 4 2 2 3" xfId="21503" xr:uid="{DC0646EC-77D2-47C4-BE1F-F7A06D0DD64C}"/>
    <cellStyle name="20% - Accent4 4 2 2 4" xfId="29950" xr:uid="{6DF43AB8-8EFD-41AA-8083-A2C6E17C0597}"/>
    <cellStyle name="20% - Accent4 4 2 2 5" xfId="38397" xr:uid="{997C9EE9-4546-4C22-93D6-B70C74446FB8}"/>
    <cellStyle name="20% - Accent4 4 2 2 6" xfId="12203" xr:uid="{C58EB2C5-D895-4BAE-90D9-E78C3F988FA9}"/>
    <cellStyle name="20% - Accent4 4 2 3" xfId="4949" xr:uid="{00000000-0005-0000-0000-00005E020000}"/>
    <cellStyle name="20% - Accent4 4 2 3 2" xfId="23575" xr:uid="{075980FD-01F8-41BC-9230-C51F8BDC660E}"/>
    <cellStyle name="20% - Accent4 4 2 3 3" xfId="32022" xr:uid="{491C4BD8-3607-43D4-B6C2-6650CF5B6BBC}"/>
    <cellStyle name="20% - Accent4 4 2 3 4" xfId="40469" xr:uid="{5756349F-CCAF-45F1-B8B8-C9348F39D1F4}"/>
    <cellStyle name="20% - Accent4 4 2 3 5" xfId="14275" xr:uid="{78F3B575-1238-4623-A128-8CD680BBEA31}"/>
    <cellStyle name="20% - Accent4 4 2 4" xfId="9378" xr:uid="{761B3D4A-2751-4646-8A50-05A0DD408525}"/>
    <cellStyle name="20% - Accent4 4 2 4 2" xfId="18694" xr:uid="{92AA54CE-C905-49F9-B440-228CACC19C2F}"/>
    <cellStyle name="20% - Accent4 4 2 5" xfId="19358" xr:uid="{0177D78B-0C64-4BE9-B384-35508ED06F49}"/>
    <cellStyle name="20% - Accent4 4 2 6" xfId="27805" xr:uid="{9E6A0FBA-BF24-4ACC-A89B-F3AF42BD5B8A}"/>
    <cellStyle name="20% - Accent4 4 2 7" xfId="36252" xr:uid="{B660FC59-83FD-4C00-84DF-3B81D3BD9397}"/>
    <cellStyle name="20% - Accent4 4 2 8" xfId="10058" xr:uid="{A4532BDF-236F-4566-AF18-AE3E0AE47FD6}"/>
    <cellStyle name="20% - Accent4 4 3" xfId="1054" xr:uid="{00000000-0005-0000-0000-00005F020000}"/>
    <cellStyle name="20% - Accent4 4 3 2" xfId="3285" xr:uid="{00000000-0005-0000-0000-000060020000}"/>
    <cellStyle name="20% - Accent4 4 3 2 2" xfId="7507" xr:uid="{00000000-0005-0000-0000-000061020000}"/>
    <cellStyle name="20% - Accent4 4 3 2 2 2" xfId="26133" xr:uid="{5564C064-01A0-4BCB-B152-D944F1BEF38A}"/>
    <cellStyle name="20% - Accent4 4 3 2 2 3" xfId="34580" xr:uid="{CA156ED0-3C6E-4F8D-8296-B475983AEFFB}"/>
    <cellStyle name="20% - Accent4 4 3 2 2 4" xfId="43027" xr:uid="{45788830-1723-4392-86BD-F87ECCDC120D}"/>
    <cellStyle name="20% - Accent4 4 3 2 2 5" xfId="16833" xr:uid="{196BAFBA-79C8-4979-9F9F-D6019B6D16AB}"/>
    <cellStyle name="20% - Accent4 4 3 2 3" xfId="21916" xr:uid="{95BF2563-88A3-4721-919A-AF992A22E6E6}"/>
    <cellStyle name="20% - Accent4 4 3 2 4" xfId="30363" xr:uid="{BA3165D6-D54A-434E-88B2-0A352AB8EE94}"/>
    <cellStyle name="20% - Accent4 4 3 2 5" xfId="38810" xr:uid="{231A2748-A2A8-4E6A-9E23-16731797C75A}"/>
    <cellStyle name="20% - Accent4 4 3 2 6" xfId="12616" xr:uid="{DAB765FB-4F3C-44C8-8FD3-92C1F5970456}"/>
    <cellStyle name="20% - Accent4 4 3 3" xfId="5362" xr:uid="{00000000-0005-0000-0000-000062020000}"/>
    <cellStyle name="20% - Accent4 4 3 3 2" xfId="23988" xr:uid="{9D14B0B5-0291-4937-9C10-F36981BBCE8A}"/>
    <cellStyle name="20% - Accent4 4 3 3 3" xfId="32435" xr:uid="{8AD764C8-7FE7-4FB1-8598-765313D37711}"/>
    <cellStyle name="20% - Accent4 4 3 3 4" xfId="40882" xr:uid="{AA0C5871-AC7B-447D-AB5E-E120FB7E4C4A}"/>
    <cellStyle name="20% - Accent4 4 3 3 5" xfId="14688" xr:uid="{166ADE42-3437-48E1-979A-AB02BE790DDB}"/>
    <cellStyle name="20% - Accent4 4 3 4" xfId="19771" xr:uid="{9651B4D4-9D29-4580-8234-0E45750C865A}"/>
    <cellStyle name="20% - Accent4 4 3 5" xfId="28218" xr:uid="{064C62E5-5FEF-4640-B520-8190E0AB4DBF}"/>
    <cellStyle name="20% - Accent4 4 3 6" xfId="36665" xr:uid="{8B70FADA-D501-4A53-AAF8-9927F3F2EC03}"/>
    <cellStyle name="20% - Accent4 4 3 7" xfId="10471" xr:uid="{0897B533-E715-425C-8469-E39139DE2352}"/>
    <cellStyle name="20% - Accent4 4 4" xfId="1468" xr:uid="{00000000-0005-0000-0000-000063020000}"/>
    <cellStyle name="20% - Accent4 4 4 2" xfId="3698" xr:uid="{00000000-0005-0000-0000-000064020000}"/>
    <cellStyle name="20% - Accent4 4 4 2 2" xfId="7920" xr:uid="{00000000-0005-0000-0000-000065020000}"/>
    <cellStyle name="20% - Accent4 4 4 2 2 2" xfId="26546" xr:uid="{6CDC69C7-47DA-45E3-A95E-944F46B9C030}"/>
    <cellStyle name="20% - Accent4 4 4 2 2 3" xfId="34993" xr:uid="{08C71C02-5CF7-4AA6-B4D0-73BA312CF207}"/>
    <cellStyle name="20% - Accent4 4 4 2 2 4" xfId="43440" xr:uid="{2BA53A11-C5C1-4CE4-857F-B53EA382449E}"/>
    <cellStyle name="20% - Accent4 4 4 2 2 5" xfId="17246" xr:uid="{AD30D7BA-E0C4-4273-B681-A47A523C54AE}"/>
    <cellStyle name="20% - Accent4 4 4 2 3" xfId="22329" xr:uid="{168BCD80-E37B-4485-BBA0-78C05A3D660A}"/>
    <cellStyle name="20% - Accent4 4 4 2 4" xfId="30776" xr:uid="{1A1C0718-C3AE-41DA-9973-A728027AFA8B}"/>
    <cellStyle name="20% - Accent4 4 4 2 5" xfId="39223" xr:uid="{5337675C-9D9E-44CC-A267-CFC4B4648AD8}"/>
    <cellStyle name="20% - Accent4 4 4 2 6" xfId="13029" xr:uid="{94F6189F-F214-42BF-A550-265B7D0205B2}"/>
    <cellStyle name="20% - Accent4 4 4 3" xfId="5775" xr:uid="{00000000-0005-0000-0000-000066020000}"/>
    <cellStyle name="20% - Accent4 4 4 3 2" xfId="24401" xr:uid="{B8326B63-4002-4468-B4CC-25008A49693F}"/>
    <cellStyle name="20% - Accent4 4 4 3 3" xfId="32848" xr:uid="{339CDD30-20BD-4A79-A93C-A30BDF3DEFF4}"/>
    <cellStyle name="20% - Accent4 4 4 3 4" xfId="41295" xr:uid="{771026F4-B33C-4006-9428-A01518CD3AC9}"/>
    <cellStyle name="20% - Accent4 4 4 3 5" xfId="15101" xr:uid="{0CCAEC41-585A-41CC-9474-4B3397DE43FB}"/>
    <cellStyle name="20% - Accent4 4 4 4" xfId="20184" xr:uid="{74F85614-6F15-42D7-87AD-E4B75B23B6BC}"/>
    <cellStyle name="20% - Accent4 4 4 5" xfId="28631" xr:uid="{2C3A11AF-D440-4F42-8E65-156648793489}"/>
    <cellStyle name="20% - Accent4 4 4 6" xfId="37078" xr:uid="{2A5AE3FB-262B-4A47-AA3C-7047E2C2C6DF}"/>
    <cellStyle name="20% - Accent4 4 4 7" xfId="10884" xr:uid="{10F9E2C1-886B-4FA9-ACAA-D502F1E88EBD}"/>
    <cellStyle name="20% - Accent4 4 5" xfId="1882" xr:uid="{00000000-0005-0000-0000-000067020000}"/>
    <cellStyle name="20% - Accent4 4 5 2" xfId="4111" xr:uid="{00000000-0005-0000-0000-000068020000}"/>
    <cellStyle name="20% - Accent4 4 5 2 2" xfId="8333" xr:uid="{00000000-0005-0000-0000-000069020000}"/>
    <cellStyle name="20% - Accent4 4 5 2 2 2" xfId="26959" xr:uid="{A5AF9947-8457-429B-8186-49CC936F6496}"/>
    <cellStyle name="20% - Accent4 4 5 2 2 3" xfId="35406" xr:uid="{B1D988AF-3530-4B6F-ABFB-150CFA481578}"/>
    <cellStyle name="20% - Accent4 4 5 2 2 4" xfId="43853" xr:uid="{18599210-DF3B-4B49-AE8B-19C8D31F1B14}"/>
    <cellStyle name="20% - Accent4 4 5 2 2 5" xfId="17659" xr:uid="{C652987C-2F03-4754-96AD-392257641D47}"/>
    <cellStyle name="20% - Accent4 4 5 2 3" xfId="22742" xr:uid="{834622EA-53A5-4C86-8E47-DDC6EF165BF5}"/>
    <cellStyle name="20% - Accent4 4 5 2 4" xfId="31189" xr:uid="{6B2EF110-7FC3-4B07-9BE1-CEB777937C77}"/>
    <cellStyle name="20% - Accent4 4 5 2 5" xfId="39636" xr:uid="{7FF2200F-20A4-471F-B373-C8021C0E34DF}"/>
    <cellStyle name="20% - Accent4 4 5 2 6" xfId="13442" xr:uid="{E08920ED-5322-4E12-B8B7-AEEB74B869A4}"/>
    <cellStyle name="20% - Accent4 4 5 3" xfId="6188" xr:uid="{00000000-0005-0000-0000-00006A020000}"/>
    <cellStyle name="20% - Accent4 4 5 3 2" xfId="24814" xr:uid="{4BA599A4-B725-46FC-9849-35C02663BDCF}"/>
    <cellStyle name="20% - Accent4 4 5 3 3" xfId="33261" xr:uid="{E7130517-AF57-4334-8DCD-41E0FB0E007B}"/>
    <cellStyle name="20% - Accent4 4 5 3 4" xfId="41708" xr:uid="{F024106F-BDFF-4A80-BF0B-C6D9F2F92636}"/>
    <cellStyle name="20% - Accent4 4 5 3 5" xfId="15514" xr:uid="{3F824B00-67C5-4DB4-AEA5-1294BB0EF9BF}"/>
    <cellStyle name="20% - Accent4 4 5 4" xfId="20597" xr:uid="{948F574B-B1D0-4367-9A68-86DE0EACF71A}"/>
    <cellStyle name="20% - Accent4 4 5 5" xfId="29044" xr:uid="{BF7FEC04-A1DA-49C3-8835-50316059E4B5}"/>
    <cellStyle name="20% - Accent4 4 5 6" xfId="37491" xr:uid="{4CD1304F-7DBA-4286-87C0-82C06CF4F8CD}"/>
    <cellStyle name="20% - Accent4 4 5 7" xfId="11297" xr:uid="{51964C54-20BD-48C0-B204-63F21A6EF99B}"/>
    <cellStyle name="20% - Accent4 4 6" xfId="2295" xr:uid="{00000000-0005-0000-0000-00006B020000}"/>
    <cellStyle name="20% - Accent4 4 6 2" xfId="6601" xr:uid="{00000000-0005-0000-0000-00006C020000}"/>
    <cellStyle name="20% - Accent4 4 6 2 2" xfId="25227" xr:uid="{062E3D9A-2E40-469F-8E5A-28550E4E2E0D}"/>
    <cellStyle name="20% - Accent4 4 6 2 3" xfId="33674" xr:uid="{DE7E685F-A288-43DE-B92D-6C1BA4961010}"/>
    <cellStyle name="20% - Accent4 4 6 2 4" xfId="42121" xr:uid="{E998FA5F-43FE-4B99-9E67-234F59EE0638}"/>
    <cellStyle name="20% - Accent4 4 6 2 5" xfId="15927" xr:uid="{0CD49AB2-C357-4DB1-B9C8-CD38CBFC38A2}"/>
    <cellStyle name="20% - Accent4 4 6 3" xfId="21010" xr:uid="{98AF0C6C-45BD-4F75-A6BD-41D45E618FEA}"/>
    <cellStyle name="20% - Accent4 4 6 4" xfId="29457" xr:uid="{A5F1F6F8-9ABA-43DC-A381-FCF3C9B78AFF}"/>
    <cellStyle name="20% - Accent4 4 6 5" xfId="37904" xr:uid="{9C8C04FA-CAF2-4B68-A006-9CF736C8ECAF}"/>
    <cellStyle name="20% - Accent4 4 6 6" xfId="11710" xr:uid="{1A80FAB7-C6E2-4FA3-9FC3-6E976099D17E}"/>
    <cellStyle name="20% - Accent4 4 7" xfId="4535" xr:uid="{00000000-0005-0000-0000-00006D020000}"/>
    <cellStyle name="20% - Accent4 4 7 2" xfId="23161" xr:uid="{8FCC76B9-C130-4ED8-8FCA-D741071F576D}"/>
    <cellStyle name="20% - Accent4 4 7 3" xfId="31608" xr:uid="{6ACB4763-2BF6-449F-9DBB-0C2164C5BFF2}"/>
    <cellStyle name="20% - Accent4 4 7 4" xfId="40055" xr:uid="{E42AC5EE-4AB8-4D43-BFBC-00C5E1BBA699}"/>
    <cellStyle name="20% - Accent4 4 7 5" xfId="13861" xr:uid="{542A2750-7374-4919-A146-E73976E3DC37}"/>
    <cellStyle name="20% - Accent4 4 8" xfId="8953" xr:uid="{66D1590A-BB3A-4B79-BA94-169F97E79370}"/>
    <cellStyle name="20% - Accent4 4 8 2" xfId="18277" xr:uid="{7580AF03-9A03-4B44-9055-9E2FAC3D0294}"/>
    <cellStyle name="20% - Accent4 4 9" xfId="18944" xr:uid="{C0B6AC4F-F5CB-4FBE-80CF-420850B4C8D1}"/>
    <cellStyle name="20% - Accent4 5" xfId="594" xr:uid="{00000000-0005-0000-0000-00006E020000}"/>
    <cellStyle name="20% - Accent4 5 2" xfId="2865" xr:uid="{00000000-0005-0000-0000-00006F020000}"/>
    <cellStyle name="20% - Accent4 5 2 2" xfId="7087" xr:uid="{00000000-0005-0000-0000-000070020000}"/>
    <cellStyle name="20% - Accent4 5 2 2 2" xfId="25713" xr:uid="{7CFFCA8C-C3A4-40AB-849E-28D38DEDDF76}"/>
    <cellStyle name="20% - Accent4 5 2 2 3" xfId="34160" xr:uid="{B68C954F-1B7D-4343-AEE7-861607B11A99}"/>
    <cellStyle name="20% - Accent4 5 2 2 4" xfId="42607" xr:uid="{D01ECC41-738B-4162-8CCE-ADB003EA286A}"/>
    <cellStyle name="20% - Accent4 5 2 2 5" xfId="16413" xr:uid="{31B7DC54-5CF4-4D40-9B3B-3B77CE34F7EA}"/>
    <cellStyle name="20% - Accent4 5 2 3" xfId="21496" xr:uid="{97255E85-125C-49EA-B0B7-7B62E7417341}"/>
    <cellStyle name="20% - Accent4 5 2 4" xfId="29943" xr:uid="{463B66AF-70C1-4001-B1F7-2CFED3B0C9DC}"/>
    <cellStyle name="20% - Accent4 5 2 5" xfId="38390" xr:uid="{8537605D-7DA0-4328-801F-F9FCC1E8FDA4}"/>
    <cellStyle name="20% - Accent4 5 2 6" xfId="12196" xr:uid="{47D85871-A5F2-4375-A37E-A152122FEED6}"/>
    <cellStyle name="20% - Accent4 5 3" xfId="4942" xr:uid="{00000000-0005-0000-0000-000071020000}"/>
    <cellStyle name="20% - Accent4 5 3 2" xfId="23568" xr:uid="{E15C8DE8-A140-4326-BB98-2572970FE90E}"/>
    <cellStyle name="20% - Accent4 5 3 3" xfId="32015" xr:uid="{90A8D1DD-2C78-4DE6-B343-E8EE3E6DDE40}"/>
    <cellStyle name="20% - Accent4 5 3 4" xfId="40462" xr:uid="{ADC8D1AF-D20B-4C89-AFC2-E426A2E96CEC}"/>
    <cellStyle name="20% - Accent4 5 3 5" xfId="14268" xr:uid="{1679E144-1F8C-45C4-B4F5-E840B8FC3C63}"/>
    <cellStyle name="20% - Accent4 5 4" xfId="9186" xr:uid="{E62ED282-F767-404B-ADA1-4F8E5B4D01EB}"/>
    <cellStyle name="20% - Accent4 5 4 2" xfId="18505" xr:uid="{AAD86EFC-6786-46B3-99B1-FCA36E08C075}"/>
    <cellStyle name="20% - Accent4 5 5" xfId="19351" xr:uid="{99D947B1-C553-4BC5-ADEE-A06527A05BCB}"/>
    <cellStyle name="20% - Accent4 5 6" xfId="27798" xr:uid="{42B6AB66-A898-4CE2-ACA1-3B0B2765DCBD}"/>
    <cellStyle name="20% - Accent4 5 7" xfId="36245" xr:uid="{CA1A4A74-DFAA-4189-BAEC-431320551626}"/>
    <cellStyle name="20% - Accent4 5 8" xfId="10051" xr:uid="{AA064713-BA2B-4943-8961-F9415395AD46}"/>
    <cellStyle name="20% - Accent4 6" xfId="1047" xr:uid="{00000000-0005-0000-0000-000072020000}"/>
    <cellStyle name="20% - Accent4 6 2" xfId="3278" xr:uid="{00000000-0005-0000-0000-000073020000}"/>
    <cellStyle name="20% - Accent4 6 2 2" xfId="7500" xr:uid="{00000000-0005-0000-0000-000074020000}"/>
    <cellStyle name="20% - Accent4 6 2 2 2" xfId="26126" xr:uid="{FBC8132E-B4D0-4EA0-8200-248641313CE9}"/>
    <cellStyle name="20% - Accent4 6 2 2 3" xfId="34573" xr:uid="{E6EC55D8-617A-42A8-9A4A-685F07B84635}"/>
    <cellStyle name="20% - Accent4 6 2 2 4" xfId="43020" xr:uid="{CFF3D4DB-2811-4765-AB59-FDD0DB9D0975}"/>
    <cellStyle name="20% - Accent4 6 2 2 5" xfId="16826" xr:uid="{00BE14FB-9611-469F-BEB1-7D8EC9A49B48}"/>
    <cellStyle name="20% - Accent4 6 2 3" xfId="21909" xr:uid="{CF300282-ADFB-4431-A086-2E949AB1B6D1}"/>
    <cellStyle name="20% - Accent4 6 2 4" xfId="30356" xr:uid="{5F1EEEA7-9FA4-4B6C-BFC1-BF23C38A1122}"/>
    <cellStyle name="20% - Accent4 6 2 5" xfId="38803" xr:uid="{CD223C3C-7C0B-4245-97EB-356DDC6B97FB}"/>
    <cellStyle name="20% - Accent4 6 2 6" xfId="12609" xr:uid="{9D64599C-06EB-4B0F-A44A-514E3FC3D206}"/>
    <cellStyle name="20% - Accent4 6 3" xfId="5355" xr:uid="{00000000-0005-0000-0000-000075020000}"/>
    <cellStyle name="20% - Accent4 6 3 2" xfId="23981" xr:uid="{69EFFE91-FE49-4DFB-B06F-8F4B65BDF071}"/>
    <cellStyle name="20% - Accent4 6 3 3" xfId="32428" xr:uid="{455D8BAF-4641-48D6-887B-5E67F77D4838}"/>
    <cellStyle name="20% - Accent4 6 3 4" xfId="40875" xr:uid="{9FA923C6-EC2E-4E2D-9D4D-790273F1E85B}"/>
    <cellStyle name="20% - Accent4 6 3 5" xfId="14681" xr:uid="{0A3C32AC-9443-43DE-B945-F9C2C3194296}"/>
    <cellStyle name="20% - Accent4 6 4" xfId="19764" xr:uid="{1DA20357-AD0E-483D-B09F-FD90C43D40D8}"/>
    <cellStyle name="20% - Accent4 6 5" xfId="28211" xr:uid="{46E2FA8C-A566-4C57-8498-8DF4B02581EB}"/>
    <cellStyle name="20% - Accent4 6 6" xfId="36658" xr:uid="{DBDBD3CD-09DD-47D5-9CB7-A042C1A66A6A}"/>
    <cellStyle name="20% - Accent4 6 7" xfId="10464" xr:uid="{487FCEB6-C436-4F51-98CA-6E98B600EFCC}"/>
    <cellStyle name="20% - Accent4 7" xfId="1461" xr:uid="{00000000-0005-0000-0000-000076020000}"/>
    <cellStyle name="20% - Accent4 7 2" xfId="3691" xr:uid="{00000000-0005-0000-0000-000077020000}"/>
    <cellStyle name="20% - Accent4 7 2 2" xfId="7913" xr:uid="{00000000-0005-0000-0000-000078020000}"/>
    <cellStyle name="20% - Accent4 7 2 2 2" xfId="26539" xr:uid="{B78C1012-1197-45D6-B774-01294B50EA35}"/>
    <cellStyle name="20% - Accent4 7 2 2 3" xfId="34986" xr:uid="{0B1C714A-B8EE-4393-A79A-C149F82465D7}"/>
    <cellStyle name="20% - Accent4 7 2 2 4" xfId="43433" xr:uid="{D00CA3F6-2C6D-45CD-B88C-760C7DC73AFB}"/>
    <cellStyle name="20% - Accent4 7 2 2 5" xfId="17239" xr:uid="{9DDE67F0-04B4-4AE1-8F2D-0252FC5E8C95}"/>
    <cellStyle name="20% - Accent4 7 2 3" xfId="22322" xr:uid="{A5CCD1FA-B2D4-48D2-BB00-3BBD050BBD6F}"/>
    <cellStyle name="20% - Accent4 7 2 4" xfId="30769" xr:uid="{75322B88-0EE9-4B0B-A70B-6DD58851F7CF}"/>
    <cellStyle name="20% - Accent4 7 2 5" xfId="39216" xr:uid="{B4506F4B-2222-4086-B805-606D97E1D80C}"/>
    <cellStyle name="20% - Accent4 7 2 6" xfId="13022" xr:uid="{CC315E84-AC82-4DE3-9C15-87F0C96AB359}"/>
    <cellStyle name="20% - Accent4 7 3" xfId="5768" xr:uid="{00000000-0005-0000-0000-000079020000}"/>
    <cellStyle name="20% - Accent4 7 3 2" xfId="24394" xr:uid="{4FE053C3-05A8-4178-92DC-53DDFA5E3F9E}"/>
    <cellStyle name="20% - Accent4 7 3 3" xfId="32841" xr:uid="{458BED5F-9830-4060-B3CF-9DA61C924553}"/>
    <cellStyle name="20% - Accent4 7 3 4" xfId="41288" xr:uid="{703BF588-4B9A-4FB7-863E-F1F11D126855}"/>
    <cellStyle name="20% - Accent4 7 3 5" xfId="15094" xr:uid="{FEF4D9FF-F2DB-4ADB-80C1-EFD1A0D51ACD}"/>
    <cellStyle name="20% - Accent4 7 4" xfId="20177" xr:uid="{13A0E262-A56D-452A-8143-5D048A21D14C}"/>
    <cellStyle name="20% - Accent4 7 5" xfId="28624" xr:uid="{37327A0B-FD9D-4A83-A2E9-78D032D21768}"/>
    <cellStyle name="20% - Accent4 7 6" xfId="37071" xr:uid="{445CFCDD-4097-47E2-9238-71A144057EF8}"/>
    <cellStyle name="20% - Accent4 7 7" xfId="10877" xr:uid="{45A877E7-84CA-4AC2-93F0-018E010B580D}"/>
    <cellStyle name="20% - Accent4 8" xfId="1875" xr:uid="{00000000-0005-0000-0000-00007A020000}"/>
    <cellStyle name="20% - Accent4 8 2" xfId="4104" xr:uid="{00000000-0005-0000-0000-00007B020000}"/>
    <cellStyle name="20% - Accent4 8 2 2" xfId="8326" xr:uid="{00000000-0005-0000-0000-00007C020000}"/>
    <cellStyle name="20% - Accent4 8 2 2 2" xfId="26952" xr:uid="{F965EA09-1A74-458B-BE7F-B26114DC521E}"/>
    <cellStyle name="20% - Accent4 8 2 2 3" xfId="35399" xr:uid="{728304B0-FAC4-498F-A291-2A31865BD00E}"/>
    <cellStyle name="20% - Accent4 8 2 2 4" xfId="43846" xr:uid="{DDDA3000-210A-4FF2-A3B2-123B7FE8B5CE}"/>
    <cellStyle name="20% - Accent4 8 2 2 5" xfId="17652" xr:uid="{F4637357-BD21-42C4-8659-5B921D86D44D}"/>
    <cellStyle name="20% - Accent4 8 2 3" xfId="22735" xr:uid="{67ED1D84-6B21-447C-ABAE-F43DBE606DFB}"/>
    <cellStyle name="20% - Accent4 8 2 4" xfId="31182" xr:uid="{60135098-4558-48F4-99FB-2FD7CBC5FDC9}"/>
    <cellStyle name="20% - Accent4 8 2 5" xfId="39629" xr:uid="{2850C44D-8D82-4410-938D-393C0D076A5D}"/>
    <cellStyle name="20% - Accent4 8 2 6" xfId="13435" xr:uid="{4B922D03-0DA7-4A90-A8D7-AF843F669538}"/>
    <cellStyle name="20% - Accent4 8 3" xfId="6181" xr:uid="{00000000-0005-0000-0000-00007D020000}"/>
    <cellStyle name="20% - Accent4 8 3 2" xfId="24807" xr:uid="{E0799B25-62BA-4B6B-B0A0-2071DD4C6F97}"/>
    <cellStyle name="20% - Accent4 8 3 3" xfId="33254" xr:uid="{0AD75253-2510-48E8-B0B9-E74FF1EF8BE4}"/>
    <cellStyle name="20% - Accent4 8 3 4" xfId="41701" xr:uid="{AE8E1883-AD05-47A2-BC2A-28FB9DD4F1DC}"/>
    <cellStyle name="20% - Accent4 8 3 5" xfId="15507" xr:uid="{7F62C17C-763E-4412-864B-6A151A38353E}"/>
    <cellStyle name="20% - Accent4 8 4" xfId="20590" xr:uid="{0D4993B7-09AE-43E6-BB65-A67E5E967A8F}"/>
    <cellStyle name="20% - Accent4 8 5" xfId="29037" xr:uid="{D8070ACB-C68B-4776-B7BA-A979716CF04E}"/>
    <cellStyle name="20% - Accent4 8 6" xfId="37484" xr:uid="{A285DB81-675A-4D21-A354-C32CCFD300C7}"/>
    <cellStyle name="20% - Accent4 8 7" xfId="11290" xr:uid="{40BC108D-AC0A-4FF6-9746-ADA4DB0B9B7C}"/>
    <cellStyle name="20% - Accent4 9" xfId="2288" xr:uid="{00000000-0005-0000-0000-00007E020000}"/>
    <cellStyle name="20% - Accent4 9 2" xfId="6594" xr:uid="{00000000-0005-0000-0000-00007F020000}"/>
    <cellStyle name="20% - Accent4 9 2 2" xfId="25220" xr:uid="{792B37D5-B87C-4B7D-8B0C-34F7DE038B03}"/>
    <cellStyle name="20% - Accent4 9 2 3" xfId="33667" xr:uid="{FEF496A8-4451-4AE9-87C9-B1C0DC253391}"/>
    <cellStyle name="20% - Accent4 9 2 4" xfId="42114" xr:uid="{E11E5078-6654-46C6-9676-589FB34741D0}"/>
    <cellStyle name="20% - Accent4 9 2 5" xfId="15920" xr:uid="{1EE1913C-1B1C-4651-ACAA-CC042418EF7F}"/>
    <cellStyle name="20% - Accent4 9 3" xfId="21003" xr:uid="{9DD94B23-A33F-4E6C-B048-6EE6AF11E1E1}"/>
    <cellStyle name="20% - Accent4 9 4" xfId="29450" xr:uid="{B42DB55F-66F0-4130-B98B-BB68E41581C7}"/>
    <cellStyle name="20% - Accent4 9 5" xfId="37897" xr:uid="{714427F3-2CBD-4ECC-A059-E32BDBCBAF9F}"/>
    <cellStyle name="20% - Accent4 9 6" xfId="11703" xr:uid="{EE994C78-2787-4997-9197-DE0C7BD71645}"/>
    <cellStyle name="20% - Accent5" xfId="33" builtinId="46" customBuiltin="1"/>
    <cellStyle name="20% - Accent5 10" xfId="4536" xr:uid="{00000000-0005-0000-0000-000081020000}"/>
    <cellStyle name="20% - Accent5 10 2" xfId="23162" xr:uid="{EEB6245D-4A6C-4B6A-BA38-02EFFB7E8438}"/>
    <cellStyle name="20% - Accent5 10 3" xfId="31609" xr:uid="{884EA7D9-1A9A-45A9-B37F-3D65F78FFDA0}"/>
    <cellStyle name="20% - Accent5 10 4" xfId="40056" xr:uid="{15B012B5-83EC-438C-B0C7-AA40D217B559}"/>
    <cellStyle name="20% - Accent5 10 5" xfId="13862" xr:uid="{20B235FC-097A-4B78-BA46-2E3D1F986862}"/>
    <cellStyle name="20% - Accent5 11" xfId="8766" xr:uid="{A87C980D-48BC-4AA3-98F7-53B2F02F228C}"/>
    <cellStyle name="20% - Accent5 11 2" xfId="18090" xr:uid="{139BC0A0-DABC-42D5-95FF-BE977CB0420D}"/>
    <cellStyle name="20% - Accent5 12" xfId="18945" xr:uid="{D07DB4FE-C047-452E-AF3D-A94FA6C29D72}"/>
    <cellStyle name="20% - Accent5 13" xfId="27392" xr:uid="{B02DAE80-2ACD-46AC-B95E-B241117EF4E2}"/>
    <cellStyle name="20% - Accent5 14" xfId="35839" xr:uid="{F8BA9F31-71E9-493A-94BB-0C9487BE4884}"/>
    <cellStyle name="20% - Accent5 15" xfId="9645" xr:uid="{194C989E-5F53-44F4-8499-8965BBF68DE0}"/>
    <cellStyle name="20% - Accent5 2" xfId="34" xr:uid="{00000000-0005-0000-0000-000082020000}"/>
    <cellStyle name="20% - Accent5 2 10" xfId="8796" xr:uid="{5BBF4372-A7B1-47A0-AC3D-4A60EDC1A5F8}"/>
    <cellStyle name="20% - Accent5 2 10 2" xfId="18120" xr:uid="{85125834-786B-449F-BE9D-0D1087BA8828}"/>
    <cellStyle name="20% - Accent5 2 11" xfId="18946" xr:uid="{60E77F40-2CD2-461B-81BC-C69375A9D40B}"/>
    <cellStyle name="20% - Accent5 2 12" xfId="27393" xr:uid="{5F895D8F-81BB-4E04-BF9C-279FA9C93634}"/>
    <cellStyle name="20% - Accent5 2 13" xfId="35840" xr:uid="{6182DE4E-2244-49F8-87F5-894B328E0D84}"/>
    <cellStyle name="20% - Accent5 2 14" xfId="9646" xr:uid="{A12FC18E-9EE2-473D-BE91-FBEA0C18DD5C}"/>
    <cellStyle name="20% - Accent5 2 2" xfId="35" xr:uid="{00000000-0005-0000-0000-000083020000}"/>
    <cellStyle name="20% - Accent5 2 2 10" xfId="18947" xr:uid="{57F0E8E4-F4E7-4EB0-9D19-68701E2DB805}"/>
    <cellStyle name="20% - Accent5 2 2 11" xfId="27394" xr:uid="{95ABAA42-19B8-4AAE-B146-5F0B2E9830D2}"/>
    <cellStyle name="20% - Accent5 2 2 12" xfId="35841" xr:uid="{63286BC1-A7B3-40BB-93E3-0F3A0D352B6D}"/>
    <cellStyle name="20% - Accent5 2 2 13" xfId="9647" xr:uid="{811298F5-CD73-412E-B653-F15ECC2602FC}"/>
    <cellStyle name="20% - Accent5 2 2 2" xfId="36" xr:uid="{00000000-0005-0000-0000-000084020000}"/>
    <cellStyle name="20% - Accent5 2 2 2 10" xfId="27395" xr:uid="{AAFCBAFA-5608-46AF-A1FE-5A9CFF606501}"/>
    <cellStyle name="20% - Accent5 2 2 2 11" xfId="35842" xr:uid="{F48CFEA8-C032-4315-9204-263ED00D1E7E}"/>
    <cellStyle name="20% - Accent5 2 2 2 12" xfId="9648" xr:uid="{4F6BB91D-05D9-4BC1-8E9A-AB54C7322C04}"/>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2 2 2" xfId="25724" xr:uid="{43359FCB-D4B7-4814-A269-D126DD61FCAE}"/>
    <cellStyle name="20% - Accent5 2 2 2 2 2 2 3" xfId="34171" xr:uid="{CAE2A653-D287-4EF2-B4F5-3498675CDD8D}"/>
    <cellStyle name="20% - Accent5 2 2 2 2 2 2 4" xfId="42618" xr:uid="{52E9D935-D399-4626-9F19-A356F2DFFF8B}"/>
    <cellStyle name="20% - Accent5 2 2 2 2 2 2 5" xfId="16424" xr:uid="{E220EC41-2860-407D-85DD-9BFE01DC8367}"/>
    <cellStyle name="20% - Accent5 2 2 2 2 2 3" xfId="21507" xr:uid="{70FEC4CB-3D3D-4A38-A329-A5157437A18C}"/>
    <cellStyle name="20% - Accent5 2 2 2 2 2 4" xfId="29954" xr:uid="{D9D483D7-ED44-42FC-9151-3F1F73A1E094}"/>
    <cellStyle name="20% - Accent5 2 2 2 2 2 5" xfId="38401" xr:uid="{C53BF469-94B6-4B81-AD94-9D974BDF91A1}"/>
    <cellStyle name="20% - Accent5 2 2 2 2 2 6" xfId="12207" xr:uid="{6E407F75-7CCE-4FD9-AE01-63CFD439B14B}"/>
    <cellStyle name="20% - Accent5 2 2 2 2 3" xfId="4953" xr:uid="{00000000-0005-0000-0000-000088020000}"/>
    <cellStyle name="20% - Accent5 2 2 2 2 3 2" xfId="23579" xr:uid="{43B00511-D9E4-42EB-B988-E0383B6256F0}"/>
    <cellStyle name="20% - Accent5 2 2 2 2 3 3" xfId="32026" xr:uid="{E03C2502-0F1D-4947-95CD-8FCA20DF5817}"/>
    <cellStyle name="20% - Accent5 2 2 2 2 3 4" xfId="40473" xr:uid="{93449D0E-9F32-497E-A60A-45EBE191D256}"/>
    <cellStyle name="20% - Accent5 2 2 2 2 3 5" xfId="14279" xr:uid="{DF411B4D-4311-438C-9990-A6AD83178EDD}"/>
    <cellStyle name="20% - Accent5 2 2 2 2 4" xfId="9531" xr:uid="{5DC5F027-F767-49FB-B9DE-2ACABCF8AC5A}"/>
    <cellStyle name="20% - Accent5 2 2 2 2 4 2" xfId="18847" xr:uid="{46A54AD5-38B1-4CB6-BD99-5FF1626C8AA2}"/>
    <cellStyle name="20% - Accent5 2 2 2 2 5" xfId="19362" xr:uid="{565A3BD3-CD2D-4274-B311-320662A3E2AF}"/>
    <cellStyle name="20% - Accent5 2 2 2 2 6" xfId="27809" xr:uid="{5E4DFF1E-AA7C-4F19-B4B1-101D1B9A51D5}"/>
    <cellStyle name="20% - Accent5 2 2 2 2 7" xfId="36256" xr:uid="{C3E38205-7D35-47AC-B84C-3119B1DBB62C}"/>
    <cellStyle name="20% - Accent5 2 2 2 2 8" xfId="10062" xr:uid="{618EC77B-75A9-4595-B257-7A7C9D70972E}"/>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2 2 2" xfId="26137" xr:uid="{4C91F3AE-D95B-4B84-80D4-BACB9FAFF458}"/>
    <cellStyle name="20% - Accent5 2 2 2 3 2 2 3" xfId="34584" xr:uid="{ED858D91-601D-4BAF-AC00-08252067ECE8}"/>
    <cellStyle name="20% - Accent5 2 2 2 3 2 2 4" xfId="43031" xr:uid="{B0D16E9E-3122-4786-9290-2F8CFA05B515}"/>
    <cellStyle name="20% - Accent5 2 2 2 3 2 2 5" xfId="16837" xr:uid="{D6736FC1-4BF8-4075-9E63-D99F0A53DA77}"/>
    <cellStyle name="20% - Accent5 2 2 2 3 2 3" xfId="21920" xr:uid="{E50F667B-A155-4AE4-BD4D-59ECE890E95B}"/>
    <cellStyle name="20% - Accent5 2 2 2 3 2 4" xfId="30367" xr:uid="{9A68E63F-2EAE-4938-BEB3-87D19216239A}"/>
    <cellStyle name="20% - Accent5 2 2 2 3 2 5" xfId="38814" xr:uid="{0A3EF683-D14C-4EC2-AD8A-1CCE85E5D68C}"/>
    <cellStyle name="20% - Accent5 2 2 2 3 2 6" xfId="12620" xr:uid="{920BC967-1B80-4F3B-88C9-FA8F5383A378}"/>
    <cellStyle name="20% - Accent5 2 2 2 3 3" xfId="5366" xr:uid="{00000000-0005-0000-0000-00008C020000}"/>
    <cellStyle name="20% - Accent5 2 2 2 3 3 2" xfId="23992" xr:uid="{ACD9475A-CBC6-4269-A2CD-B8A54EF010BF}"/>
    <cellStyle name="20% - Accent5 2 2 2 3 3 3" xfId="32439" xr:uid="{3898E1B5-313D-4FB2-BE0F-E5E69F850A55}"/>
    <cellStyle name="20% - Accent5 2 2 2 3 3 4" xfId="40886" xr:uid="{118FFD02-F196-48A3-8FD4-AAB7AE62A2D6}"/>
    <cellStyle name="20% - Accent5 2 2 2 3 3 5" xfId="14692" xr:uid="{96C847E5-EEB6-4904-9CC6-B71AD4538938}"/>
    <cellStyle name="20% - Accent5 2 2 2 3 4" xfId="19775" xr:uid="{D5A5E237-FA1A-4EB0-AEFC-14648CE63E61}"/>
    <cellStyle name="20% - Accent5 2 2 2 3 5" xfId="28222" xr:uid="{15CDBB6C-5023-4768-B642-5079CAB0777E}"/>
    <cellStyle name="20% - Accent5 2 2 2 3 6" xfId="36669" xr:uid="{65DC768B-1DAD-4E8D-B61E-D08EFC039B71}"/>
    <cellStyle name="20% - Accent5 2 2 2 3 7" xfId="10475" xr:uid="{F050E4CD-70BE-4A91-881A-74DCD29EBE34}"/>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2 2 2" xfId="26550" xr:uid="{65B00A09-939F-4F34-9037-54656A47CA10}"/>
    <cellStyle name="20% - Accent5 2 2 2 4 2 2 3" xfId="34997" xr:uid="{64D2EF5B-72ED-40E0-BE99-9BFE43A6B566}"/>
    <cellStyle name="20% - Accent5 2 2 2 4 2 2 4" xfId="43444" xr:uid="{92606C26-61D4-4E28-B5BD-E9CA0B7BD6E7}"/>
    <cellStyle name="20% - Accent5 2 2 2 4 2 2 5" xfId="17250" xr:uid="{82F421E6-6360-4381-B5CE-9C4027943932}"/>
    <cellStyle name="20% - Accent5 2 2 2 4 2 3" xfId="22333" xr:uid="{23A89017-E0EC-46DD-BE86-C164EA7EA366}"/>
    <cellStyle name="20% - Accent5 2 2 2 4 2 4" xfId="30780" xr:uid="{474EEE41-27F6-4911-BE07-D050FCF2E458}"/>
    <cellStyle name="20% - Accent5 2 2 2 4 2 5" xfId="39227" xr:uid="{45F62DC4-DCAB-4BAA-815B-BAD387A2D1D1}"/>
    <cellStyle name="20% - Accent5 2 2 2 4 2 6" xfId="13033" xr:uid="{552A4848-1318-46AC-8D1E-894A01E85550}"/>
    <cellStyle name="20% - Accent5 2 2 2 4 3" xfId="5779" xr:uid="{00000000-0005-0000-0000-000090020000}"/>
    <cellStyle name="20% - Accent5 2 2 2 4 3 2" xfId="24405" xr:uid="{8C1A208F-55EA-4D5A-8A1B-6AA5D0754F74}"/>
    <cellStyle name="20% - Accent5 2 2 2 4 3 3" xfId="32852" xr:uid="{39D13AE0-2FBA-4354-B9FC-462BC01EA727}"/>
    <cellStyle name="20% - Accent5 2 2 2 4 3 4" xfId="41299" xr:uid="{ED118792-16FC-4315-B5AC-C3E2D002280C}"/>
    <cellStyle name="20% - Accent5 2 2 2 4 3 5" xfId="15105" xr:uid="{FFE07951-7AFD-4446-98D3-D5A571DBB79D}"/>
    <cellStyle name="20% - Accent5 2 2 2 4 4" xfId="20188" xr:uid="{9EB10994-78E1-4301-87F6-4AB6AB41CD0E}"/>
    <cellStyle name="20% - Accent5 2 2 2 4 5" xfId="28635" xr:uid="{6D3CEECB-6B00-4604-A21A-5E57A01831CA}"/>
    <cellStyle name="20% - Accent5 2 2 2 4 6" xfId="37082" xr:uid="{17929435-C385-441C-993B-28FA7B13D12B}"/>
    <cellStyle name="20% - Accent5 2 2 2 4 7" xfId="10888" xr:uid="{795D8FCB-1375-47D4-B7B8-23DBBA7C302F}"/>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2 2 2" xfId="26963" xr:uid="{9E2387CB-3486-4AD9-B3BE-1D1C2E717052}"/>
    <cellStyle name="20% - Accent5 2 2 2 5 2 2 3" xfId="35410" xr:uid="{51CA1432-0851-4B28-9EBC-8DB3524AA838}"/>
    <cellStyle name="20% - Accent5 2 2 2 5 2 2 4" xfId="43857" xr:uid="{A6D48AA6-E1D9-4788-AA16-1BAA80C28B5D}"/>
    <cellStyle name="20% - Accent5 2 2 2 5 2 2 5" xfId="17663" xr:uid="{8576471C-197F-41B8-93C8-9D07142DB071}"/>
    <cellStyle name="20% - Accent5 2 2 2 5 2 3" xfId="22746" xr:uid="{D2D0E7E4-5E2B-4C52-8D54-40E8B5DE2616}"/>
    <cellStyle name="20% - Accent5 2 2 2 5 2 4" xfId="31193" xr:uid="{CDDDCC23-C3CF-4ACB-9C0E-6781E3883C7F}"/>
    <cellStyle name="20% - Accent5 2 2 2 5 2 5" xfId="39640" xr:uid="{898F16C9-08BD-42C5-B856-E749C94BDAF6}"/>
    <cellStyle name="20% - Accent5 2 2 2 5 2 6" xfId="13446" xr:uid="{4B83912D-0FD5-4550-8B7B-190B5772FA38}"/>
    <cellStyle name="20% - Accent5 2 2 2 5 3" xfId="6192" xr:uid="{00000000-0005-0000-0000-000094020000}"/>
    <cellStyle name="20% - Accent5 2 2 2 5 3 2" xfId="24818" xr:uid="{8B6F820C-12F4-4C02-B979-ACD02570CE32}"/>
    <cellStyle name="20% - Accent5 2 2 2 5 3 3" xfId="33265" xr:uid="{7EE0294D-C1CF-432C-B9FE-21E359688770}"/>
    <cellStyle name="20% - Accent5 2 2 2 5 3 4" xfId="41712" xr:uid="{53924A21-574A-4A98-94CB-6B6CE5FF616E}"/>
    <cellStyle name="20% - Accent5 2 2 2 5 3 5" xfId="15518" xr:uid="{37FD7EA6-5A9B-49DC-A77A-62B06ED05DB4}"/>
    <cellStyle name="20% - Accent5 2 2 2 5 4" xfId="20601" xr:uid="{D62F99DC-9C8F-454B-9A5A-BCE4281CFDFA}"/>
    <cellStyle name="20% - Accent5 2 2 2 5 5" xfId="29048" xr:uid="{9ED808A5-BDED-4C38-B183-178B434EC4FF}"/>
    <cellStyle name="20% - Accent5 2 2 2 5 6" xfId="37495" xr:uid="{16B10D17-BD7A-47C4-9EF3-57CEA9BEB4F6}"/>
    <cellStyle name="20% - Accent5 2 2 2 5 7" xfId="11301" xr:uid="{A7C1FFAF-F5F4-48C7-B7E5-2A1B1FA74BF6}"/>
    <cellStyle name="20% - Accent5 2 2 2 6" xfId="2299" xr:uid="{00000000-0005-0000-0000-000095020000}"/>
    <cellStyle name="20% - Accent5 2 2 2 6 2" xfId="6605" xr:uid="{00000000-0005-0000-0000-000096020000}"/>
    <cellStyle name="20% - Accent5 2 2 2 6 2 2" xfId="25231" xr:uid="{564CA109-790E-4236-BD41-5042B6A22E4C}"/>
    <cellStyle name="20% - Accent5 2 2 2 6 2 3" xfId="33678" xr:uid="{1E45A862-4222-4A47-A2BF-31BD4563C0CC}"/>
    <cellStyle name="20% - Accent5 2 2 2 6 2 4" xfId="42125" xr:uid="{E9FE6C6B-B41F-4F59-8590-FFC56FE1D2B9}"/>
    <cellStyle name="20% - Accent5 2 2 2 6 2 5" xfId="15931" xr:uid="{0AA04133-91FD-4A9B-80F6-23D87C0BF7DF}"/>
    <cellStyle name="20% - Accent5 2 2 2 6 3" xfId="21014" xr:uid="{1B297995-72AF-4903-91BF-7101CD8744A4}"/>
    <cellStyle name="20% - Accent5 2 2 2 6 4" xfId="29461" xr:uid="{E306914C-9852-447E-B1DE-8C24CC49CB38}"/>
    <cellStyle name="20% - Accent5 2 2 2 6 5" xfId="37908" xr:uid="{5D3378BD-261B-4BD0-A5BB-8583C9BAC0C4}"/>
    <cellStyle name="20% - Accent5 2 2 2 6 6" xfId="11714" xr:uid="{63E4E7FC-5E4D-4725-9274-29689640FE90}"/>
    <cellStyle name="20% - Accent5 2 2 2 7" xfId="4539" xr:uid="{00000000-0005-0000-0000-000097020000}"/>
    <cellStyle name="20% - Accent5 2 2 2 7 2" xfId="23165" xr:uid="{6F45BB32-0174-4AB1-B485-7245607E8192}"/>
    <cellStyle name="20% - Accent5 2 2 2 7 3" xfId="31612" xr:uid="{E6A77043-8056-4DF8-B9FC-83742C6DD3CD}"/>
    <cellStyle name="20% - Accent5 2 2 2 7 4" xfId="40059" xr:uid="{79FF247E-EB72-4421-BA25-360D592AA7A8}"/>
    <cellStyle name="20% - Accent5 2 2 2 7 5" xfId="13865" xr:uid="{5028F0DC-5170-41E3-A798-3443C5CE8CDE}"/>
    <cellStyle name="20% - Accent5 2 2 2 8" xfId="9106" xr:uid="{E7B219CB-83A9-494A-83ED-783719A0F1D9}"/>
    <cellStyle name="20% - Accent5 2 2 2 8 2" xfId="18430" xr:uid="{34E6F8A6-6A03-4D44-B80D-EC02BA1BEDDD}"/>
    <cellStyle name="20% - Accent5 2 2 2 9" xfId="18948" xr:uid="{66875A9E-7A73-406E-8E38-AC827718C14F}"/>
    <cellStyle name="20% - Accent5 2 2 3" xfId="604" xr:uid="{00000000-0005-0000-0000-000098020000}"/>
    <cellStyle name="20% - Accent5 2 2 3 2" xfId="2875" xr:uid="{00000000-0005-0000-0000-000099020000}"/>
    <cellStyle name="20% - Accent5 2 2 3 2 2" xfId="7097" xr:uid="{00000000-0005-0000-0000-00009A020000}"/>
    <cellStyle name="20% - Accent5 2 2 3 2 2 2" xfId="25723" xr:uid="{BEB294C3-E96F-4CBF-8092-56A8415BB4A4}"/>
    <cellStyle name="20% - Accent5 2 2 3 2 2 3" xfId="34170" xr:uid="{7B37D7F2-2FA3-4B5A-BCE4-E5964DE837F9}"/>
    <cellStyle name="20% - Accent5 2 2 3 2 2 4" xfId="42617" xr:uid="{D6207BF1-3F9C-4DA4-BE56-A33A2DA9A6E8}"/>
    <cellStyle name="20% - Accent5 2 2 3 2 2 5" xfId="16423" xr:uid="{112854F4-6FF2-421B-86DD-553B8346FC25}"/>
    <cellStyle name="20% - Accent5 2 2 3 2 3" xfId="21506" xr:uid="{4CFA1029-93AF-4DBE-9898-8866D66FCA0F}"/>
    <cellStyle name="20% - Accent5 2 2 3 2 4" xfId="29953" xr:uid="{8BB1AD95-908B-4C67-8E69-C95FA2FD53D9}"/>
    <cellStyle name="20% - Accent5 2 2 3 2 5" xfId="38400" xr:uid="{78C2165C-5748-412E-8178-8D9625302872}"/>
    <cellStyle name="20% - Accent5 2 2 3 2 6" xfId="12206" xr:uid="{ED36F1AE-966C-4FDD-9C9A-28ABC5408C97}"/>
    <cellStyle name="20% - Accent5 2 2 3 3" xfId="4952" xr:uid="{00000000-0005-0000-0000-00009B020000}"/>
    <cellStyle name="20% - Accent5 2 2 3 3 2" xfId="23578" xr:uid="{ED20DEE2-2E12-4020-AAE6-D261EEBA96A1}"/>
    <cellStyle name="20% - Accent5 2 2 3 3 3" xfId="32025" xr:uid="{8C390FFF-1D9B-48A9-BF29-BEF3A488FD1A}"/>
    <cellStyle name="20% - Accent5 2 2 3 3 4" xfId="40472" xr:uid="{BDC53035-3B9A-4528-90D8-7E46FDF02436}"/>
    <cellStyle name="20% - Accent5 2 2 3 3 5" xfId="14278" xr:uid="{A5877ED8-83EF-4572-85F7-64DBF4218C9B}"/>
    <cellStyle name="20% - Accent5 2 2 3 4" xfId="9324" xr:uid="{6094FEE1-8E2A-466F-9CDF-43EB9EE581FF}"/>
    <cellStyle name="20% - Accent5 2 2 3 4 2" xfId="18640" xr:uid="{9568E152-5B87-423E-AB5F-2CB0A06BD40A}"/>
    <cellStyle name="20% - Accent5 2 2 3 5" xfId="19361" xr:uid="{D5DC5EF6-27D2-453E-9A4B-E9F77B97AD0E}"/>
    <cellStyle name="20% - Accent5 2 2 3 6" xfId="27808" xr:uid="{835AD8D2-82CD-4D1F-A5AE-7C7498C5AC13}"/>
    <cellStyle name="20% - Accent5 2 2 3 7" xfId="36255" xr:uid="{353E5F0E-BAF9-42C5-91E5-DFB5912EB7BD}"/>
    <cellStyle name="20% - Accent5 2 2 3 8" xfId="10061" xr:uid="{9B8129A8-C134-4726-A082-C9D358D1A425}"/>
    <cellStyle name="20% - Accent5 2 2 4" xfId="1057" xr:uid="{00000000-0005-0000-0000-00009C020000}"/>
    <cellStyle name="20% - Accent5 2 2 4 2" xfId="3288" xr:uid="{00000000-0005-0000-0000-00009D020000}"/>
    <cellStyle name="20% - Accent5 2 2 4 2 2" xfId="7510" xr:uid="{00000000-0005-0000-0000-00009E020000}"/>
    <cellStyle name="20% - Accent5 2 2 4 2 2 2" xfId="26136" xr:uid="{FD04AB2B-BB80-4759-8FD8-2E314963B318}"/>
    <cellStyle name="20% - Accent5 2 2 4 2 2 3" xfId="34583" xr:uid="{0EA192D3-8342-49AA-8FBB-ACE24E938300}"/>
    <cellStyle name="20% - Accent5 2 2 4 2 2 4" xfId="43030" xr:uid="{CAE0DE10-A6D2-4861-A6FC-64AB4B65FCFA}"/>
    <cellStyle name="20% - Accent5 2 2 4 2 2 5" xfId="16836" xr:uid="{5692D6A0-6B9E-4D32-8C38-71719F688D33}"/>
    <cellStyle name="20% - Accent5 2 2 4 2 3" xfId="21919" xr:uid="{9131F997-C6CB-4A02-937D-A41CCB080111}"/>
    <cellStyle name="20% - Accent5 2 2 4 2 4" xfId="30366" xr:uid="{FD26A16F-0395-4209-982E-BCF7C0888582}"/>
    <cellStyle name="20% - Accent5 2 2 4 2 5" xfId="38813" xr:uid="{2CD66E3E-0EF3-49ED-ADCD-576143C0C738}"/>
    <cellStyle name="20% - Accent5 2 2 4 2 6" xfId="12619" xr:uid="{D564E565-5692-44C0-80DC-2CDBABA4C162}"/>
    <cellStyle name="20% - Accent5 2 2 4 3" xfId="5365" xr:uid="{00000000-0005-0000-0000-00009F020000}"/>
    <cellStyle name="20% - Accent5 2 2 4 3 2" xfId="23991" xr:uid="{209F3929-0862-466F-B993-A758979387EF}"/>
    <cellStyle name="20% - Accent5 2 2 4 3 3" xfId="32438" xr:uid="{1A97D37E-BB60-41A9-801E-D9D260158612}"/>
    <cellStyle name="20% - Accent5 2 2 4 3 4" xfId="40885" xr:uid="{FAEAB321-3502-4CE7-9090-78FB9BF9248E}"/>
    <cellStyle name="20% - Accent5 2 2 4 3 5" xfId="14691" xr:uid="{67515AB3-AD33-4E4F-A097-4FA8DA72A25B}"/>
    <cellStyle name="20% - Accent5 2 2 4 4" xfId="19774" xr:uid="{BEFCD8AF-B846-4AFA-91C3-208036AFF272}"/>
    <cellStyle name="20% - Accent5 2 2 4 5" xfId="28221" xr:uid="{8B38C633-05B4-456A-A90C-3F20F534004D}"/>
    <cellStyle name="20% - Accent5 2 2 4 6" xfId="36668" xr:uid="{E15C78FD-0290-47A6-AC61-F100C5D94A1A}"/>
    <cellStyle name="20% - Accent5 2 2 4 7" xfId="10474" xr:uid="{9ABF3775-831E-4BE5-B783-56B727DC30A4}"/>
    <cellStyle name="20% - Accent5 2 2 5" xfId="1471" xr:uid="{00000000-0005-0000-0000-0000A0020000}"/>
    <cellStyle name="20% - Accent5 2 2 5 2" xfId="3701" xr:uid="{00000000-0005-0000-0000-0000A1020000}"/>
    <cellStyle name="20% - Accent5 2 2 5 2 2" xfId="7923" xr:uid="{00000000-0005-0000-0000-0000A2020000}"/>
    <cellStyle name="20% - Accent5 2 2 5 2 2 2" xfId="26549" xr:uid="{B69BCFF6-2115-47F2-8DA4-54825822F92D}"/>
    <cellStyle name="20% - Accent5 2 2 5 2 2 3" xfId="34996" xr:uid="{771AC4A4-407E-4B6B-AABE-235622067290}"/>
    <cellStyle name="20% - Accent5 2 2 5 2 2 4" xfId="43443" xr:uid="{7B8B30B3-4554-43C3-9A42-C9F0D5C2A939}"/>
    <cellStyle name="20% - Accent5 2 2 5 2 2 5" xfId="17249" xr:uid="{924A186D-E203-40F7-A9B0-F7B61B4C9D3B}"/>
    <cellStyle name="20% - Accent5 2 2 5 2 3" xfId="22332" xr:uid="{8CC03F58-A9EE-41F0-8AF6-F067DEE93532}"/>
    <cellStyle name="20% - Accent5 2 2 5 2 4" xfId="30779" xr:uid="{48272903-2032-409F-AF3F-5F6C951DCB8E}"/>
    <cellStyle name="20% - Accent5 2 2 5 2 5" xfId="39226" xr:uid="{DE524BCA-6226-4E27-8D74-10EA34DC7DFE}"/>
    <cellStyle name="20% - Accent5 2 2 5 2 6" xfId="13032" xr:uid="{5AC93B6A-A67F-47E3-A070-C8AC0A2CD0A8}"/>
    <cellStyle name="20% - Accent5 2 2 5 3" xfId="5778" xr:uid="{00000000-0005-0000-0000-0000A3020000}"/>
    <cellStyle name="20% - Accent5 2 2 5 3 2" xfId="24404" xr:uid="{1A218D28-2EF1-42A8-BBE4-51F934E03DD7}"/>
    <cellStyle name="20% - Accent5 2 2 5 3 3" xfId="32851" xr:uid="{D217D213-4ACC-402A-9F15-5DE930C50593}"/>
    <cellStyle name="20% - Accent5 2 2 5 3 4" xfId="41298" xr:uid="{48004C2C-E2FA-4303-8599-47B96CF3C2D6}"/>
    <cellStyle name="20% - Accent5 2 2 5 3 5" xfId="15104" xr:uid="{4B58AB56-EE96-4B0A-A320-24C6FD71708B}"/>
    <cellStyle name="20% - Accent5 2 2 5 4" xfId="20187" xr:uid="{0E28695C-CB6B-4683-B2B8-669B1DAE4B15}"/>
    <cellStyle name="20% - Accent5 2 2 5 5" xfId="28634" xr:uid="{702E5B06-FD4F-4CC7-A343-6AC8A348B145}"/>
    <cellStyle name="20% - Accent5 2 2 5 6" xfId="37081" xr:uid="{D165884C-70A8-4106-8DA7-DA2E1E84701B}"/>
    <cellStyle name="20% - Accent5 2 2 5 7" xfId="10887" xr:uid="{B1AD158B-8143-4D74-88C4-2A63D8168FBF}"/>
    <cellStyle name="20% - Accent5 2 2 6" xfId="1885" xr:uid="{00000000-0005-0000-0000-0000A4020000}"/>
    <cellStyle name="20% - Accent5 2 2 6 2" xfId="4114" xr:uid="{00000000-0005-0000-0000-0000A5020000}"/>
    <cellStyle name="20% - Accent5 2 2 6 2 2" xfId="8336" xr:uid="{00000000-0005-0000-0000-0000A6020000}"/>
    <cellStyle name="20% - Accent5 2 2 6 2 2 2" xfId="26962" xr:uid="{A1566C85-A388-4111-B410-4834AD6B936B}"/>
    <cellStyle name="20% - Accent5 2 2 6 2 2 3" xfId="35409" xr:uid="{7A405245-69C3-4BA6-A9A7-6374B6E066D8}"/>
    <cellStyle name="20% - Accent5 2 2 6 2 2 4" xfId="43856" xr:uid="{A974E025-3A76-4987-8D64-6528A471C9F4}"/>
    <cellStyle name="20% - Accent5 2 2 6 2 2 5" xfId="17662" xr:uid="{CB73EBAE-CC54-41C7-8BEF-C318EECBA9C0}"/>
    <cellStyle name="20% - Accent5 2 2 6 2 3" xfId="22745" xr:uid="{F41F085B-5D46-4B35-8F69-F9DC65560D45}"/>
    <cellStyle name="20% - Accent5 2 2 6 2 4" xfId="31192" xr:uid="{5B533880-D4EE-4202-AAD2-5B7C6E272DA1}"/>
    <cellStyle name="20% - Accent5 2 2 6 2 5" xfId="39639" xr:uid="{11F095FD-204A-4BA4-A6BA-8E4CAA1ED5EB}"/>
    <cellStyle name="20% - Accent5 2 2 6 2 6" xfId="13445" xr:uid="{4B80D9BF-6EDD-4CA6-B713-E8B36A37BE88}"/>
    <cellStyle name="20% - Accent5 2 2 6 3" xfId="6191" xr:uid="{00000000-0005-0000-0000-0000A7020000}"/>
    <cellStyle name="20% - Accent5 2 2 6 3 2" xfId="24817" xr:uid="{3C92D301-4EF1-412B-BBD7-13CC97D8B951}"/>
    <cellStyle name="20% - Accent5 2 2 6 3 3" xfId="33264" xr:uid="{DEECFF49-C87E-4FE9-BBF0-F775F331CD18}"/>
    <cellStyle name="20% - Accent5 2 2 6 3 4" xfId="41711" xr:uid="{FB238ACB-190C-4DA8-987D-64C4700FA903}"/>
    <cellStyle name="20% - Accent5 2 2 6 3 5" xfId="15517" xr:uid="{0EA1E1FD-D9A3-4321-A301-A4405D51FCF8}"/>
    <cellStyle name="20% - Accent5 2 2 6 4" xfId="20600" xr:uid="{D051602C-1EEE-4893-B906-AFE374E75154}"/>
    <cellStyle name="20% - Accent5 2 2 6 5" xfId="29047" xr:uid="{B4ABBCBA-EC09-474D-A972-D00044D535B4}"/>
    <cellStyle name="20% - Accent5 2 2 6 6" xfId="37494" xr:uid="{51A6A210-D940-47F1-A1D3-F10E3BC1D083}"/>
    <cellStyle name="20% - Accent5 2 2 6 7" xfId="11300" xr:uid="{9EF9E05E-7646-4F5E-9182-039D80396F8A}"/>
    <cellStyle name="20% - Accent5 2 2 7" xfId="2298" xr:uid="{00000000-0005-0000-0000-0000A8020000}"/>
    <cellStyle name="20% - Accent5 2 2 7 2" xfId="6604" xr:uid="{00000000-0005-0000-0000-0000A9020000}"/>
    <cellStyle name="20% - Accent5 2 2 7 2 2" xfId="25230" xr:uid="{7C8BCB70-B598-493F-BC4F-127AE3C215D5}"/>
    <cellStyle name="20% - Accent5 2 2 7 2 3" xfId="33677" xr:uid="{A24B8398-DC69-4542-BC75-E922EAE921C0}"/>
    <cellStyle name="20% - Accent5 2 2 7 2 4" xfId="42124" xr:uid="{A38498C9-2852-4CEB-A161-D1D14BA30AA3}"/>
    <cellStyle name="20% - Accent5 2 2 7 2 5" xfId="15930" xr:uid="{DB2DB76D-FC28-41FF-9375-0CB0C8CEA5D3}"/>
    <cellStyle name="20% - Accent5 2 2 7 3" xfId="21013" xr:uid="{8C7140EC-25B8-4A6C-9A5F-897C7F40F384}"/>
    <cellStyle name="20% - Accent5 2 2 7 4" xfId="29460" xr:uid="{13974089-309D-4DC9-8C15-C039886D060B}"/>
    <cellStyle name="20% - Accent5 2 2 7 5" xfId="37907" xr:uid="{8D8622E1-5E71-4220-8E4E-A5830884DC97}"/>
    <cellStyle name="20% - Accent5 2 2 7 6" xfId="11713" xr:uid="{F67570B9-A433-45CE-AEBB-50D213D25174}"/>
    <cellStyle name="20% - Accent5 2 2 8" xfId="4538" xr:uid="{00000000-0005-0000-0000-0000AA020000}"/>
    <cellStyle name="20% - Accent5 2 2 8 2" xfId="23164" xr:uid="{8BC45A74-63EE-4A41-B92A-38ADC268958D}"/>
    <cellStyle name="20% - Accent5 2 2 8 3" xfId="31611" xr:uid="{C9EEE565-5449-4553-A1B5-E8F8097F0F1F}"/>
    <cellStyle name="20% - Accent5 2 2 8 4" xfId="40058" xr:uid="{EAE30906-D9F0-412D-9948-2332CDA768C9}"/>
    <cellStyle name="20% - Accent5 2 2 8 5" xfId="13864" xr:uid="{368A7137-E3B8-46B3-B1D7-262C6698B03A}"/>
    <cellStyle name="20% - Accent5 2 2 9" xfId="8899" xr:uid="{0E8F9EC8-D565-41C9-B716-FF597FFF35B9}"/>
    <cellStyle name="20% - Accent5 2 2 9 2" xfId="18223" xr:uid="{7F9182E9-329B-4AA5-B67D-62B47A7361A8}"/>
    <cellStyle name="20% - Accent5 2 3" xfId="37" xr:uid="{00000000-0005-0000-0000-0000AB020000}"/>
    <cellStyle name="20% - Accent5 2 3 10" xfId="27396" xr:uid="{C5FFBA4A-C0CA-4F76-9F38-9078405D4002}"/>
    <cellStyle name="20% - Accent5 2 3 11" xfId="35843" xr:uid="{82891477-B1F1-4440-9D00-48DFD4F87FD6}"/>
    <cellStyle name="20% - Accent5 2 3 12" xfId="9649" xr:uid="{6603E64E-6DD2-4C59-B694-240C235B2E92}"/>
    <cellStyle name="20% - Accent5 2 3 2" xfId="606" xr:uid="{00000000-0005-0000-0000-0000AC020000}"/>
    <cellStyle name="20% - Accent5 2 3 2 2" xfId="2877" xr:uid="{00000000-0005-0000-0000-0000AD020000}"/>
    <cellStyle name="20% - Accent5 2 3 2 2 2" xfId="7099" xr:uid="{00000000-0005-0000-0000-0000AE020000}"/>
    <cellStyle name="20% - Accent5 2 3 2 2 2 2" xfId="25725" xr:uid="{B638CFEB-A34A-4FA0-B8C9-78C3F17E80F6}"/>
    <cellStyle name="20% - Accent5 2 3 2 2 2 3" xfId="34172" xr:uid="{DFED44DF-944C-4CF2-AFDB-2DAE21176951}"/>
    <cellStyle name="20% - Accent5 2 3 2 2 2 4" xfId="42619" xr:uid="{9646A46D-5D49-4D04-BD75-058B058B605E}"/>
    <cellStyle name="20% - Accent5 2 3 2 2 2 5" xfId="16425" xr:uid="{6AB915A1-A41C-4DF9-9FEB-7AFC70AE1216}"/>
    <cellStyle name="20% - Accent5 2 3 2 2 3" xfId="21508" xr:uid="{B3E1ACA0-9CB7-468D-9D09-593F8C31F51E}"/>
    <cellStyle name="20% - Accent5 2 3 2 2 4" xfId="29955" xr:uid="{01926CA1-C57A-4BBD-834D-21623191692F}"/>
    <cellStyle name="20% - Accent5 2 3 2 2 5" xfId="38402" xr:uid="{56B55032-A2A0-4FDF-80CA-3B2A48657A2B}"/>
    <cellStyle name="20% - Accent5 2 3 2 2 6" xfId="12208" xr:uid="{241D4B91-162E-4E31-AD8C-D2D68F1645D2}"/>
    <cellStyle name="20% - Accent5 2 3 2 3" xfId="4954" xr:uid="{00000000-0005-0000-0000-0000AF020000}"/>
    <cellStyle name="20% - Accent5 2 3 2 3 2" xfId="23580" xr:uid="{AC6FFE95-C655-4C20-BA01-ACAA6835F6F7}"/>
    <cellStyle name="20% - Accent5 2 3 2 3 3" xfId="32027" xr:uid="{35FB3ACE-E32E-4B00-8C53-C1321710BE8F}"/>
    <cellStyle name="20% - Accent5 2 3 2 3 4" xfId="40474" xr:uid="{22699D12-6931-4958-A586-BB7838C946A9}"/>
    <cellStyle name="20% - Accent5 2 3 2 3 5" xfId="14280" xr:uid="{4168C541-EEBD-4C29-A076-0E0962932720}"/>
    <cellStyle name="20% - Accent5 2 3 2 4" xfId="9428" xr:uid="{B7820ACF-E1F3-4653-B5DD-FD829B169E84}"/>
    <cellStyle name="20% - Accent5 2 3 2 4 2" xfId="18744" xr:uid="{CD4C6211-3210-4BFA-8A1F-A090437DDC72}"/>
    <cellStyle name="20% - Accent5 2 3 2 5" xfId="19363" xr:uid="{F7F0A01C-659E-40DD-9B0B-5FD5A8C3C1BD}"/>
    <cellStyle name="20% - Accent5 2 3 2 6" xfId="27810" xr:uid="{F3E5C48B-2AF8-467F-9D45-5A914288EDA3}"/>
    <cellStyle name="20% - Accent5 2 3 2 7" xfId="36257" xr:uid="{C7AFD58E-A9DC-4281-96DF-6C7680562144}"/>
    <cellStyle name="20% - Accent5 2 3 2 8" xfId="10063" xr:uid="{42391D6B-3E3D-42DF-81D5-5756DC7D7D54}"/>
    <cellStyle name="20% - Accent5 2 3 3" xfId="1059" xr:uid="{00000000-0005-0000-0000-0000B0020000}"/>
    <cellStyle name="20% - Accent5 2 3 3 2" xfId="3290" xr:uid="{00000000-0005-0000-0000-0000B1020000}"/>
    <cellStyle name="20% - Accent5 2 3 3 2 2" xfId="7512" xr:uid="{00000000-0005-0000-0000-0000B2020000}"/>
    <cellStyle name="20% - Accent5 2 3 3 2 2 2" xfId="26138" xr:uid="{C53598A4-5B54-4688-BBE4-8F116B9D3261}"/>
    <cellStyle name="20% - Accent5 2 3 3 2 2 3" xfId="34585" xr:uid="{F2C30E36-4426-4D84-9A12-781D40345376}"/>
    <cellStyle name="20% - Accent5 2 3 3 2 2 4" xfId="43032" xr:uid="{4DA3929E-425A-48D6-A42C-5D05937A6DAC}"/>
    <cellStyle name="20% - Accent5 2 3 3 2 2 5" xfId="16838" xr:uid="{D6D1E7A0-73E7-419A-A6CE-6C5411065D93}"/>
    <cellStyle name="20% - Accent5 2 3 3 2 3" xfId="21921" xr:uid="{AE0DEC64-ECAC-491D-9631-40308844DB0F}"/>
    <cellStyle name="20% - Accent5 2 3 3 2 4" xfId="30368" xr:uid="{016901AD-55CA-4B2E-835A-37C92ACE4813}"/>
    <cellStyle name="20% - Accent5 2 3 3 2 5" xfId="38815" xr:uid="{7D097DEF-1299-492A-BEC0-5FB2A0679BB4}"/>
    <cellStyle name="20% - Accent5 2 3 3 2 6" xfId="12621" xr:uid="{5767EEFE-B81A-4117-B7F9-95FF0D2DA9DA}"/>
    <cellStyle name="20% - Accent5 2 3 3 3" xfId="5367" xr:uid="{00000000-0005-0000-0000-0000B3020000}"/>
    <cellStyle name="20% - Accent5 2 3 3 3 2" xfId="23993" xr:uid="{21BC0759-FEE6-43B5-BE34-D14A7D4D9AD8}"/>
    <cellStyle name="20% - Accent5 2 3 3 3 3" xfId="32440" xr:uid="{E5A21F80-86F4-4C9F-A0D3-85FF5A9F6187}"/>
    <cellStyle name="20% - Accent5 2 3 3 3 4" xfId="40887" xr:uid="{C863E7C5-EA74-4260-B675-C059FB03B1B8}"/>
    <cellStyle name="20% - Accent5 2 3 3 3 5" xfId="14693" xr:uid="{8A8989EB-ABF2-4D5C-B493-1830974F0307}"/>
    <cellStyle name="20% - Accent5 2 3 3 4" xfId="19776" xr:uid="{9C4CAC03-93CE-4774-83ED-31229992E09C}"/>
    <cellStyle name="20% - Accent5 2 3 3 5" xfId="28223" xr:uid="{8DE2394A-658F-4952-8C75-FE07606CA67E}"/>
    <cellStyle name="20% - Accent5 2 3 3 6" xfId="36670" xr:uid="{59EFB19C-E85B-411D-8E5A-AA8C4E6B07B1}"/>
    <cellStyle name="20% - Accent5 2 3 3 7" xfId="10476" xr:uid="{8F886FFF-E3E1-4295-A707-2E77F349945E}"/>
    <cellStyle name="20% - Accent5 2 3 4" xfId="1473" xr:uid="{00000000-0005-0000-0000-0000B4020000}"/>
    <cellStyle name="20% - Accent5 2 3 4 2" xfId="3703" xr:uid="{00000000-0005-0000-0000-0000B5020000}"/>
    <cellStyle name="20% - Accent5 2 3 4 2 2" xfId="7925" xr:uid="{00000000-0005-0000-0000-0000B6020000}"/>
    <cellStyle name="20% - Accent5 2 3 4 2 2 2" xfId="26551" xr:uid="{28759EDF-EBF6-47BA-9B46-03CD15CD2A67}"/>
    <cellStyle name="20% - Accent5 2 3 4 2 2 3" xfId="34998" xr:uid="{3F446ED8-ED0E-4DB3-9582-4B781A606C19}"/>
    <cellStyle name="20% - Accent5 2 3 4 2 2 4" xfId="43445" xr:uid="{BB872138-C9CD-469A-989E-52C7407D9451}"/>
    <cellStyle name="20% - Accent5 2 3 4 2 2 5" xfId="17251" xr:uid="{470B5829-B3CB-469D-B14F-D57472D7597F}"/>
    <cellStyle name="20% - Accent5 2 3 4 2 3" xfId="22334" xr:uid="{5B70A064-799E-4BF1-A234-4D36C9C569A0}"/>
    <cellStyle name="20% - Accent5 2 3 4 2 4" xfId="30781" xr:uid="{2594145C-DD47-4139-AA5C-162C391CFF60}"/>
    <cellStyle name="20% - Accent5 2 3 4 2 5" xfId="39228" xr:uid="{43293926-9D1C-4FB2-8AB8-45AE88812EAE}"/>
    <cellStyle name="20% - Accent5 2 3 4 2 6" xfId="13034" xr:uid="{D4C4494B-43E6-4F89-B09E-80784008CB4D}"/>
    <cellStyle name="20% - Accent5 2 3 4 3" xfId="5780" xr:uid="{00000000-0005-0000-0000-0000B7020000}"/>
    <cellStyle name="20% - Accent5 2 3 4 3 2" xfId="24406" xr:uid="{23ED4F6B-325E-44F7-A3C7-0832726279E0}"/>
    <cellStyle name="20% - Accent5 2 3 4 3 3" xfId="32853" xr:uid="{AF18F3A7-71B3-405E-BC4C-8531F35A0DB1}"/>
    <cellStyle name="20% - Accent5 2 3 4 3 4" xfId="41300" xr:uid="{D89658ED-C3ED-4CEA-8E2C-6C0C265F08D6}"/>
    <cellStyle name="20% - Accent5 2 3 4 3 5" xfId="15106" xr:uid="{173BBD02-0AA0-4995-A323-35DAB0CE67E2}"/>
    <cellStyle name="20% - Accent5 2 3 4 4" xfId="20189" xr:uid="{9BD02651-976D-41C7-8C7A-42FDA9B42CEA}"/>
    <cellStyle name="20% - Accent5 2 3 4 5" xfId="28636" xr:uid="{E7C6AFB3-00B1-4205-8177-6D6E082D09E5}"/>
    <cellStyle name="20% - Accent5 2 3 4 6" xfId="37083" xr:uid="{AE3F125B-5314-4F14-84F8-EFC6E3490CB6}"/>
    <cellStyle name="20% - Accent5 2 3 4 7" xfId="10889" xr:uid="{C6CE58C0-0448-4797-82BE-3F1EBEC28D9D}"/>
    <cellStyle name="20% - Accent5 2 3 5" xfId="1887" xr:uid="{00000000-0005-0000-0000-0000B8020000}"/>
    <cellStyle name="20% - Accent5 2 3 5 2" xfId="4116" xr:uid="{00000000-0005-0000-0000-0000B9020000}"/>
    <cellStyle name="20% - Accent5 2 3 5 2 2" xfId="8338" xr:uid="{00000000-0005-0000-0000-0000BA020000}"/>
    <cellStyle name="20% - Accent5 2 3 5 2 2 2" xfId="26964" xr:uid="{21A0A538-06E6-464B-B61D-C4C9624ADF8A}"/>
    <cellStyle name="20% - Accent5 2 3 5 2 2 3" xfId="35411" xr:uid="{B5AFF769-ECED-4F96-BD2C-01D8D2021882}"/>
    <cellStyle name="20% - Accent5 2 3 5 2 2 4" xfId="43858" xr:uid="{1E0E6759-C995-4D7A-9CAB-CA50627DA2EF}"/>
    <cellStyle name="20% - Accent5 2 3 5 2 2 5" xfId="17664" xr:uid="{B409A010-492D-4319-BB76-79582BE15071}"/>
    <cellStyle name="20% - Accent5 2 3 5 2 3" xfId="22747" xr:uid="{CF719F63-7DD6-4F20-A04A-2EC6BD6700F2}"/>
    <cellStyle name="20% - Accent5 2 3 5 2 4" xfId="31194" xr:uid="{11988AF6-48BD-4B00-BDC0-18E29805F352}"/>
    <cellStyle name="20% - Accent5 2 3 5 2 5" xfId="39641" xr:uid="{3B7EB636-C71C-4D60-BB7E-A20A93BC63E9}"/>
    <cellStyle name="20% - Accent5 2 3 5 2 6" xfId="13447" xr:uid="{B593EA9A-A951-4FBF-A64C-B3840167C0C1}"/>
    <cellStyle name="20% - Accent5 2 3 5 3" xfId="6193" xr:uid="{00000000-0005-0000-0000-0000BB020000}"/>
    <cellStyle name="20% - Accent5 2 3 5 3 2" xfId="24819" xr:uid="{49E19845-89C2-475F-B4CE-3D6469960FA6}"/>
    <cellStyle name="20% - Accent5 2 3 5 3 3" xfId="33266" xr:uid="{0F39F747-8113-4F20-BD15-72C68DA19F04}"/>
    <cellStyle name="20% - Accent5 2 3 5 3 4" xfId="41713" xr:uid="{0B3AFC25-CE5E-41AE-A389-F82D951B6ACA}"/>
    <cellStyle name="20% - Accent5 2 3 5 3 5" xfId="15519" xr:uid="{1FADC925-2781-42D3-A16F-F66A9ED12920}"/>
    <cellStyle name="20% - Accent5 2 3 5 4" xfId="20602" xr:uid="{8DB731F9-8034-4D26-89EF-C5B103423923}"/>
    <cellStyle name="20% - Accent5 2 3 5 5" xfId="29049" xr:uid="{EA101731-CB55-443E-B22F-960CEBFD4423}"/>
    <cellStyle name="20% - Accent5 2 3 5 6" xfId="37496" xr:uid="{F12186C7-1952-49BB-AAA4-0A3975C84DB4}"/>
    <cellStyle name="20% - Accent5 2 3 5 7" xfId="11302" xr:uid="{6F534A9A-D8FA-4CEA-9BC2-5ABAA793EA44}"/>
    <cellStyle name="20% - Accent5 2 3 6" xfId="2300" xr:uid="{00000000-0005-0000-0000-0000BC020000}"/>
    <cellStyle name="20% - Accent5 2 3 6 2" xfId="6606" xr:uid="{00000000-0005-0000-0000-0000BD020000}"/>
    <cellStyle name="20% - Accent5 2 3 6 2 2" xfId="25232" xr:uid="{56DA5735-622A-41D7-9EA3-5ADAA41C453B}"/>
    <cellStyle name="20% - Accent5 2 3 6 2 3" xfId="33679" xr:uid="{65CEABB0-97BF-4894-8BD1-3B4002CBFF9E}"/>
    <cellStyle name="20% - Accent5 2 3 6 2 4" xfId="42126" xr:uid="{83DC4A71-7BBB-4A62-AFD1-B9280C156780}"/>
    <cellStyle name="20% - Accent5 2 3 6 2 5" xfId="15932" xr:uid="{E4A0448E-BC80-4D4A-A3B8-33F32839F8B3}"/>
    <cellStyle name="20% - Accent5 2 3 6 3" xfId="21015" xr:uid="{4C9F62BA-B749-47D4-B1D9-20DBA18912EA}"/>
    <cellStyle name="20% - Accent5 2 3 6 4" xfId="29462" xr:uid="{336B9EC0-46CD-43EC-BEE0-80A56A7470DD}"/>
    <cellStyle name="20% - Accent5 2 3 6 5" xfId="37909" xr:uid="{C83371F3-5051-4AD4-8B92-43DC9593C1AF}"/>
    <cellStyle name="20% - Accent5 2 3 6 6" xfId="11715" xr:uid="{596B6E0E-5474-4011-A3BB-FE71665AC35E}"/>
    <cellStyle name="20% - Accent5 2 3 7" xfId="4540" xr:uid="{00000000-0005-0000-0000-0000BE020000}"/>
    <cellStyle name="20% - Accent5 2 3 7 2" xfId="23166" xr:uid="{5A7871AC-3DF0-4119-AA47-703FDA5778CB}"/>
    <cellStyle name="20% - Accent5 2 3 7 3" xfId="31613" xr:uid="{CE6F1441-6810-4DB7-8003-476A77474FA0}"/>
    <cellStyle name="20% - Accent5 2 3 7 4" xfId="40060" xr:uid="{1E54D0F1-EE89-4461-B4EB-13E8360C789D}"/>
    <cellStyle name="20% - Accent5 2 3 7 5" xfId="13866" xr:uid="{81877B27-519A-4EC3-A942-422D15A40B36}"/>
    <cellStyle name="20% - Accent5 2 3 8" xfId="9003" xr:uid="{9830E7D1-E361-4BA3-A986-3DCE647EEF8E}"/>
    <cellStyle name="20% - Accent5 2 3 8 2" xfId="18327" xr:uid="{3B7F16FC-3164-4793-8B5E-B6E4AB54F619}"/>
    <cellStyle name="20% - Accent5 2 3 9" xfId="18949" xr:uid="{0651D93A-29A9-49E5-8CAC-3D88005BE86D}"/>
    <cellStyle name="20% - Accent5 2 4" xfId="603" xr:uid="{00000000-0005-0000-0000-0000BF020000}"/>
    <cellStyle name="20% - Accent5 2 4 2" xfId="2874" xr:uid="{00000000-0005-0000-0000-0000C0020000}"/>
    <cellStyle name="20% - Accent5 2 4 2 2" xfId="7096" xr:uid="{00000000-0005-0000-0000-0000C1020000}"/>
    <cellStyle name="20% - Accent5 2 4 2 2 2" xfId="25722" xr:uid="{FFF32137-585F-4394-B93B-4531BEED2850}"/>
    <cellStyle name="20% - Accent5 2 4 2 2 3" xfId="34169" xr:uid="{AEC30224-2505-4E1A-ABA5-281C98EDADF5}"/>
    <cellStyle name="20% - Accent5 2 4 2 2 4" xfId="42616" xr:uid="{A677F3FA-D9C1-41A5-A606-7E1BB8D3E79E}"/>
    <cellStyle name="20% - Accent5 2 4 2 2 5" xfId="16422" xr:uid="{95E65656-66F9-46AA-A41C-1242AEC0CF6B}"/>
    <cellStyle name="20% - Accent5 2 4 2 3" xfId="21505" xr:uid="{51B9A4C7-C757-4503-9969-474D72D30B11}"/>
    <cellStyle name="20% - Accent5 2 4 2 4" xfId="29952" xr:uid="{495C9E43-23AC-4CB9-B571-D190D6FF2BFD}"/>
    <cellStyle name="20% - Accent5 2 4 2 5" xfId="38399" xr:uid="{7CF5823A-078D-4D8E-9C9C-314B75B1A65F}"/>
    <cellStyle name="20% - Accent5 2 4 2 6" xfId="12205" xr:uid="{BE333A9E-01DC-46BD-ADFD-1D41748008B7}"/>
    <cellStyle name="20% - Accent5 2 4 3" xfId="4951" xr:uid="{00000000-0005-0000-0000-0000C2020000}"/>
    <cellStyle name="20% - Accent5 2 4 3 2" xfId="23577" xr:uid="{42CFD33E-D439-4E55-B837-3C3D5EF6DBAC}"/>
    <cellStyle name="20% - Accent5 2 4 3 3" xfId="32024" xr:uid="{E2CBBE96-6055-4C21-8945-A69D1240BFC6}"/>
    <cellStyle name="20% - Accent5 2 4 3 4" xfId="40471" xr:uid="{D89DA5E6-B810-495A-8855-CF4F3BF95A5E}"/>
    <cellStyle name="20% - Accent5 2 4 3 5" xfId="14277" xr:uid="{6231C4E0-0742-4D56-898A-B82ECEFD50EF}"/>
    <cellStyle name="20% - Accent5 2 4 4" xfId="9220" xr:uid="{A7B88928-FE72-4C1B-B74E-3CA76DBA84CC}"/>
    <cellStyle name="20% - Accent5 2 4 4 2" xfId="18537" xr:uid="{0ABB0D77-0E95-4870-8371-6A098BECB31A}"/>
    <cellStyle name="20% - Accent5 2 4 5" xfId="19360" xr:uid="{BB1D7834-C669-4EDC-AC01-1C842AC5BB33}"/>
    <cellStyle name="20% - Accent5 2 4 6" xfId="27807" xr:uid="{745E45E2-DE13-4A20-B03E-1E8573593002}"/>
    <cellStyle name="20% - Accent5 2 4 7" xfId="36254" xr:uid="{D27AB44B-4448-4706-8C60-B00E506E89BD}"/>
    <cellStyle name="20% - Accent5 2 4 8" xfId="10060" xr:uid="{D4628475-4D46-48E5-AD1B-28011EA7520F}"/>
    <cellStyle name="20% - Accent5 2 5" xfId="1056" xr:uid="{00000000-0005-0000-0000-0000C3020000}"/>
    <cellStyle name="20% - Accent5 2 5 2" xfId="3287" xr:uid="{00000000-0005-0000-0000-0000C4020000}"/>
    <cellStyle name="20% - Accent5 2 5 2 2" xfId="7509" xr:uid="{00000000-0005-0000-0000-0000C5020000}"/>
    <cellStyle name="20% - Accent5 2 5 2 2 2" xfId="26135" xr:uid="{9D59D9A8-9792-4EFB-893D-2889322C6356}"/>
    <cellStyle name="20% - Accent5 2 5 2 2 3" xfId="34582" xr:uid="{7FAC4F65-8A3B-49DB-A280-92E9578303C0}"/>
    <cellStyle name="20% - Accent5 2 5 2 2 4" xfId="43029" xr:uid="{18C4B3D2-A7DF-4BC3-ABF0-7089620CF17E}"/>
    <cellStyle name="20% - Accent5 2 5 2 2 5" xfId="16835" xr:uid="{9D1AD639-38CB-4C2E-884A-E03A2C34C2CC}"/>
    <cellStyle name="20% - Accent5 2 5 2 3" xfId="21918" xr:uid="{D0672AFE-D679-41A6-B227-60C546AA22A4}"/>
    <cellStyle name="20% - Accent5 2 5 2 4" xfId="30365" xr:uid="{CDE5A97D-4F1B-475A-8142-02B3DF2FC470}"/>
    <cellStyle name="20% - Accent5 2 5 2 5" xfId="38812" xr:uid="{E0723C03-912F-4380-87ED-4DD68E64BF49}"/>
    <cellStyle name="20% - Accent5 2 5 2 6" xfId="12618" xr:uid="{5331C9C1-B2EA-4637-AFAA-74E41DA10AC0}"/>
    <cellStyle name="20% - Accent5 2 5 3" xfId="5364" xr:uid="{00000000-0005-0000-0000-0000C6020000}"/>
    <cellStyle name="20% - Accent5 2 5 3 2" xfId="23990" xr:uid="{7CD94A5F-6F05-46C2-B8DC-5B9D5F237F48}"/>
    <cellStyle name="20% - Accent5 2 5 3 3" xfId="32437" xr:uid="{E6A4FD1B-885B-4F94-938B-809A730E63EE}"/>
    <cellStyle name="20% - Accent5 2 5 3 4" xfId="40884" xr:uid="{0A4116C8-D3D0-4B56-A414-8325CB6F690F}"/>
    <cellStyle name="20% - Accent5 2 5 3 5" xfId="14690" xr:uid="{C29FEF46-1B61-44AE-B5C5-FB9D788ECBC5}"/>
    <cellStyle name="20% - Accent5 2 5 4" xfId="19773" xr:uid="{8846264F-947D-44DA-84AB-D8883C1A1612}"/>
    <cellStyle name="20% - Accent5 2 5 5" xfId="28220" xr:uid="{7068EEE2-3EA5-4CFD-A5B0-BE918E03FC64}"/>
    <cellStyle name="20% - Accent5 2 5 6" xfId="36667" xr:uid="{34D15AD7-DF71-4486-A5AE-35CE88ACCC6B}"/>
    <cellStyle name="20% - Accent5 2 5 7" xfId="10473" xr:uid="{DF7B6B06-04F8-47E5-A6C0-93199C060279}"/>
    <cellStyle name="20% - Accent5 2 6" xfId="1470" xr:uid="{00000000-0005-0000-0000-0000C7020000}"/>
    <cellStyle name="20% - Accent5 2 6 2" xfId="3700" xr:uid="{00000000-0005-0000-0000-0000C8020000}"/>
    <cellStyle name="20% - Accent5 2 6 2 2" xfId="7922" xr:uid="{00000000-0005-0000-0000-0000C9020000}"/>
    <cellStyle name="20% - Accent5 2 6 2 2 2" xfId="26548" xr:uid="{7ED7821D-2D56-4616-B751-90C2F99EC2B5}"/>
    <cellStyle name="20% - Accent5 2 6 2 2 3" xfId="34995" xr:uid="{7AEF48DC-F693-4786-B450-5677034DC04F}"/>
    <cellStyle name="20% - Accent5 2 6 2 2 4" xfId="43442" xr:uid="{29941871-B853-4F62-AA4D-E0923791F5AF}"/>
    <cellStyle name="20% - Accent5 2 6 2 2 5" xfId="17248" xr:uid="{96798E84-5A91-4F0C-B311-ABCE753971FE}"/>
    <cellStyle name="20% - Accent5 2 6 2 3" xfId="22331" xr:uid="{86FDB991-3ECD-45DC-AC4C-1A8EE41174ED}"/>
    <cellStyle name="20% - Accent5 2 6 2 4" xfId="30778" xr:uid="{CE1DC36F-2197-4170-A307-7964BFB2231F}"/>
    <cellStyle name="20% - Accent5 2 6 2 5" xfId="39225" xr:uid="{A1D4D9A6-E1CC-46AE-89D0-67C670F14C42}"/>
    <cellStyle name="20% - Accent5 2 6 2 6" xfId="13031" xr:uid="{A5A7B197-7E1A-403D-9B05-ECBFD9F1AC18}"/>
    <cellStyle name="20% - Accent5 2 6 3" xfId="5777" xr:uid="{00000000-0005-0000-0000-0000CA020000}"/>
    <cellStyle name="20% - Accent5 2 6 3 2" xfId="24403" xr:uid="{C412D7D2-DBCB-4A05-B0BC-C85B8941DF95}"/>
    <cellStyle name="20% - Accent5 2 6 3 3" xfId="32850" xr:uid="{F31874CB-1A8A-475A-AE72-D410DADDD3CC}"/>
    <cellStyle name="20% - Accent5 2 6 3 4" xfId="41297" xr:uid="{AA3B4FE5-5C1B-4067-BC5E-D4872CD668FF}"/>
    <cellStyle name="20% - Accent5 2 6 3 5" xfId="15103" xr:uid="{9463CD4F-0A9A-4FA4-98A0-2A4EE822336C}"/>
    <cellStyle name="20% - Accent5 2 6 4" xfId="20186" xr:uid="{D9097EEA-B4FE-404B-B7EC-24A82D96F862}"/>
    <cellStyle name="20% - Accent5 2 6 5" xfId="28633" xr:uid="{92C731DD-393E-462E-A074-CA9A6C48BB8C}"/>
    <cellStyle name="20% - Accent5 2 6 6" xfId="37080" xr:uid="{57B70B3A-592D-4824-9676-86DFEFCCD53C}"/>
    <cellStyle name="20% - Accent5 2 6 7" xfId="10886" xr:uid="{1DDB6033-822D-4D0E-BD8E-9074705C1BD4}"/>
    <cellStyle name="20% - Accent5 2 7" xfId="1884" xr:uid="{00000000-0005-0000-0000-0000CB020000}"/>
    <cellStyle name="20% - Accent5 2 7 2" xfId="4113" xr:uid="{00000000-0005-0000-0000-0000CC020000}"/>
    <cellStyle name="20% - Accent5 2 7 2 2" xfId="8335" xr:uid="{00000000-0005-0000-0000-0000CD020000}"/>
    <cellStyle name="20% - Accent5 2 7 2 2 2" xfId="26961" xr:uid="{8CF3A8F3-42DE-4990-B59E-2ED465E2A7D7}"/>
    <cellStyle name="20% - Accent5 2 7 2 2 3" xfId="35408" xr:uid="{1F516BDC-0C07-4345-BCE5-47D27E1F81D7}"/>
    <cellStyle name="20% - Accent5 2 7 2 2 4" xfId="43855" xr:uid="{86DAA697-3061-4BE0-9531-E103AB517100}"/>
    <cellStyle name="20% - Accent5 2 7 2 2 5" xfId="17661" xr:uid="{C6C30668-E9BA-45E6-A15D-7EAD6D4571C4}"/>
    <cellStyle name="20% - Accent5 2 7 2 3" xfId="22744" xr:uid="{7FBA8EAE-E5EF-43A8-9A9E-FADF785E454A}"/>
    <cellStyle name="20% - Accent5 2 7 2 4" xfId="31191" xr:uid="{D05B1717-6B94-4886-8697-50EBD67FCC79}"/>
    <cellStyle name="20% - Accent5 2 7 2 5" xfId="39638" xr:uid="{F532D019-6C65-4177-AC79-A4E5A010B9CA}"/>
    <cellStyle name="20% - Accent5 2 7 2 6" xfId="13444" xr:uid="{525D7DB5-84EC-4B0E-A8BB-41A0E3A16B46}"/>
    <cellStyle name="20% - Accent5 2 7 3" xfId="6190" xr:uid="{00000000-0005-0000-0000-0000CE020000}"/>
    <cellStyle name="20% - Accent5 2 7 3 2" xfId="24816" xr:uid="{862EFE02-B009-4D8C-8BEA-614138719AE8}"/>
    <cellStyle name="20% - Accent5 2 7 3 3" xfId="33263" xr:uid="{5A9AEDC2-9324-4E24-80B6-F10B8F83BB83}"/>
    <cellStyle name="20% - Accent5 2 7 3 4" xfId="41710" xr:uid="{ED14FA25-055B-4359-BE53-8BC0A1D5AECC}"/>
    <cellStyle name="20% - Accent5 2 7 3 5" xfId="15516" xr:uid="{4350A5DD-D73A-43E8-A177-C506910C1248}"/>
    <cellStyle name="20% - Accent5 2 7 4" xfId="20599" xr:uid="{29EEAF24-C2B4-4344-8467-C11EF2F56BB3}"/>
    <cellStyle name="20% - Accent5 2 7 5" xfId="29046" xr:uid="{5A265ACD-9AC2-4092-8F84-B3EB2B4FB04A}"/>
    <cellStyle name="20% - Accent5 2 7 6" xfId="37493" xr:uid="{7F6A7867-699F-4DB0-AF5B-89E38D519022}"/>
    <cellStyle name="20% - Accent5 2 7 7" xfId="11299" xr:uid="{EE812A57-E98C-4173-A225-9C6C7EB21E79}"/>
    <cellStyle name="20% - Accent5 2 8" xfId="2297" xr:uid="{00000000-0005-0000-0000-0000CF020000}"/>
    <cellStyle name="20% - Accent5 2 8 2" xfId="6603" xr:uid="{00000000-0005-0000-0000-0000D0020000}"/>
    <cellStyle name="20% - Accent5 2 8 2 2" xfId="25229" xr:uid="{2C0E9731-9309-4528-9D95-D3D5725C4FBC}"/>
    <cellStyle name="20% - Accent5 2 8 2 3" xfId="33676" xr:uid="{E71C6240-3E71-443D-BDF1-19B5D61F2237}"/>
    <cellStyle name="20% - Accent5 2 8 2 4" xfId="42123" xr:uid="{2C3D65C3-A5AB-4182-B681-21205BC8360E}"/>
    <cellStyle name="20% - Accent5 2 8 2 5" xfId="15929" xr:uid="{293989B9-9CF4-4FAA-9EF0-5B2CD57C2234}"/>
    <cellStyle name="20% - Accent5 2 8 3" xfId="21012" xr:uid="{5B998970-452A-4377-A1CA-FC56A86CD24B}"/>
    <cellStyle name="20% - Accent5 2 8 4" xfId="29459" xr:uid="{0C86FF02-CE28-427D-8D9F-42E9AB57CC2B}"/>
    <cellStyle name="20% - Accent5 2 8 5" xfId="37906" xr:uid="{ED9B5B17-2F25-4DD7-8C18-D29F6247AC4D}"/>
    <cellStyle name="20% - Accent5 2 8 6" xfId="11712" xr:uid="{848E5C1D-C74E-42E4-9587-F71FB31CAF2C}"/>
    <cellStyle name="20% - Accent5 2 9" xfId="4537" xr:uid="{00000000-0005-0000-0000-0000D1020000}"/>
    <cellStyle name="20% - Accent5 2 9 2" xfId="23163" xr:uid="{D5B0B2E4-33D3-4541-9C8F-DD225B51AEFF}"/>
    <cellStyle name="20% - Accent5 2 9 3" xfId="31610" xr:uid="{DC5CE88A-EC6D-4723-B2B3-6E74DD34B781}"/>
    <cellStyle name="20% - Accent5 2 9 4" xfId="40057" xr:uid="{24370BE6-484E-48BC-B1DA-3B0252EADB01}"/>
    <cellStyle name="20% - Accent5 2 9 5" xfId="13863" xr:uid="{6697F276-F6C2-4FF1-97FC-EB8E6E66849A}"/>
    <cellStyle name="20% - Accent5 3" xfId="38" xr:uid="{00000000-0005-0000-0000-0000D2020000}"/>
    <cellStyle name="20% - Accent5 3 10" xfId="18950" xr:uid="{9CAB6666-F2F0-430D-B04F-D69708B7C767}"/>
    <cellStyle name="20% - Accent5 3 11" xfId="27397" xr:uid="{FB78CED3-58B7-4DE3-9F3B-A1FADB920411}"/>
    <cellStyle name="20% - Accent5 3 12" xfId="35844" xr:uid="{E9A02141-2AD6-4AB1-9E19-297B40474E49}"/>
    <cellStyle name="20% - Accent5 3 13" xfId="9650" xr:uid="{77DF86E6-16F5-4E98-B28E-189FCF927CEC}"/>
    <cellStyle name="20% - Accent5 3 2" xfId="39" xr:uid="{00000000-0005-0000-0000-0000D3020000}"/>
    <cellStyle name="20% - Accent5 3 2 10" xfId="27398" xr:uid="{6E3E9870-36A6-44A6-9B45-C3F1E440AB9D}"/>
    <cellStyle name="20% - Accent5 3 2 11" xfId="35845" xr:uid="{D6EAEAF7-0348-4988-BE81-A4E31D098782}"/>
    <cellStyle name="20% - Accent5 3 2 12" xfId="9651" xr:uid="{F911DD40-E424-4917-BB71-40DE058AA85F}"/>
    <cellStyle name="20% - Accent5 3 2 2" xfId="608" xr:uid="{00000000-0005-0000-0000-0000D4020000}"/>
    <cellStyle name="20% - Accent5 3 2 2 2" xfId="2879" xr:uid="{00000000-0005-0000-0000-0000D5020000}"/>
    <cellStyle name="20% - Accent5 3 2 2 2 2" xfId="7101" xr:uid="{00000000-0005-0000-0000-0000D6020000}"/>
    <cellStyle name="20% - Accent5 3 2 2 2 2 2" xfId="25727" xr:uid="{134A6DB7-277E-45BB-8733-8D8A094F1116}"/>
    <cellStyle name="20% - Accent5 3 2 2 2 2 3" xfId="34174" xr:uid="{1603E788-D8F0-4BF2-8DF3-6063FF31E91C}"/>
    <cellStyle name="20% - Accent5 3 2 2 2 2 4" xfId="42621" xr:uid="{B45E5934-EE6F-4D25-82D7-11D013AFA56B}"/>
    <cellStyle name="20% - Accent5 3 2 2 2 2 5" xfId="16427" xr:uid="{B22A48FF-9308-48C0-B0C5-29CEB7EED977}"/>
    <cellStyle name="20% - Accent5 3 2 2 2 3" xfId="21510" xr:uid="{B54A3551-3E55-4ED6-8F3E-30FFF19802DB}"/>
    <cellStyle name="20% - Accent5 3 2 2 2 4" xfId="29957" xr:uid="{EA9ADA0E-DC6A-4A2A-B72C-3F1CF6B2BA49}"/>
    <cellStyle name="20% - Accent5 3 2 2 2 5" xfId="38404" xr:uid="{E21231E5-5136-4023-B5BB-568B1BD1387C}"/>
    <cellStyle name="20% - Accent5 3 2 2 2 6" xfId="12210" xr:uid="{4BDACDC5-5DB0-4917-826F-E50022C5E73B}"/>
    <cellStyle name="20% - Accent5 3 2 2 3" xfId="4956" xr:uid="{00000000-0005-0000-0000-0000D7020000}"/>
    <cellStyle name="20% - Accent5 3 2 2 3 2" xfId="23582" xr:uid="{78D32D75-5B0B-4067-B489-41D88B6EE37E}"/>
    <cellStyle name="20% - Accent5 3 2 2 3 3" xfId="32029" xr:uid="{DBE52A0A-0D20-47A8-82D3-E3918A043A07}"/>
    <cellStyle name="20% - Accent5 3 2 2 3 4" xfId="40476" xr:uid="{5CE34F67-0EE0-499F-BE24-B79173B1541A}"/>
    <cellStyle name="20% - Accent5 3 2 2 3 5" xfId="14282" xr:uid="{F67EE1F3-BE06-4E1D-96EC-38FD40389300}"/>
    <cellStyle name="20% - Accent5 3 2 2 4" xfId="9501" xr:uid="{82A590A5-96D4-476E-8E6F-D81EEE08C409}"/>
    <cellStyle name="20% - Accent5 3 2 2 4 2" xfId="18817" xr:uid="{C498A30B-1F00-46AE-B861-C6BF3BA5E68B}"/>
    <cellStyle name="20% - Accent5 3 2 2 5" xfId="19365" xr:uid="{8C01A240-0D26-4384-83ED-6B44C9EAC15B}"/>
    <cellStyle name="20% - Accent5 3 2 2 6" xfId="27812" xr:uid="{F7F96768-4CBB-4A2F-9927-101E1281FDBD}"/>
    <cellStyle name="20% - Accent5 3 2 2 7" xfId="36259" xr:uid="{EB3B76C4-BF9C-4591-9802-06DE5D30B3CE}"/>
    <cellStyle name="20% - Accent5 3 2 2 8" xfId="10065" xr:uid="{25760827-2406-41B8-BD04-4E4FAFBDD2E0}"/>
    <cellStyle name="20% - Accent5 3 2 3" xfId="1061" xr:uid="{00000000-0005-0000-0000-0000D8020000}"/>
    <cellStyle name="20% - Accent5 3 2 3 2" xfId="3292" xr:uid="{00000000-0005-0000-0000-0000D9020000}"/>
    <cellStyle name="20% - Accent5 3 2 3 2 2" xfId="7514" xr:uid="{00000000-0005-0000-0000-0000DA020000}"/>
    <cellStyle name="20% - Accent5 3 2 3 2 2 2" xfId="26140" xr:uid="{68EDF6F5-F56D-40E9-8C16-493E99BFA90D}"/>
    <cellStyle name="20% - Accent5 3 2 3 2 2 3" xfId="34587" xr:uid="{5F04911C-E673-4E58-803A-B8A329C66EEC}"/>
    <cellStyle name="20% - Accent5 3 2 3 2 2 4" xfId="43034" xr:uid="{2C8CDA2C-F137-4F29-B221-382CB2904BA7}"/>
    <cellStyle name="20% - Accent5 3 2 3 2 2 5" xfId="16840" xr:uid="{0C7C210F-AB7D-4D45-BDB7-1ED90F232BA3}"/>
    <cellStyle name="20% - Accent5 3 2 3 2 3" xfId="21923" xr:uid="{F0C99D46-5A9D-4F4E-BF16-87578F7D6B7E}"/>
    <cellStyle name="20% - Accent5 3 2 3 2 4" xfId="30370" xr:uid="{70EECE6E-BE1A-4E73-B77A-E39D05E94E9A}"/>
    <cellStyle name="20% - Accent5 3 2 3 2 5" xfId="38817" xr:uid="{81D36844-7F31-4088-9D06-2A29A29B638C}"/>
    <cellStyle name="20% - Accent5 3 2 3 2 6" xfId="12623" xr:uid="{8412A0D3-8727-4B5D-83EB-F69DA42C8311}"/>
    <cellStyle name="20% - Accent5 3 2 3 3" xfId="5369" xr:uid="{00000000-0005-0000-0000-0000DB020000}"/>
    <cellStyle name="20% - Accent5 3 2 3 3 2" xfId="23995" xr:uid="{1DA35FA5-FC44-47E4-B342-C1D1594E39FA}"/>
    <cellStyle name="20% - Accent5 3 2 3 3 3" xfId="32442" xr:uid="{9D2BC618-DA3D-4085-9630-6FA128E291D0}"/>
    <cellStyle name="20% - Accent5 3 2 3 3 4" xfId="40889" xr:uid="{E5067FE3-3495-47C6-831F-748C02765ED2}"/>
    <cellStyle name="20% - Accent5 3 2 3 3 5" xfId="14695" xr:uid="{9C993D2C-7659-440A-88A5-9D55C8495636}"/>
    <cellStyle name="20% - Accent5 3 2 3 4" xfId="19778" xr:uid="{F49C8A64-4B20-441D-BF8B-26685B157B3A}"/>
    <cellStyle name="20% - Accent5 3 2 3 5" xfId="28225" xr:uid="{1F8C026D-CF8A-4EE8-B10F-78FD616E5D9F}"/>
    <cellStyle name="20% - Accent5 3 2 3 6" xfId="36672" xr:uid="{510277E4-1C51-4E85-8473-FB69087A4EE9}"/>
    <cellStyle name="20% - Accent5 3 2 3 7" xfId="10478" xr:uid="{D4D5B224-BC00-4855-B8A0-4B8B88361579}"/>
    <cellStyle name="20% - Accent5 3 2 4" xfId="1475" xr:uid="{00000000-0005-0000-0000-0000DC020000}"/>
    <cellStyle name="20% - Accent5 3 2 4 2" xfId="3705" xr:uid="{00000000-0005-0000-0000-0000DD020000}"/>
    <cellStyle name="20% - Accent5 3 2 4 2 2" xfId="7927" xr:uid="{00000000-0005-0000-0000-0000DE020000}"/>
    <cellStyle name="20% - Accent5 3 2 4 2 2 2" xfId="26553" xr:uid="{B8F2B4B6-6A8F-4AB2-BEEC-169513F17176}"/>
    <cellStyle name="20% - Accent5 3 2 4 2 2 3" xfId="35000" xr:uid="{1AF64E51-BBF5-47CC-92DA-2098E4522F8A}"/>
    <cellStyle name="20% - Accent5 3 2 4 2 2 4" xfId="43447" xr:uid="{DC23C370-2931-465E-88A6-637128CFA814}"/>
    <cellStyle name="20% - Accent5 3 2 4 2 2 5" xfId="17253" xr:uid="{081C2B30-CFF1-46CE-B24F-F3C8C876C8C8}"/>
    <cellStyle name="20% - Accent5 3 2 4 2 3" xfId="22336" xr:uid="{86EE6999-9D86-4566-9A26-E91000490378}"/>
    <cellStyle name="20% - Accent5 3 2 4 2 4" xfId="30783" xr:uid="{FC337D3B-7FEA-4F9B-8546-B62DDA892786}"/>
    <cellStyle name="20% - Accent5 3 2 4 2 5" xfId="39230" xr:uid="{208F5583-3D1F-455D-AC1F-2809624050AC}"/>
    <cellStyle name="20% - Accent5 3 2 4 2 6" xfId="13036" xr:uid="{FDA27D8B-6E5C-438F-895F-F1240B968E2B}"/>
    <cellStyle name="20% - Accent5 3 2 4 3" xfId="5782" xr:uid="{00000000-0005-0000-0000-0000DF020000}"/>
    <cellStyle name="20% - Accent5 3 2 4 3 2" xfId="24408" xr:uid="{7AC56A33-397F-4AB8-9BF9-842BA07CC190}"/>
    <cellStyle name="20% - Accent5 3 2 4 3 3" xfId="32855" xr:uid="{6EC7B628-9CF0-4BFF-B733-F1BAD0D0A563}"/>
    <cellStyle name="20% - Accent5 3 2 4 3 4" xfId="41302" xr:uid="{8E525165-938D-497F-81C0-88F9747EA529}"/>
    <cellStyle name="20% - Accent5 3 2 4 3 5" xfId="15108" xr:uid="{6599F222-676C-44B8-8C6F-A78AF473D7C4}"/>
    <cellStyle name="20% - Accent5 3 2 4 4" xfId="20191" xr:uid="{F0EEDA0A-ACE7-4418-A5D8-9A542621398A}"/>
    <cellStyle name="20% - Accent5 3 2 4 5" xfId="28638" xr:uid="{3C2FC89F-4618-4B2D-87B2-E38C07DE2A63}"/>
    <cellStyle name="20% - Accent5 3 2 4 6" xfId="37085" xr:uid="{208F01B8-F560-4553-9A6F-5B63DB113858}"/>
    <cellStyle name="20% - Accent5 3 2 4 7" xfId="10891" xr:uid="{760313D1-2E22-4FF7-8D83-A724020C8376}"/>
    <cellStyle name="20% - Accent5 3 2 5" xfId="1889" xr:uid="{00000000-0005-0000-0000-0000E0020000}"/>
    <cellStyle name="20% - Accent5 3 2 5 2" xfId="4118" xr:uid="{00000000-0005-0000-0000-0000E1020000}"/>
    <cellStyle name="20% - Accent5 3 2 5 2 2" xfId="8340" xr:uid="{00000000-0005-0000-0000-0000E2020000}"/>
    <cellStyle name="20% - Accent5 3 2 5 2 2 2" xfId="26966" xr:uid="{D7CAE4EB-CD93-41DB-BB88-E87A15577F20}"/>
    <cellStyle name="20% - Accent5 3 2 5 2 2 3" xfId="35413" xr:uid="{D859D1D5-EA31-4125-838C-6B5D47D5076D}"/>
    <cellStyle name="20% - Accent5 3 2 5 2 2 4" xfId="43860" xr:uid="{27E3D40F-6182-417A-83EB-4F00CF1A6792}"/>
    <cellStyle name="20% - Accent5 3 2 5 2 2 5" xfId="17666" xr:uid="{0FFC3F62-3127-4A18-9236-FB292F24A6EE}"/>
    <cellStyle name="20% - Accent5 3 2 5 2 3" xfId="22749" xr:uid="{D6802CA0-1B2C-4F63-831F-4A90A305487E}"/>
    <cellStyle name="20% - Accent5 3 2 5 2 4" xfId="31196" xr:uid="{595C1460-B9DE-4B37-AA54-421F622E3DE2}"/>
    <cellStyle name="20% - Accent5 3 2 5 2 5" xfId="39643" xr:uid="{21F977F1-244A-48E2-BF4D-0DA8222C7929}"/>
    <cellStyle name="20% - Accent5 3 2 5 2 6" xfId="13449" xr:uid="{B69E57E7-E7A6-4888-A0FD-8CC05159DDA5}"/>
    <cellStyle name="20% - Accent5 3 2 5 3" xfId="6195" xr:uid="{00000000-0005-0000-0000-0000E3020000}"/>
    <cellStyle name="20% - Accent5 3 2 5 3 2" xfId="24821" xr:uid="{982866A0-5079-44BA-A5CB-A70886D54298}"/>
    <cellStyle name="20% - Accent5 3 2 5 3 3" xfId="33268" xr:uid="{BEC65209-ADB8-44EF-AB31-9A5773133367}"/>
    <cellStyle name="20% - Accent5 3 2 5 3 4" xfId="41715" xr:uid="{55194AF6-9765-4E53-A6AC-4BA01A321AFF}"/>
    <cellStyle name="20% - Accent5 3 2 5 3 5" xfId="15521" xr:uid="{8E77D9E1-F715-4764-8F66-1EB0430BCF68}"/>
    <cellStyle name="20% - Accent5 3 2 5 4" xfId="20604" xr:uid="{A3D0A305-7C1C-4D1C-83EE-584AAC711144}"/>
    <cellStyle name="20% - Accent5 3 2 5 5" xfId="29051" xr:uid="{2FC94AD6-A766-4F7B-B0CA-F51921F0126F}"/>
    <cellStyle name="20% - Accent5 3 2 5 6" xfId="37498" xr:uid="{5FF6EC4A-F950-442C-94EB-1356ECF8B84A}"/>
    <cellStyle name="20% - Accent5 3 2 5 7" xfId="11304" xr:uid="{26679795-6472-46DA-9EE4-FF5D9E0CAB53}"/>
    <cellStyle name="20% - Accent5 3 2 6" xfId="2302" xr:uid="{00000000-0005-0000-0000-0000E4020000}"/>
    <cellStyle name="20% - Accent5 3 2 6 2" xfId="6608" xr:uid="{00000000-0005-0000-0000-0000E5020000}"/>
    <cellStyle name="20% - Accent5 3 2 6 2 2" xfId="25234" xr:uid="{76A52E77-36CB-4973-AB85-C9460E640ED7}"/>
    <cellStyle name="20% - Accent5 3 2 6 2 3" xfId="33681" xr:uid="{FC633EEC-C21E-4C41-A982-CEEB931F2F60}"/>
    <cellStyle name="20% - Accent5 3 2 6 2 4" xfId="42128" xr:uid="{FD264FB5-AED0-43FD-B99A-2938CAF8B85E}"/>
    <cellStyle name="20% - Accent5 3 2 6 2 5" xfId="15934" xr:uid="{D671716A-5B74-4259-9FE6-970A919002C9}"/>
    <cellStyle name="20% - Accent5 3 2 6 3" xfId="21017" xr:uid="{C1261CA2-DAFE-4CDD-987F-68596D7F56DB}"/>
    <cellStyle name="20% - Accent5 3 2 6 4" xfId="29464" xr:uid="{83F56CF3-AF2B-4960-8E67-B003503EE648}"/>
    <cellStyle name="20% - Accent5 3 2 6 5" xfId="37911" xr:uid="{91B9B900-76A3-4840-AF65-11046579DBD1}"/>
    <cellStyle name="20% - Accent5 3 2 6 6" xfId="11717" xr:uid="{914DFEFD-4DB2-4E8C-A4EE-57BAEF59A4DA}"/>
    <cellStyle name="20% - Accent5 3 2 7" xfId="4542" xr:uid="{00000000-0005-0000-0000-0000E6020000}"/>
    <cellStyle name="20% - Accent5 3 2 7 2" xfId="23168" xr:uid="{33D535F5-B78D-459C-82A1-41A88CC972C2}"/>
    <cellStyle name="20% - Accent5 3 2 7 3" xfId="31615" xr:uid="{B743C3F4-7083-45B1-9684-02C8CEE55A16}"/>
    <cellStyle name="20% - Accent5 3 2 7 4" xfId="40062" xr:uid="{53EF3A35-89E5-4C5B-A2DD-85DBB4FD971B}"/>
    <cellStyle name="20% - Accent5 3 2 7 5" xfId="13868" xr:uid="{F6436F5B-7843-41C3-BA47-20DB23F3AC3F}"/>
    <cellStyle name="20% - Accent5 3 2 8" xfId="9076" xr:uid="{BEDF1D01-35A3-4513-9363-9C1AFC748168}"/>
    <cellStyle name="20% - Accent5 3 2 8 2" xfId="18400" xr:uid="{2635B9AD-DAD8-4A2D-8B86-8DE2CABC245E}"/>
    <cellStyle name="20% - Accent5 3 2 9" xfId="18951" xr:uid="{1D7D0B91-6C85-4217-8A15-46A98310C36D}"/>
    <cellStyle name="20% - Accent5 3 3" xfId="607" xr:uid="{00000000-0005-0000-0000-0000E7020000}"/>
    <cellStyle name="20% - Accent5 3 3 2" xfId="2878" xr:uid="{00000000-0005-0000-0000-0000E8020000}"/>
    <cellStyle name="20% - Accent5 3 3 2 2" xfId="7100" xr:uid="{00000000-0005-0000-0000-0000E9020000}"/>
    <cellStyle name="20% - Accent5 3 3 2 2 2" xfId="25726" xr:uid="{192BD8FA-1F17-4580-A3B0-8703C06823DB}"/>
    <cellStyle name="20% - Accent5 3 3 2 2 3" xfId="34173" xr:uid="{69808084-A808-48FB-9D2D-06650ED0067A}"/>
    <cellStyle name="20% - Accent5 3 3 2 2 4" xfId="42620" xr:uid="{5704984E-CDF5-4FC1-95B2-0116CDEB6A96}"/>
    <cellStyle name="20% - Accent5 3 3 2 2 5" xfId="16426" xr:uid="{E4F77103-C0AC-4336-9460-9840DD77EE47}"/>
    <cellStyle name="20% - Accent5 3 3 2 3" xfId="21509" xr:uid="{29CC5E87-392D-4C95-991B-2C39A3F0AE6C}"/>
    <cellStyle name="20% - Accent5 3 3 2 4" xfId="29956" xr:uid="{805A2FDC-AE21-46C7-A350-EAE54E82F7A5}"/>
    <cellStyle name="20% - Accent5 3 3 2 5" xfId="38403" xr:uid="{D7263DFF-5782-462B-A461-C9BD94D62C54}"/>
    <cellStyle name="20% - Accent5 3 3 2 6" xfId="12209" xr:uid="{FEA29B23-2252-4DF8-8B2A-15682A056E0D}"/>
    <cellStyle name="20% - Accent5 3 3 3" xfId="4955" xr:uid="{00000000-0005-0000-0000-0000EA020000}"/>
    <cellStyle name="20% - Accent5 3 3 3 2" xfId="23581" xr:uid="{9E21A701-2EC3-4A89-BF17-1E22072BA329}"/>
    <cellStyle name="20% - Accent5 3 3 3 3" xfId="32028" xr:uid="{0D49BECC-ADCC-474B-AE6A-0931AF07F570}"/>
    <cellStyle name="20% - Accent5 3 3 3 4" xfId="40475" xr:uid="{A2627C82-6E75-4DCC-9735-A7ADBEC681F3}"/>
    <cellStyle name="20% - Accent5 3 3 3 5" xfId="14281" xr:uid="{C1F66533-6798-425E-8D65-5F09110D7321}"/>
    <cellStyle name="20% - Accent5 3 3 4" xfId="9294" xr:uid="{124960EA-C7A4-4686-BF67-47D6C57F7EEB}"/>
    <cellStyle name="20% - Accent5 3 3 4 2" xfId="18610" xr:uid="{F075CBB7-93DC-438A-91EC-605D75595E35}"/>
    <cellStyle name="20% - Accent5 3 3 5" xfId="19364" xr:uid="{EB671CB6-5B24-4A4D-9BC4-E2B92091E752}"/>
    <cellStyle name="20% - Accent5 3 3 6" xfId="27811" xr:uid="{840D643E-ECB7-49A2-824C-AD93B292695F}"/>
    <cellStyle name="20% - Accent5 3 3 7" xfId="36258" xr:uid="{B1EF9B5B-025F-4453-A5A2-983CA167533B}"/>
    <cellStyle name="20% - Accent5 3 3 8" xfId="10064" xr:uid="{67F17926-9798-416A-9F42-A712E57D497B}"/>
    <cellStyle name="20% - Accent5 3 4" xfId="1060" xr:uid="{00000000-0005-0000-0000-0000EB020000}"/>
    <cellStyle name="20% - Accent5 3 4 2" xfId="3291" xr:uid="{00000000-0005-0000-0000-0000EC020000}"/>
    <cellStyle name="20% - Accent5 3 4 2 2" xfId="7513" xr:uid="{00000000-0005-0000-0000-0000ED020000}"/>
    <cellStyle name="20% - Accent5 3 4 2 2 2" xfId="26139" xr:uid="{1265653E-4A68-4101-8D6C-66CB724FAD2E}"/>
    <cellStyle name="20% - Accent5 3 4 2 2 3" xfId="34586" xr:uid="{820289AB-CE54-419C-8D58-2BF5BC066928}"/>
    <cellStyle name="20% - Accent5 3 4 2 2 4" xfId="43033" xr:uid="{E4285D08-B02C-4C4A-A5FB-88100AE797BE}"/>
    <cellStyle name="20% - Accent5 3 4 2 2 5" xfId="16839" xr:uid="{A2F0CDE5-66B4-4A57-B65F-512BF17384E3}"/>
    <cellStyle name="20% - Accent5 3 4 2 3" xfId="21922" xr:uid="{41B77421-D276-444E-89AA-483466019B9B}"/>
    <cellStyle name="20% - Accent5 3 4 2 4" xfId="30369" xr:uid="{6E1E1C48-26BF-4B41-87E6-36EE6A4CAE26}"/>
    <cellStyle name="20% - Accent5 3 4 2 5" xfId="38816" xr:uid="{9D5D0502-C166-4D3A-AEA7-65A26E9DBDB0}"/>
    <cellStyle name="20% - Accent5 3 4 2 6" xfId="12622" xr:uid="{BD723FC4-CAF9-4D48-AB1E-01A1906FAB3D}"/>
    <cellStyle name="20% - Accent5 3 4 3" xfId="5368" xr:uid="{00000000-0005-0000-0000-0000EE020000}"/>
    <cellStyle name="20% - Accent5 3 4 3 2" xfId="23994" xr:uid="{7175ECCE-F20A-41C5-A9C3-683027979A43}"/>
    <cellStyle name="20% - Accent5 3 4 3 3" xfId="32441" xr:uid="{FA61892F-63A3-4EF9-8C2B-03F2E69E11A0}"/>
    <cellStyle name="20% - Accent5 3 4 3 4" xfId="40888" xr:uid="{04874F95-C3A8-4AB0-85F6-34EF51354711}"/>
    <cellStyle name="20% - Accent5 3 4 3 5" xfId="14694" xr:uid="{32ECF58A-AE7C-44B3-9D3A-CF2E0D790B4E}"/>
    <cellStyle name="20% - Accent5 3 4 4" xfId="19777" xr:uid="{67AD734E-94C6-4367-946D-8AAA98B578CE}"/>
    <cellStyle name="20% - Accent5 3 4 5" xfId="28224" xr:uid="{99A33B51-D31C-47CF-A43A-81B4D991BAF5}"/>
    <cellStyle name="20% - Accent5 3 4 6" xfId="36671" xr:uid="{C4D02939-CB26-432B-A8CF-45E7E033C92E}"/>
    <cellStyle name="20% - Accent5 3 4 7" xfId="10477" xr:uid="{DDF77721-AFFF-4B34-ADA5-01A93A1FF6C6}"/>
    <cellStyle name="20% - Accent5 3 5" xfId="1474" xr:uid="{00000000-0005-0000-0000-0000EF020000}"/>
    <cellStyle name="20% - Accent5 3 5 2" xfId="3704" xr:uid="{00000000-0005-0000-0000-0000F0020000}"/>
    <cellStyle name="20% - Accent5 3 5 2 2" xfId="7926" xr:uid="{00000000-0005-0000-0000-0000F1020000}"/>
    <cellStyle name="20% - Accent5 3 5 2 2 2" xfId="26552" xr:uid="{83C10834-3D87-4A30-83A2-E9613AF5989D}"/>
    <cellStyle name="20% - Accent5 3 5 2 2 3" xfId="34999" xr:uid="{738867D5-E9C9-4172-86DE-C234E1D9B513}"/>
    <cellStyle name="20% - Accent5 3 5 2 2 4" xfId="43446" xr:uid="{2682A732-07EB-42F7-9546-BB7E0F9A94A0}"/>
    <cellStyle name="20% - Accent5 3 5 2 2 5" xfId="17252" xr:uid="{8637E65A-4DA0-4BC6-B88A-1B16EFDD69BF}"/>
    <cellStyle name="20% - Accent5 3 5 2 3" xfId="22335" xr:uid="{EC63BF5A-E581-4C73-A133-0FFFF0513CC2}"/>
    <cellStyle name="20% - Accent5 3 5 2 4" xfId="30782" xr:uid="{D6A68B31-E60C-4DC5-A5BE-37454C2FE1B8}"/>
    <cellStyle name="20% - Accent5 3 5 2 5" xfId="39229" xr:uid="{66185E0E-EB57-4FA6-A9D4-01077FE325BD}"/>
    <cellStyle name="20% - Accent5 3 5 2 6" xfId="13035" xr:uid="{0970CA65-391B-4A2A-A146-0576D8069D1C}"/>
    <cellStyle name="20% - Accent5 3 5 3" xfId="5781" xr:uid="{00000000-0005-0000-0000-0000F2020000}"/>
    <cellStyle name="20% - Accent5 3 5 3 2" xfId="24407" xr:uid="{030692EE-52A8-45A3-ACB0-252F821F9264}"/>
    <cellStyle name="20% - Accent5 3 5 3 3" xfId="32854" xr:uid="{95F438B1-9914-42C5-917F-11180E9837EE}"/>
    <cellStyle name="20% - Accent5 3 5 3 4" xfId="41301" xr:uid="{0425A9F8-0305-45F1-AC6A-9D0989F7D9E8}"/>
    <cellStyle name="20% - Accent5 3 5 3 5" xfId="15107" xr:uid="{87E08C8F-4DA0-44AF-9C1F-785C37013DBE}"/>
    <cellStyle name="20% - Accent5 3 5 4" xfId="20190" xr:uid="{BBAEF52D-6F12-49F1-B5A6-3A056EED2E53}"/>
    <cellStyle name="20% - Accent5 3 5 5" xfId="28637" xr:uid="{304FD074-87EF-446D-80CB-801E3FBA553F}"/>
    <cellStyle name="20% - Accent5 3 5 6" xfId="37084" xr:uid="{3634112F-A156-4EF8-A054-951D2944ADBA}"/>
    <cellStyle name="20% - Accent5 3 5 7" xfId="10890" xr:uid="{FEE8D1F2-063F-4616-BF26-EBAA09175DFA}"/>
    <cellStyle name="20% - Accent5 3 6" xfId="1888" xr:uid="{00000000-0005-0000-0000-0000F3020000}"/>
    <cellStyle name="20% - Accent5 3 6 2" xfId="4117" xr:uid="{00000000-0005-0000-0000-0000F4020000}"/>
    <cellStyle name="20% - Accent5 3 6 2 2" xfId="8339" xr:uid="{00000000-0005-0000-0000-0000F5020000}"/>
    <cellStyle name="20% - Accent5 3 6 2 2 2" xfId="26965" xr:uid="{2F405C6B-95C5-418D-A147-155D2216469B}"/>
    <cellStyle name="20% - Accent5 3 6 2 2 3" xfId="35412" xr:uid="{D58F516A-91D0-4631-B2C4-20A6AF7EED18}"/>
    <cellStyle name="20% - Accent5 3 6 2 2 4" xfId="43859" xr:uid="{37E5D73D-05F9-454D-8F25-98FBA59F7C33}"/>
    <cellStyle name="20% - Accent5 3 6 2 2 5" xfId="17665" xr:uid="{5EFB8DED-02C4-4F17-9112-A1FF1E3777BF}"/>
    <cellStyle name="20% - Accent5 3 6 2 3" xfId="22748" xr:uid="{F030C254-0561-4BCB-A828-C9B79704AE73}"/>
    <cellStyle name="20% - Accent5 3 6 2 4" xfId="31195" xr:uid="{75812284-16B9-45D2-885F-283E7DD627A0}"/>
    <cellStyle name="20% - Accent5 3 6 2 5" xfId="39642" xr:uid="{0841B117-B478-4729-867D-F7EF05A5A876}"/>
    <cellStyle name="20% - Accent5 3 6 2 6" xfId="13448" xr:uid="{098EC482-6EE4-4A52-9920-FAD9EBF0E06F}"/>
    <cellStyle name="20% - Accent5 3 6 3" xfId="6194" xr:uid="{00000000-0005-0000-0000-0000F6020000}"/>
    <cellStyle name="20% - Accent5 3 6 3 2" xfId="24820" xr:uid="{147CF1A8-62E4-4E28-A356-CC727958E452}"/>
    <cellStyle name="20% - Accent5 3 6 3 3" xfId="33267" xr:uid="{0495F88B-4831-4C5C-8A4C-16CB141E5C02}"/>
    <cellStyle name="20% - Accent5 3 6 3 4" xfId="41714" xr:uid="{A14D861B-65F0-4D27-9D83-ABD83232EE08}"/>
    <cellStyle name="20% - Accent5 3 6 3 5" xfId="15520" xr:uid="{C766D016-50EB-4E8B-B21A-4CA77462B628}"/>
    <cellStyle name="20% - Accent5 3 6 4" xfId="20603" xr:uid="{C36E19A3-0AB2-4B02-9EE3-24798918B6DE}"/>
    <cellStyle name="20% - Accent5 3 6 5" xfId="29050" xr:uid="{AFC8988E-BA19-4D66-A06F-7EC83BBE0E96}"/>
    <cellStyle name="20% - Accent5 3 6 6" xfId="37497" xr:uid="{EC21BD21-4F50-4FE3-9851-F66376F03EA9}"/>
    <cellStyle name="20% - Accent5 3 6 7" xfId="11303" xr:uid="{3D331640-A8B4-42CA-A08B-D07B92266D70}"/>
    <cellStyle name="20% - Accent5 3 7" xfId="2301" xr:uid="{00000000-0005-0000-0000-0000F7020000}"/>
    <cellStyle name="20% - Accent5 3 7 2" xfId="6607" xr:uid="{00000000-0005-0000-0000-0000F8020000}"/>
    <cellStyle name="20% - Accent5 3 7 2 2" xfId="25233" xr:uid="{5797E06E-6FAF-4851-8CBD-2210889981ED}"/>
    <cellStyle name="20% - Accent5 3 7 2 3" xfId="33680" xr:uid="{CEA8F8EF-3D9C-45D5-8FD3-8A5AA19A4227}"/>
    <cellStyle name="20% - Accent5 3 7 2 4" xfId="42127" xr:uid="{02F29191-0697-420D-85C6-A6B646999CC2}"/>
    <cellStyle name="20% - Accent5 3 7 2 5" xfId="15933" xr:uid="{41FAB3F3-3B1D-4FC6-9BBE-DF1FF1E3A5A0}"/>
    <cellStyle name="20% - Accent5 3 7 3" xfId="21016" xr:uid="{DD3EADBD-32E5-4DCC-8D22-C87D39CDE4A4}"/>
    <cellStyle name="20% - Accent5 3 7 4" xfId="29463" xr:uid="{D27263FE-B6E7-48AD-8CC9-A9DE8D72A39E}"/>
    <cellStyle name="20% - Accent5 3 7 5" xfId="37910" xr:uid="{A2B953F0-B0FC-4585-94EA-D73FB15896BF}"/>
    <cellStyle name="20% - Accent5 3 7 6" xfId="11716" xr:uid="{B057171A-44BD-4117-B1A8-C203D4DEADE6}"/>
    <cellStyle name="20% - Accent5 3 8" xfId="4541" xr:uid="{00000000-0005-0000-0000-0000F9020000}"/>
    <cellStyle name="20% - Accent5 3 8 2" xfId="23167" xr:uid="{821C30E7-556B-4FB7-BE05-C2549F2E7E99}"/>
    <cellStyle name="20% - Accent5 3 8 3" xfId="31614" xr:uid="{0F487914-0052-4FEE-A2B1-D621F758336D}"/>
    <cellStyle name="20% - Accent5 3 8 4" xfId="40061" xr:uid="{34DE5A38-E025-4B4E-816F-98DCD15A2EB9}"/>
    <cellStyle name="20% - Accent5 3 8 5" xfId="13867" xr:uid="{24DB2757-A5E1-4E35-8310-2036767D5C16}"/>
    <cellStyle name="20% - Accent5 3 9" xfId="8869" xr:uid="{43CC8A87-AEEB-4E51-98E7-F8AE8D86AD2B}"/>
    <cellStyle name="20% - Accent5 3 9 2" xfId="18193" xr:uid="{83A552B3-E0AD-46F1-8429-B11CC344B68C}"/>
    <cellStyle name="20% - Accent5 4" xfId="40" xr:uid="{00000000-0005-0000-0000-0000FA020000}"/>
    <cellStyle name="20% - Accent5 4 10" xfId="27399" xr:uid="{9454360B-1A79-4662-88C5-70C5A30A7C93}"/>
    <cellStyle name="20% - Accent5 4 11" xfId="35846" xr:uid="{FF889371-2286-4987-92DC-F22DC7EC21C1}"/>
    <cellStyle name="20% - Accent5 4 12" xfId="9652" xr:uid="{EF45F63E-8405-4EC4-A0CA-E662D59F1E92}"/>
    <cellStyle name="20% - Accent5 4 2" xfId="609" xr:uid="{00000000-0005-0000-0000-0000FB020000}"/>
    <cellStyle name="20% - Accent5 4 2 2" xfId="2880" xr:uid="{00000000-0005-0000-0000-0000FC020000}"/>
    <cellStyle name="20% - Accent5 4 2 2 2" xfId="7102" xr:uid="{00000000-0005-0000-0000-0000FD020000}"/>
    <cellStyle name="20% - Accent5 4 2 2 2 2" xfId="25728" xr:uid="{9CE29028-FB6D-4EF6-AE50-69051F3579EA}"/>
    <cellStyle name="20% - Accent5 4 2 2 2 3" xfId="34175" xr:uid="{C6BAF84D-D621-41B8-B431-4768E789E6E3}"/>
    <cellStyle name="20% - Accent5 4 2 2 2 4" xfId="42622" xr:uid="{CCF6A21F-3F3E-433A-8023-DED3D320A6B9}"/>
    <cellStyle name="20% - Accent5 4 2 2 2 5" xfId="16428" xr:uid="{2D5C89AB-2353-4851-96C9-B08E84E2F3AE}"/>
    <cellStyle name="20% - Accent5 4 2 2 3" xfId="21511" xr:uid="{C2727024-9C11-4925-AC24-B587FB69487F}"/>
    <cellStyle name="20% - Accent5 4 2 2 4" xfId="29958" xr:uid="{154365B1-6D46-4AD5-94D9-A022BFBD61DD}"/>
    <cellStyle name="20% - Accent5 4 2 2 5" xfId="38405" xr:uid="{B952EA5A-BC0A-4E3B-A14C-617B59E2D7F3}"/>
    <cellStyle name="20% - Accent5 4 2 2 6" xfId="12211" xr:uid="{44775728-C3DC-4946-B66B-12E8E9C48ED3}"/>
    <cellStyle name="20% - Accent5 4 2 3" xfId="4957" xr:uid="{00000000-0005-0000-0000-0000FE020000}"/>
    <cellStyle name="20% - Accent5 4 2 3 2" xfId="23583" xr:uid="{5D5E4B82-0B72-4A93-A93B-0325D576153F}"/>
    <cellStyle name="20% - Accent5 4 2 3 3" xfId="32030" xr:uid="{E97F5DF2-112E-4C3E-A613-FCD89E187EE5}"/>
    <cellStyle name="20% - Accent5 4 2 3 4" xfId="40477" xr:uid="{D16966F3-676D-43D2-B7F6-88DC118975D1}"/>
    <cellStyle name="20% - Accent5 4 2 3 5" xfId="14283" xr:uid="{A5864911-6302-4B81-BEDE-BA8333FDAC59}"/>
    <cellStyle name="20% - Accent5 4 2 4" xfId="9380" xr:uid="{1C764D65-D71C-4646-AD86-15F83BDBF498}"/>
    <cellStyle name="20% - Accent5 4 2 4 2" xfId="18696" xr:uid="{AD65201F-68D8-4536-BCA7-84D0DACD4495}"/>
    <cellStyle name="20% - Accent5 4 2 5" xfId="19366" xr:uid="{ADD09F21-5009-4592-9CAA-A87086C09C8A}"/>
    <cellStyle name="20% - Accent5 4 2 6" xfId="27813" xr:uid="{8A8A7727-ECDB-41B4-B39A-6270297091D3}"/>
    <cellStyle name="20% - Accent5 4 2 7" xfId="36260" xr:uid="{8F6F47E0-A13F-4701-8AAA-333F9DAD4CDC}"/>
    <cellStyle name="20% - Accent5 4 2 8" xfId="10066" xr:uid="{E5FD7495-7348-4AC4-8C6F-A63835CB94E9}"/>
    <cellStyle name="20% - Accent5 4 3" xfId="1062" xr:uid="{00000000-0005-0000-0000-0000FF020000}"/>
    <cellStyle name="20% - Accent5 4 3 2" xfId="3293" xr:uid="{00000000-0005-0000-0000-000000030000}"/>
    <cellStyle name="20% - Accent5 4 3 2 2" xfId="7515" xr:uid="{00000000-0005-0000-0000-000001030000}"/>
    <cellStyle name="20% - Accent5 4 3 2 2 2" xfId="26141" xr:uid="{39D548D0-04CB-4564-8DD7-02B1634B6F2D}"/>
    <cellStyle name="20% - Accent5 4 3 2 2 3" xfId="34588" xr:uid="{2A81E400-5FB7-4529-AA15-F3D289A978C1}"/>
    <cellStyle name="20% - Accent5 4 3 2 2 4" xfId="43035" xr:uid="{A1E7043E-F275-4894-A538-3AA28FA10703}"/>
    <cellStyle name="20% - Accent5 4 3 2 2 5" xfId="16841" xr:uid="{BEC9A079-66DF-4547-AF60-C8C6F23AFF23}"/>
    <cellStyle name="20% - Accent5 4 3 2 3" xfId="21924" xr:uid="{F62EE43F-20A9-4CB6-8452-57250BC62B72}"/>
    <cellStyle name="20% - Accent5 4 3 2 4" xfId="30371" xr:uid="{55ED982E-8D76-4608-8564-CE645E1B16FF}"/>
    <cellStyle name="20% - Accent5 4 3 2 5" xfId="38818" xr:uid="{57BC3287-0FE2-482E-A65D-E6D3BAC1EAC6}"/>
    <cellStyle name="20% - Accent5 4 3 2 6" xfId="12624" xr:uid="{02711A65-D946-4934-A0BC-0D4C874E45E1}"/>
    <cellStyle name="20% - Accent5 4 3 3" xfId="5370" xr:uid="{00000000-0005-0000-0000-000002030000}"/>
    <cellStyle name="20% - Accent5 4 3 3 2" xfId="23996" xr:uid="{10558914-46FC-4199-A491-3FDEC74EE938}"/>
    <cellStyle name="20% - Accent5 4 3 3 3" xfId="32443" xr:uid="{7B4FBF9E-2A6C-45C1-A0A6-5458021B8431}"/>
    <cellStyle name="20% - Accent5 4 3 3 4" xfId="40890" xr:uid="{EBCDF60B-25A1-476B-94B3-DC2931D04C49}"/>
    <cellStyle name="20% - Accent5 4 3 3 5" xfId="14696" xr:uid="{045A0E55-7BE9-4A50-BA37-84B137E5EB05}"/>
    <cellStyle name="20% - Accent5 4 3 4" xfId="19779" xr:uid="{15D5C1CA-52DC-4C3C-9257-8961859AADA7}"/>
    <cellStyle name="20% - Accent5 4 3 5" xfId="28226" xr:uid="{4A25FFC1-3691-4900-A364-A8D01B595149}"/>
    <cellStyle name="20% - Accent5 4 3 6" xfId="36673" xr:uid="{674BBFEE-1BF8-4E6A-9D55-F7F2F9CAD5B8}"/>
    <cellStyle name="20% - Accent5 4 3 7" xfId="10479" xr:uid="{F4CC073B-1093-4BEA-9BA0-1D2F6EF8F91F}"/>
    <cellStyle name="20% - Accent5 4 4" xfId="1476" xr:uid="{00000000-0005-0000-0000-000003030000}"/>
    <cellStyle name="20% - Accent5 4 4 2" xfId="3706" xr:uid="{00000000-0005-0000-0000-000004030000}"/>
    <cellStyle name="20% - Accent5 4 4 2 2" xfId="7928" xr:uid="{00000000-0005-0000-0000-000005030000}"/>
    <cellStyle name="20% - Accent5 4 4 2 2 2" xfId="26554" xr:uid="{E7DE429E-50B4-4B72-9E56-99BAC3EAB7AF}"/>
    <cellStyle name="20% - Accent5 4 4 2 2 3" xfId="35001" xr:uid="{AF4CE6F4-FCD0-49EF-9450-E830E2BA288E}"/>
    <cellStyle name="20% - Accent5 4 4 2 2 4" xfId="43448" xr:uid="{960185FC-DE28-4E4C-A79D-2345FAEC3C34}"/>
    <cellStyle name="20% - Accent5 4 4 2 2 5" xfId="17254" xr:uid="{4B015B3F-8132-45D5-8FF6-632F49ED83D8}"/>
    <cellStyle name="20% - Accent5 4 4 2 3" xfId="22337" xr:uid="{3D1469FA-3808-4489-8857-9454E47C9CC3}"/>
    <cellStyle name="20% - Accent5 4 4 2 4" xfId="30784" xr:uid="{69A4D7C9-3EA1-4F64-A970-9AE110F80752}"/>
    <cellStyle name="20% - Accent5 4 4 2 5" xfId="39231" xr:uid="{A3876DAB-A8AE-4A7A-8312-9C4DBE485DCC}"/>
    <cellStyle name="20% - Accent5 4 4 2 6" xfId="13037" xr:uid="{9BABB28D-57F6-4585-9E8C-D15DD094E767}"/>
    <cellStyle name="20% - Accent5 4 4 3" xfId="5783" xr:uid="{00000000-0005-0000-0000-000006030000}"/>
    <cellStyle name="20% - Accent5 4 4 3 2" xfId="24409" xr:uid="{6C5A362D-2F21-433A-91EC-C755CDF39BF9}"/>
    <cellStyle name="20% - Accent5 4 4 3 3" xfId="32856" xr:uid="{8D06B674-0FEA-473F-8CF6-4280EE246D59}"/>
    <cellStyle name="20% - Accent5 4 4 3 4" xfId="41303" xr:uid="{10935D17-1205-45DC-A343-4FAE22C77ABC}"/>
    <cellStyle name="20% - Accent5 4 4 3 5" xfId="15109" xr:uid="{9BF2DE83-C665-4364-BEE0-68F6A1627384}"/>
    <cellStyle name="20% - Accent5 4 4 4" xfId="20192" xr:uid="{BA0331DC-FAC9-4054-9705-C69A3D55E4A5}"/>
    <cellStyle name="20% - Accent5 4 4 5" xfId="28639" xr:uid="{54C03BF8-CE2C-411A-8930-8D0DCB22DB9F}"/>
    <cellStyle name="20% - Accent5 4 4 6" xfId="37086" xr:uid="{69B2DED8-9ED9-4C4A-8A5F-FB21657C34AF}"/>
    <cellStyle name="20% - Accent5 4 4 7" xfId="10892" xr:uid="{5A2C8785-C024-4B9E-A59D-24AFA32ABF84}"/>
    <cellStyle name="20% - Accent5 4 5" xfId="1890" xr:uid="{00000000-0005-0000-0000-000007030000}"/>
    <cellStyle name="20% - Accent5 4 5 2" xfId="4119" xr:uid="{00000000-0005-0000-0000-000008030000}"/>
    <cellStyle name="20% - Accent5 4 5 2 2" xfId="8341" xr:uid="{00000000-0005-0000-0000-000009030000}"/>
    <cellStyle name="20% - Accent5 4 5 2 2 2" xfId="26967" xr:uid="{729DE87F-5440-43D3-8BB3-A56E7EA61386}"/>
    <cellStyle name="20% - Accent5 4 5 2 2 3" xfId="35414" xr:uid="{6F8E8B37-28D0-4097-9E32-ECDE4000C4CA}"/>
    <cellStyle name="20% - Accent5 4 5 2 2 4" xfId="43861" xr:uid="{7BE00B3C-06A5-4CA8-B11A-9FCA304BDFE0}"/>
    <cellStyle name="20% - Accent5 4 5 2 2 5" xfId="17667" xr:uid="{21B2C40A-D485-43AD-BCD0-1DF7682524BC}"/>
    <cellStyle name="20% - Accent5 4 5 2 3" xfId="22750" xr:uid="{4F9650FA-A668-4500-85CA-2E8E1E7C1BCA}"/>
    <cellStyle name="20% - Accent5 4 5 2 4" xfId="31197" xr:uid="{2A4D0A66-33DA-45A8-BD11-1772B001EE84}"/>
    <cellStyle name="20% - Accent5 4 5 2 5" xfId="39644" xr:uid="{DA41A47B-EF14-4D6E-8935-31DD088527E1}"/>
    <cellStyle name="20% - Accent5 4 5 2 6" xfId="13450" xr:uid="{6729C4AC-64AE-42F0-89F4-9DFC170BD7C8}"/>
    <cellStyle name="20% - Accent5 4 5 3" xfId="6196" xr:uid="{00000000-0005-0000-0000-00000A030000}"/>
    <cellStyle name="20% - Accent5 4 5 3 2" xfId="24822" xr:uid="{6654CE72-C332-4F91-A0A6-13225C13743F}"/>
    <cellStyle name="20% - Accent5 4 5 3 3" xfId="33269" xr:uid="{2186D512-83A6-44A0-AEF0-9C478A462FEA}"/>
    <cellStyle name="20% - Accent5 4 5 3 4" xfId="41716" xr:uid="{59CEA3D0-AE77-40FE-AF4B-6D1F7EDC2DBB}"/>
    <cellStyle name="20% - Accent5 4 5 3 5" xfId="15522" xr:uid="{F45B8495-5A6D-4D8A-AA52-35416AA93F54}"/>
    <cellStyle name="20% - Accent5 4 5 4" xfId="20605" xr:uid="{B5FD9962-AB95-4D34-A981-D8A50D2302AE}"/>
    <cellStyle name="20% - Accent5 4 5 5" xfId="29052" xr:uid="{2230268F-B54A-430D-BCE2-969020EA2BF4}"/>
    <cellStyle name="20% - Accent5 4 5 6" xfId="37499" xr:uid="{E92F805C-9D6C-459A-B46E-FAE8C1242684}"/>
    <cellStyle name="20% - Accent5 4 5 7" xfId="11305" xr:uid="{74B34D7F-FDC6-4D88-BA76-2247F4FAD951}"/>
    <cellStyle name="20% - Accent5 4 6" xfId="2303" xr:uid="{00000000-0005-0000-0000-00000B030000}"/>
    <cellStyle name="20% - Accent5 4 6 2" xfId="6609" xr:uid="{00000000-0005-0000-0000-00000C030000}"/>
    <cellStyle name="20% - Accent5 4 6 2 2" xfId="25235" xr:uid="{3CABC84F-4717-47B3-9A03-C46E990AE57A}"/>
    <cellStyle name="20% - Accent5 4 6 2 3" xfId="33682" xr:uid="{DCF789C1-F4BA-4D9D-AEB2-C43FE2EC968E}"/>
    <cellStyle name="20% - Accent5 4 6 2 4" xfId="42129" xr:uid="{A376AF68-F361-4F2C-B4E3-EA312BAA1EEA}"/>
    <cellStyle name="20% - Accent5 4 6 2 5" xfId="15935" xr:uid="{5FCC3843-9B32-47A5-9C72-FD92D667D07E}"/>
    <cellStyle name="20% - Accent5 4 6 3" xfId="21018" xr:uid="{4AA321BA-D14A-4AD7-A66F-D301D68612AC}"/>
    <cellStyle name="20% - Accent5 4 6 4" xfId="29465" xr:uid="{6E7D6FBC-6E32-46EC-A285-E58523577175}"/>
    <cellStyle name="20% - Accent5 4 6 5" xfId="37912" xr:uid="{227592C4-E9F8-4959-99DD-0B0A68C80034}"/>
    <cellStyle name="20% - Accent5 4 6 6" xfId="11718" xr:uid="{17380F4D-707C-4191-A0DB-83911F06A9D9}"/>
    <cellStyle name="20% - Accent5 4 7" xfId="4543" xr:uid="{00000000-0005-0000-0000-00000D030000}"/>
    <cellStyle name="20% - Accent5 4 7 2" xfId="23169" xr:uid="{EB6F35B7-0985-4570-ADBC-2FD1200AA7FA}"/>
    <cellStyle name="20% - Accent5 4 7 3" xfId="31616" xr:uid="{04B4394D-FEBC-4E0C-B3FF-E47399A42DE2}"/>
    <cellStyle name="20% - Accent5 4 7 4" xfId="40063" xr:uid="{DE48A050-B664-472C-B033-3B2DAEA3576B}"/>
    <cellStyle name="20% - Accent5 4 7 5" xfId="13869" xr:uid="{73B0FED6-1972-4527-AD5D-BBC4003E40C4}"/>
    <cellStyle name="20% - Accent5 4 8" xfId="8955" xr:uid="{8AD43D76-8747-44EC-8D3B-2720ADF9D1B1}"/>
    <cellStyle name="20% - Accent5 4 8 2" xfId="18279" xr:uid="{03130610-A0BA-4B23-8E59-C4FC1B2CF400}"/>
    <cellStyle name="20% - Accent5 4 9" xfId="18952" xr:uid="{612EBAFE-73F8-4DE6-8DAE-51FE04664E5E}"/>
    <cellStyle name="20% - Accent5 5" xfId="602" xr:uid="{00000000-0005-0000-0000-00000E030000}"/>
    <cellStyle name="20% - Accent5 5 2" xfId="2873" xr:uid="{00000000-0005-0000-0000-00000F030000}"/>
    <cellStyle name="20% - Accent5 5 2 2" xfId="7095" xr:uid="{00000000-0005-0000-0000-000010030000}"/>
    <cellStyle name="20% - Accent5 5 2 2 2" xfId="25721" xr:uid="{F06BA7F3-787C-4AB2-AEB2-F99BED35FA10}"/>
    <cellStyle name="20% - Accent5 5 2 2 3" xfId="34168" xr:uid="{0013ACF2-00F3-4E55-8FC8-63D2C5C66FFD}"/>
    <cellStyle name="20% - Accent5 5 2 2 4" xfId="42615" xr:uid="{E6FBBB26-01FD-4ADD-B3EA-1519A878F223}"/>
    <cellStyle name="20% - Accent5 5 2 2 5" xfId="16421" xr:uid="{91D4DA77-7AE3-4975-9346-31E1A9996DD2}"/>
    <cellStyle name="20% - Accent5 5 2 3" xfId="21504" xr:uid="{7DAB1379-7018-40B5-8263-76A9666F25F6}"/>
    <cellStyle name="20% - Accent5 5 2 4" xfId="29951" xr:uid="{ACB27EB7-23FC-4ED1-9FAC-BB6EE104698F}"/>
    <cellStyle name="20% - Accent5 5 2 5" xfId="38398" xr:uid="{267BDE6A-D81A-4FBC-B0F4-5CD6F3F084D3}"/>
    <cellStyle name="20% - Accent5 5 2 6" xfId="12204" xr:uid="{351CAE20-0F37-4914-AEB0-2290428FA769}"/>
    <cellStyle name="20% - Accent5 5 3" xfId="4950" xr:uid="{00000000-0005-0000-0000-000011030000}"/>
    <cellStyle name="20% - Accent5 5 3 2" xfId="23576" xr:uid="{41237F7D-A1AB-4A3C-BFD8-D33C508C413D}"/>
    <cellStyle name="20% - Accent5 5 3 3" xfId="32023" xr:uid="{43D68B90-AEA7-4935-83DE-8CD2735D4DFB}"/>
    <cellStyle name="20% - Accent5 5 3 4" xfId="40470" xr:uid="{C197EA86-778D-4F8F-894F-CD37B78A3F11}"/>
    <cellStyle name="20% - Accent5 5 3 5" xfId="14276" xr:uid="{F04DA261-567E-49E4-9B78-7D3649907B9D}"/>
    <cellStyle name="20% - Accent5 5 4" xfId="9188" xr:uid="{164CF7CE-7706-426C-90AA-4867A06E28BD}"/>
    <cellStyle name="20% - Accent5 5 4 2" xfId="18507" xr:uid="{38D3C3C8-4AEF-4E2A-8785-7D321CE5448E}"/>
    <cellStyle name="20% - Accent5 5 5" xfId="19359" xr:uid="{EE3A8773-EF77-4E0D-BC14-CB940F5CBBDE}"/>
    <cellStyle name="20% - Accent5 5 6" xfId="27806" xr:uid="{67F808FC-56F1-4AFC-A6A1-C19213EAB65A}"/>
    <cellStyle name="20% - Accent5 5 7" xfId="36253" xr:uid="{E83971B1-749C-43DC-98DE-21CD52FBEA42}"/>
    <cellStyle name="20% - Accent5 5 8" xfId="10059" xr:uid="{E48B466B-553A-4FFD-B881-226C98087C76}"/>
    <cellStyle name="20% - Accent5 6" xfId="1055" xr:uid="{00000000-0005-0000-0000-000012030000}"/>
    <cellStyle name="20% - Accent5 6 2" xfId="3286" xr:uid="{00000000-0005-0000-0000-000013030000}"/>
    <cellStyle name="20% - Accent5 6 2 2" xfId="7508" xr:uid="{00000000-0005-0000-0000-000014030000}"/>
    <cellStyle name="20% - Accent5 6 2 2 2" xfId="26134" xr:uid="{C5EA56B9-F222-4B02-B538-332F65D25FEF}"/>
    <cellStyle name="20% - Accent5 6 2 2 3" xfId="34581" xr:uid="{AFACF88F-916D-4D9C-BBFB-D32EEA842289}"/>
    <cellStyle name="20% - Accent5 6 2 2 4" xfId="43028" xr:uid="{C09BEA43-4646-4EA8-8FFD-6AAF14DCE9B0}"/>
    <cellStyle name="20% - Accent5 6 2 2 5" xfId="16834" xr:uid="{61822186-9865-4F4A-B014-53322626B88B}"/>
    <cellStyle name="20% - Accent5 6 2 3" xfId="21917" xr:uid="{C423638D-B61F-49A5-A0C9-0141C4323A27}"/>
    <cellStyle name="20% - Accent5 6 2 4" xfId="30364" xr:uid="{7A9C5B9E-C562-40FA-8381-707F7BA6FC7A}"/>
    <cellStyle name="20% - Accent5 6 2 5" xfId="38811" xr:uid="{B32AFC52-2C73-4657-B012-4BFF3D9CA66B}"/>
    <cellStyle name="20% - Accent5 6 2 6" xfId="12617" xr:uid="{75353E4A-CFD1-4C25-ABC1-47EE29126C0D}"/>
    <cellStyle name="20% - Accent5 6 3" xfId="5363" xr:uid="{00000000-0005-0000-0000-000015030000}"/>
    <cellStyle name="20% - Accent5 6 3 2" xfId="23989" xr:uid="{A2127E3B-7F67-4D6C-82AD-4D318A464123}"/>
    <cellStyle name="20% - Accent5 6 3 3" xfId="32436" xr:uid="{C9BB5E48-96C2-4A4A-A32E-A8E5D847903C}"/>
    <cellStyle name="20% - Accent5 6 3 4" xfId="40883" xr:uid="{7C27FAC2-7083-453D-AE38-03225F379024}"/>
    <cellStyle name="20% - Accent5 6 3 5" xfId="14689" xr:uid="{8F3E5762-A7A5-4DB9-A2FF-60769EE60B48}"/>
    <cellStyle name="20% - Accent5 6 4" xfId="19772" xr:uid="{6FC10AA1-75ED-4745-B9E0-D872E01F44C5}"/>
    <cellStyle name="20% - Accent5 6 5" xfId="28219" xr:uid="{22B689B9-2002-48D4-91FD-FECE5D9C23DC}"/>
    <cellStyle name="20% - Accent5 6 6" xfId="36666" xr:uid="{B8906E53-096D-4EE3-90DD-2B10BFFA2065}"/>
    <cellStyle name="20% - Accent5 6 7" xfId="10472" xr:uid="{098C3A7D-CBE9-49E6-BDBB-2DDF3CC4F76A}"/>
    <cellStyle name="20% - Accent5 7" xfId="1469" xr:uid="{00000000-0005-0000-0000-000016030000}"/>
    <cellStyle name="20% - Accent5 7 2" xfId="3699" xr:uid="{00000000-0005-0000-0000-000017030000}"/>
    <cellStyle name="20% - Accent5 7 2 2" xfId="7921" xr:uid="{00000000-0005-0000-0000-000018030000}"/>
    <cellStyle name="20% - Accent5 7 2 2 2" xfId="26547" xr:uid="{219611B1-2C75-466D-A7DE-697502993138}"/>
    <cellStyle name="20% - Accent5 7 2 2 3" xfId="34994" xr:uid="{B54314C5-1BFF-4B77-B583-447EFC6FC7F1}"/>
    <cellStyle name="20% - Accent5 7 2 2 4" xfId="43441" xr:uid="{B5EC0C77-9CDA-46FE-A1E7-D7556150E53B}"/>
    <cellStyle name="20% - Accent5 7 2 2 5" xfId="17247" xr:uid="{B9620374-8A98-4F6F-881D-7F40797F09B4}"/>
    <cellStyle name="20% - Accent5 7 2 3" xfId="22330" xr:uid="{245515E0-12F0-44BB-B35F-1738CAB19AAD}"/>
    <cellStyle name="20% - Accent5 7 2 4" xfId="30777" xr:uid="{09550296-7586-4AEB-ACBB-24E31F2551D8}"/>
    <cellStyle name="20% - Accent5 7 2 5" xfId="39224" xr:uid="{C23D003F-01E5-403A-A20E-60481EFB74CA}"/>
    <cellStyle name="20% - Accent5 7 2 6" xfId="13030" xr:uid="{B2A1B2DD-4119-4703-8C48-D6E2328DFE63}"/>
    <cellStyle name="20% - Accent5 7 3" xfId="5776" xr:uid="{00000000-0005-0000-0000-000019030000}"/>
    <cellStyle name="20% - Accent5 7 3 2" xfId="24402" xr:uid="{93486B3A-CC8A-4873-BB4A-2DF289596D0C}"/>
    <cellStyle name="20% - Accent5 7 3 3" xfId="32849" xr:uid="{A058B453-0434-44FE-8220-8F7BA695849D}"/>
    <cellStyle name="20% - Accent5 7 3 4" xfId="41296" xr:uid="{5C124BA8-273D-4AD6-97B0-CC5F22F33703}"/>
    <cellStyle name="20% - Accent5 7 3 5" xfId="15102" xr:uid="{CB45955F-C1DA-4C52-AA22-556BFA38081F}"/>
    <cellStyle name="20% - Accent5 7 4" xfId="20185" xr:uid="{3699DAD5-B9AC-4D20-9BA4-17AA325421E1}"/>
    <cellStyle name="20% - Accent5 7 5" xfId="28632" xr:uid="{36D1AC22-34FA-40F2-A632-B3A85D9E69C5}"/>
    <cellStyle name="20% - Accent5 7 6" xfId="37079" xr:uid="{0E4E459D-59DD-488A-8FA6-13E517066CF5}"/>
    <cellStyle name="20% - Accent5 7 7" xfId="10885" xr:uid="{7AB3FA42-94DD-4F85-9C0D-F202B75CBDF2}"/>
    <cellStyle name="20% - Accent5 8" xfId="1883" xr:uid="{00000000-0005-0000-0000-00001A030000}"/>
    <cellStyle name="20% - Accent5 8 2" xfId="4112" xr:uid="{00000000-0005-0000-0000-00001B030000}"/>
    <cellStyle name="20% - Accent5 8 2 2" xfId="8334" xr:uid="{00000000-0005-0000-0000-00001C030000}"/>
    <cellStyle name="20% - Accent5 8 2 2 2" xfId="26960" xr:uid="{95D2F8E1-E4EB-46AB-A7A7-7509311D4B3E}"/>
    <cellStyle name="20% - Accent5 8 2 2 3" xfId="35407" xr:uid="{4E91490C-B155-487A-A90F-F266248BA28E}"/>
    <cellStyle name="20% - Accent5 8 2 2 4" xfId="43854" xr:uid="{B155AFC0-A1F2-4FCF-A734-736CD79BAFAF}"/>
    <cellStyle name="20% - Accent5 8 2 2 5" xfId="17660" xr:uid="{1A1865EA-D372-4F9A-81DC-97B669EA9BA5}"/>
    <cellStyle name="20% - Accent5 8 2 3" xfId="22743" xr:uid="{0831EB89-4599-4A33-B8D0-657C068C5845}"/>
    <cellStyle name="20% - Accent5 8 2 4" xfId="31190" xr:uid="{866DED5A-38B1-484E-BCBB-4CD0AB358EE3}"/>
    <cellStyle name="20% - Accent5 8 2 5" xfId="39637" xr:uid="{C1011AAB-02C1-4F4F-B66E-5172D022BD89}"/>
    <cellStyle name="20% - Accent5 8 2 6" xfId="13443" xr:uid="{EFC9A059-8264-445D-9D32-88FE144580EA}"/>
    <cellStyle name="20% - Accent5 8 3" xfId="6189" xr:uid="{00000000-0005-0000-0000-00001D030000}"/>
    <cellStyle name="20% - Accent5 8 3 2" xfId="24815" xr:uid="{7495E8C5-AF4C-446C-B9F2-AF13A6802E93}"/>
    <cellStyle name="20% - Accent5 8 3 3" xfId="33262" xr:uid="{C8F341F8-0979-40B9-872A-1D89CBF7BE1E}"/>
    <cellStyle name="20% - Accent5 8 3 4" xfId="41709" xr:uid="{21F85E5F-5C34-45AF-A3BB-26007A449CA0}"/>
    <cellStyle name="20% - Accent5 8 3 5" xfId="15515" xr:uid="{EE96F455-419D-4875-9E02-2787C6860C66}"/>
    <cellStyle name="20% - Accent5 8 4" xfId="20598" xr:uid="{654B6B8E-2D6A-4876-B74C-C9913D395F36}"/>
    <cellStyle name="20% - Accent5 8 5" xfId="29045" xr:uid="{6862B5F2-E730-44BD-A764-9E828474A6D7}"/>
    <cellStyle name="20% - Accent5 8 6" xfId="37492" xr:uid="{765DEB89-1561-44D3-B9CF-2B3BB27833A9}"/>
    <cellStyle name="20% - Accent5 8 7" xfId="11298" xr:uid="{0EC80BC2-E403-47C6-B533-194DB4C1DEB4}"/>
    <cellStyle name="20% - Accent5 9" xfId="2296" xr:uid="{00000000-0005-0000-0000-00001E030000}"/>
    <cellStyle name="20% - Accent5 9 2" xfId="6602" xr:uid="{00000000-0005-0000-0000-00001F030000}"/>
    <cellStyle name="20% - Accent5 9 2 2" xfId="25228" xr:uid="{DB0226E4-D047-4D8C-ADE2-2036BFEDA6E8}"/>
    <cellStyle name="20% - Accent5 9 2 3" xfId="33675" xr:uid="{6E7E3F18-AD43-47B0-8BC6-6C03040CE2EF}"/>
    <cellStyle name="20% - Accent5 9 2 4" xfId="42122" xr:uid="{8D055F37-D7AF-4779-8D3B-867931343284}"/>
    <cellStyle name="20% - Accent5 9 2 5" xfId="15928" xr:uid="{B7415BD6-A84C-424A-83A2-3048E349F693}"/>
    <cellStyle name="20% - Accent5 9 3" xfId="21011" xr:uid="{D90FC27E-60B3-4EBC-AA6F-BF3A4D70CB58}"/>
    <cellStyle name="20% - Accent5 9 4" xfId="29458" xr:uid="{AD940268-4696-4F6C-AF13-BB255124EC49}"/>
    <cellStyle name="20% - Accent5 9 5" xfId="37905" xr:uid="{94201846-CFE6-4921-A027-5FB1FF54D94A}"/>
    <cellStyle name="20% - Accent5 9 6" xfId="11711" xr:uid="{FD52B882-DD88-4ED7-801A-857DA0AAE1D3}"/>
    <cellStyle name="20% - Accent6" xfId="41" builtinId="50" customBuiltin="1"/>
    <cellStyle name="20% - Accent6 10" xfId="4544" xr:uid="{00000000-0005-0000-0000-000021030000}"/>
    <cellStyle name="20% - Accent6 10 2" xfId="23170" xr:uid="{752872FE-04E4-46F9-A553-66A2089533D2}"/>
    <cellStyle name="20% - Accent6 10 3" xfId="31617" xr:uid="{0521D11E-2142-4353-AA45-76C469C41AAF}"/>
    <cellStyle name="20% - Accent6 10 4" xfId="40064" xr:uid="{A93A9B66-AC92-4E5E-850F-85063FB80E96}"/>
    <cellStyle name="20% - Accent6 10 5" xfId="13870" xr:uid="{4B045BF4-1744-48C8-B6C1-BAF20D28A5E4}"/>
    <cellStyle name="20% - Accent6 11" xfId="8768" xr:uid="{5A1F1293-A19F-445F-908A-D9DBB6265CA0}"/>
    <cellStyle name="20% - Accent6 11 2" xfId="18092" xr:uid="{A0AF638E-1E82-48DC-BA90-B1F422235FC5}"/>
    <cellStyle name="20% - Accent6 12" xfId="18953" xr:uid="{134A2884-CE71-4D2F-8D1D-CEB013B81018}"/>
    <cellStyle name="20% - Accent6 13" xfId="27400" xr:uid="{F0A8FD43-5266-4772-AE37-E549DC650749}"/>
    <cellStyle name="20% - Accent6 14" xfId="35847" xr:uid="{EE70C0FB-689A-4305-B30B-B8141A45051B}"/>
    <cellStyle name="20% - Accent6 15" xfId="9653" xr:uid="{4E44D435-80DB-4601-A612-4FFD94CE5B6B}"/>
    <cellStyle name="20% - Accent6 2" xfId="42" xr:uid="{00000000-0005-0000-0000-000022030000}"/>
    <cellStyle name="20% - Accent6 2 10" xfId="8795" xr:uid="{9A35B19E-8802-437A-ABDC-7B06A4E07F58}"/>
    <cellStyle name="20% - Accent6 2 10 2" xfId="18119" xr:uid="{8CFB30D7-DE2D-41C2-B07C-BA3BE3087B80}"/>
    <cellStyle name="20% - Accent6 2 11" xfId="18954" xr:uid="{78B223D8-A885-4252-9F11-63615884CF73}"/>
    <cellStyle name="20% - Accent6 2 12" xfId="27401" xr:uid="{4730FE10-BB32-4548-BB8A-D95437589A09}"/>
    <cellStyle name="20% - Accent6 2 13" xfId="35848" xr:uid="{B302E398-0787-4F8A-B1EF-4AAE993F7336}"/>
    <cellStyle name="20% - Accent6 2 14" xfId="9654" xr:uid="{A9BAB12F-0273-4780-B8CD-EA42BB320628}"/>
    <cellStyle name="20% - Accent6 2 2" xfId="43" xr:uid="{00000000-0005-0000-0000-000023030000}"/>
    <cellStyle name="20% - Accent6 2 2 10" xfId="18955" xr:uid="{57E68368-24A3-4066-B57F-E486379E20AF}"/>
    <cellStyle name="20% - Accent6 2 2 11" xfId="27402" xr:uid="{2336C721-7280-4080-9176-34DF5194EAA3}"/>
    <cellStyle name="20% - Accent6 2 2 12" xfId="35849" xr:uid="{C33628C8-1F1C-43BA-86A7-D69A29789DF0}"/>
    <cellStyle name="20% - Accent6 2 2 13" xfId="9655" xr:uid="{30F162B3-1EB3-4FF8-A84D-80CC3DDD050F}"/>
    <cellStyle name="20% - Accent6 2 2 2" xfId="44" xr:uid="{00000000-0005-0000-0000-000024030000}"/>
    <cellStyle name="20% - Accent6 2 2 2 10" xfId="27403" xr:uid="{1CCEF2BE-F251-4ED9-B950-DB3EFE04C1D7}"/>
    <cellStyle name="20% - Accent6 2 2 2 11" xfId="35850" xr:uid="{5BD0357C-F184-4C6A-98E0-F5D44CCD144E}"/>
    <cellStyle name="20% - Accent6 2 2 2 12" xfId="9656" xr:uid="{BE66F7CC-79E7-4E1E-9ABC-630709572368}"/>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2 2 2" xfId="25732" xr:uid="{83940AD0-308A-496A-A287-3201426B6062}"/>
    <cellStyle name="20% - Accent6 2 2 2 2 2 2 3" xfId="34179" xr:uid="{F3C07990-FB28-4574-B610-ACA295A6DAC5}"/>
    <cellStyle name="20% - Accent6 2 2 2 2 2 2 4" xfId="42626" xr:uid="{37932A27-0E6E-4750-B1C5-49C114A33780}"/>
    <cellStyle name="20% - Accent6 2 2 2 2 2 2 5" xfId="16432" xr:uid="{36CC201D-C32F-4C02-9453-BD360CFB641C}"/>
    <cellStyle name="20% - Accent6 2 2 2 2 2 3" xfId="21515" xr:uid="{F09D4AE0-0D1D-4707-86A0-209C72F0D4DD}"/>
    <cellStyle name="20% - Accent6 2 2 2 2 2 4" xfId="29962" xr:uid="{D9C38E66-523F-4C7B-8F38-D472C44CF8B0}"/>
    <cellStyle name="20% - Accent6 2 2 2 2 2 5" xfId="38409" xr:uid="{E02E1C6F-F467-4A59-92BD-1BF8AB1C9D10}"/>
    <cellStyle name="20% - Accent6 2 2 2 2 2 6" xfId="12215" xr:uid="{2AE883E9-F069-463B-B73E-8D6DBAF7C13A}"/>
    <cellStyle name="20% - Accent6 2 2 2 2 3" xfId="4961" xr:uid="{00000000-0005-0000-0000-000028030000}"/>
    <cellStyle name="20% - Accent6 2 2 2 2 3 2" xfId="23587" xr:uid="{71CE919D-3A64-48B8-AC6F-E26BA6262CFF}"/>
    <cellStyle name="20% - Accent6 2 2 2 2 3 3" xfId="32034" xr:uid="{48D897D4-FBD5-47F2-AFC7-AC7374CB0D13}"/>
    <cellStyle name="20% - Accent6 2 2 2 2 3 4" xfId="40481" xr:uid="{82C1BCAE-D7C5-495C-B3EE-6DC403C1BD43}"/>
    <cellStyle name="20% - Accent6 2 2 2 2 3 5" xfId="14287" xr:uid="{8032CD21-0260-466C-A628-F97FB4CF0DE3}"/>
    <cellStyle name="20% - Accent6 2 2 2 2 4" xfId="9530" xr:uid="{AFD3EE0E-70EF-4C1B-B994-7B8E7E8187BC}"/>
    <cellStyle name="20% - Accent6 2 2 2 2 4 2" xfId="18846" xr:uid="{1AD696C2-2BC1-49BF-B27C-B93D683E8B90}"/>
    <cellStyle name="20% - Accent6 2 2 2 2 5" xfId="19370" xr:uid="{EF28D851-0960-467E-8C32-3A93B8B13E6D}"/>
    <cellStyle name="20% - Accent6 2 2 2 2 6" xfId="27817" xr:uid="{D4C6E275-BBDD-441E-B4A0-C16ADA84F926}"/>
    <cellStyle name="20% - Accent6 2 2 2 2 7" xfId="36264" xr:uid="{1F0BAE5F-7B1A-4CA0-8FFC-4B66514DECE6}"/>
    <cellStyle name="20% - Accent6 2 2 2 2 8" xfId="10070" xr:uid="{1E519576-25CF-4CFD-891F-4B0607300996}"/>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2 2 2" xfId="26145" xr:uid="{8314C8E7-DC8C-4542-B4D5-657097D2F7E0}"/>
    <cellStyle name="20% - Accent6 2 2 2 3 2 2 3" xfId="34592" xr:uid="{9F048281-F384-415C-B21B-1BC01E9011E4}"/>
    <cellStyle name="20% - Accent6 2 2 2 3 2 2 4" xfId="43039" xr:uid="{EF35F0DF-9B8B-4E5B-9B28-67BDD21C31C8}"/>
    <cellStyle name="20% - Accent6 2 2 2 3 2 2 5" xfId="16845" xr:uid="{56027062-9541-4A64-B71C-81A7445B8FE4}"/>
    <cellStyle name="20% - Accent6 2 2 2 3 2 3" xfId="21928" xr:uid="{C9D01B87-4E08-4642-A08E-98E9E99A2AED}"/>
    <cellStyle name="20% - Accent6 2 2 2 3 2 4" xfId="30375" xr:uid="{9A533DB4-0A16-43D4-8C86-C10911AD1C44}"/>
    <cellStyle name="20% - Accent6 2 2 2 3 2 5" xfId="38822" xr:uid="{52253CB0-E4CC-421E-8BA3-F0CF0180E64A}"/>
    <cellStyle name="20% - Accent6 2 2 2 3 2 6" xfId="12628" xr:uid="{3D72DAB9-E699-4469-8DF0-DB57EC241F61}"/>
    <cellStyle name="20% - Accent6 2 2 2 3 3" xfId="5374" xr:uid="{00000000-0005-0000-0000-00002C030000}"/>
    <cellStyle name="20% - Accent6 2 2 2 3 3 2" xfId="24000" xr:uid="{BEE9D7BD-4E72-4235-A76A-462983DE8B2E}"/>
    <cellStyle name="20% - Accent6 2 2 2 3 3 3" xfId="32447" xr:uid="{5A89F77F-228B-475B-89BB-1CA2EDA6CBAB}"/>
    <cellStyle name="20% - Accent6 2 2 2 3 3 4" xfId="40894" xr:uid="{A1357327-354D-4890-B943-933CB6C0D8F2}"/>
    <cellStyle name="20% - Accent6 2 2 2 3 3 5" xfId="14700" xr:uid="{AE5AAE57-2BFB-439B-862A-AABB938E102F}"/>
    <cellStyle name="20% - Accent6 2 2 2 3 4" xfId="19783" xr:uid="{828D21F7-D42A-4E1A-9E74-2CCF9446FF36}"/>
    <cellStyle name="20% - Accent6 2 2 2 3 5" xfId="28230" xr:uid="{2F22679A-F3AE-48B5-A1D4-0ABFE4678D71}"/>
    <cellStyle name="20% - Accent6 2 2 2 3 6" xfId="36677" xr:uid="{FCC3E54F-28F5-4947-B28B-DDB32954066E}"/>
    <cellStyle name="20% - Accent6 2 2 2 3 7" xfId="10483" xr:uid="{CB278103-275D-429F-907D-1E02A793096F}"/>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2 2 2" xfId="26558" xr:uid="{FF968CC0-5ECF-496C-9B1A-B3E690FB569D}"/>
    <cellStyle name="20% - Accent6 2 2 2 4 2 2 3" xfId="35005" xr:uid="{D12ABDF0-9480-4FF0-A83D-1F58F30FB516}"/>
    <cellStyle name="20% - Accent6 2 2 2 4 2 2 4" xfId="43452" xr:uid="{5C575268-08FF-45C9-BD9B-C9141EB44708}"/>
    <cellStyle name="20% - Accent6 2 2 2 4 2 2 5" xfId="17258" xr:uid="{EF615A84-68F5-497C-9C41-EE993DA247F0}"/>
    <cellStyle name="20% - Accent6 2 2 2 4 2 3" xfId="22341" xr:uid="{852A7889-103E-4B6C-BDAB-BDCDF7D32641}"/>
    <cellStyle name="20% - Accent6 2 2 2 4 2 4" xfId="30788" xr:uid="{A5AE0898-A66A-48AA-91AE-60A947E054EA}"/>
    <cellStyle name="20% - Accent6 2 2 2 4 2 5" xfId="39235" xr:uid="{E031FDFB-55CF-4418-ABAA-D0C2A7DB7A39}"/>
    <cellStyle name="20% - Accent6 2 2 2 4 2 6" xfId="13041" xr:uid="{FCE049E4-E4EF-41DE-8440-96515BE6D4AA}"/>
    <cellStyle name="20% - Accent6 2 2 2 4 3" xfId="5787" xr:uid="{00000000-0005-0000-0000-000030030000}"/>
    <cellStyle name="20% - Accent6 2 2 2 4 3 2" xfId="24413" xr:uid="{6EB88A45-9190-4409-9A85-4D122143C076}"/>
    <cellStyle name="20% - Accent6 2 2 2 4 3 3" xfId="32860" xr:uid="{196F2F4D-34ED-4D1D-81E6-90509535943C}"/>
    <cellStyle name="20% - Accent6 2 2 2 4 3 4" xfId="41307" xr:uid="{6141FE30-4E48-495E-859F-86D2610261B3}"/>
    <cellStyle name="20% - Accent6 2 2 2 4 3 5" xfId="15113" xr:uid="{146E6478-7705-4CBA-B0E7-A72820F90BD4}"/>
    <cellStyle name="20% - Accent6 2 2 2 4 4" xfId="20196" xr:uid="{E3CD75AF-EFE3-49B8-8BF7-9F3607333130}"/>
    <cellStyle name="20% - Accent6 2 2 2 4 5" xfId="28643" xr:uid="{2B125E85-5560-42AA-AE49-157DEF4A3EBA}"/>
    <cellStyle name="20% - Accent6 2 2 2 4 6" xfId="37090" xr:uid="{C3030168-470A-4A54-8259-7A0B70BC12D1}"/>
    <cellStyle name="20% - Accent6 2 2 2 4 7" xfId="10896" xr:uid="{890976DA-B949-414E-92B8-44CFD43896EE}"/>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2 2 2" xfId="26971" xr:uid="{7DE77397-D9BF-4359-A7FE-A4B263E1A0EB}"/>
    <cellStyle name="20% - Accent6 2 2 2 5 2 2 3" xfId="35418" xr:uid="{ECC0126F-EA76-4A9D-8C5D-163265C6A255}"/>
    <cellStyle name="20% - Accent6 2 2 2 5 2 2 4" xfId="43865" xr:uid="{FDC954D6-DFEB-4142-9C44-31FAFAAA8B4B}"/>
    <cellStyle name="20% - Accent6 2 2 2 5 2 2 5" xfId="17671" xr:uid="{170744B5-B198-4AF2-B6E5-8B63DC768885}"/>
    <cellStyle name="20% - Accent6 2 2 2 5 2 3" xfId="22754" xr:uid="{B86FF519-4B37-46A0-B605-9046A9DDB3E1}"/>
    <cellStyle name="20% - Accent6 2 2 2 5 2 4" xfId="31201" xr:uid="{AD6D8B18-466C-4A16-B031-E942180D2ED7}"/>
    <cellStyle name="20% - Accent6 2 2 2 5 2 5" xfId="39648" xr:uid="{6FA4E0B0-3ADD-473E-AC21-F18ABD854761}"/>
    <cellStyle name="20% - Accent6 2 2 2 5 2 6" xfId="13454" xr:uid="{F75945D8-B9B6-423A-BA1A-236D5C915C3A}"/>
    <cellStyle name="20% - Accent6 2 2 2 5 3" xfId="6200" xr:uid="{00000000-0005-0000-0000-000034030000}"/>
    <cellStyle name="20% - Accent6 2 2 2 5 3 2" xfId="24826" xr:uid="{2EA63863-28FC-406D-8EA8-28C4A437AA70}"/>
    <cellStyle name="20% - Accent6 2 2 2 5 3 3" xfId="33273" xr:uid="{F5AA1D43-4AB3-4D3E-9ECE-43868EA567F1}"/>
    <cellStyle name="20% - Accent6 2 2 2 5 3 4" xfId="41720" xr:uid="{7FAA9CA3-0168-4FCE-AD61-750BD7EF04A6}"/>
    <cellStyle name="20% - Accent6 2 2 2 5 3 5" xfId="15526" xr:uid="{C10C4A63-D062-43A0-A0B0-88D72AE4A4D2}"/>
    <cellStyle name="20% - Accent6 2 2 2 5 4" xfId="20609" xr:uid="{95301B9E-5236-4888-82AA-0A412863E535}"/>
    <cellStyle name="20% - Accent6 2 2 2 5 5" xfId="29056" xr:uid="{BB5A562C-44DF-4127-BBF3-666A214CFCDF}"/>
    <cellStyle name="20% - Accent6 2 2 2 5 6" xfId="37503" xr:uid="{1A8CE5B8-F33B-474D-AB9B-D75D6C620022}"/>
    <cellStyle name="20% - Accent6 2 2 2 5 7" xfId="11309" xr:uid="{CDF3C5F8-8EE9-464E-B276-51C8072F03A8}"/>
    <cellStyle name="20% - Accent6 2 2 2 6" xfId="2307" xr:uid="{00000000-0005-0000-0000-000035030000}"/>
    <cellStyle name="20% - Accent6 2 2 2 6 2" xfId="6613" xr:uid="{00000000-0005-0000-0000-000036030000}"/>
    <cellStyle name="20% - Accent6 2 2 2 6 2 2" xfId="25239" xr:uid="{6D0BB4CF-7E6E-4570-8FC1-596455B2D4D0}"/>
    <cellStyle name="20% - Accent6 2 2 2 6 2 3" xfId="33686" xr:uid="{C7B70752-1630-421B-BD41-3285102FB44B}"/>
    <cellStyle name="20% - Accent6 2 2 2 6 2 4" xfId="42133" xr:uid="{D2475CB6-9C30-430B-BC40-6F669B8F3849}"/>
    <cellStyle name="20% - Accent6 2 2 2 6 2 5" xfId="15939" xr:uid="{593EBE27-8252-44D2-A7A0-A37E1841F292}"/>
    <cellStyle name="20% - Accent6 2 2 2 6 3" xfId="21022" xr:uid="{42200669-EC5D-4774-9366-523A9BCB0885}"/>
    <cellStyle name="20% - Accent6 2 2 2 6 4" xfId="29469" xr:uid="{0E5A0F4D-15A8-463F-B43B-C99EDAD3602B}"/>
    <cellStyle name="20% - Accent6 2 2 2 6 5" xfId="37916" xr:uid="{2E1E274C-2ACB-487D-8342-B79166560BAD}"/>
    <cellStyle name="20% - Accent6 2 2 2 6 6" xfId="11722" xr:uid="{E787EFEF-E186-44A3-A19D-EA3D6F5C553D}"/>
    <cellStyle name="20% - Accent6 2 2 2 7" xfId="4547" xr:uid="{00000000-0005-0000-0000-000037030000}"/>
    <cellStyle name="20% - Accent6 2 2 2 7 2" xfId="23173" xr:uid="{61A0F1C9-B7A5-414D-8372-80DE3184EC39}"/>
    <cellStyle name="20% - Accent6 2 2 2 7 3" xfId="31620" xr:uid="{93E75BB0-47B7-48C0-8172-5FD1CBA24C12}"/>
    <cellStyle name="20% - Accent6 2 2 2 7 4" xfId="40067" xr:uid="{36943976-6729-42CA-A7E0-EA49C152BA4D}"/>
    <cellStyle name="20% - Accent6 2 2 2 7 5" xfId="13873" xr:uid="{7D94EA19-9B51-4479-9B93-C7104699C6F0}"/>
    <cellStyle name="20% - Accent6 2 2 2 8" xfId="9105" xr:uid="{2D3B6B01-F2FB-4D08-A7F9-9902961EFB46}"/>
    <cellStyle name="20% - Accent6 2 2 2 8 2" xfId="18429" xr:uid="{6DC9AA23-9ABB-4055-8384-794751EC0E64}"/>
    <cellStyle name="20% - Accent6 2 2 2 9" xfId="18956" xr:uid="{F846B020-3053-43EB-B6D5-79906B6398F2}"/>
    <cellStyle name="20% - Accent6 2 2 3" xfId="612" xr:uid="{00000000-0005-0000-0000-000038030000}"/>
    <cellStyle name="20% - Accent6 2 2 3 2" xfId="2883" xr:uid="{00000000-0005-0000-0000-000039030000}"/>
    <cellStyle name="20% - Accent6 2 2 3 2 2" xfId="7105" xr:uid="{00000000-0005-0000-0000-00003A030000}"/>
    <cellStyle name="20% - Accent6 2 2 3 2 2 2" xfId="25731" xr:uid="{93175D4A-AEF7-4D54-8139-A01046F3387E}"/>
    <cellStyle name="20% - Accent6 2 2 3 2 2 3" xfId="34178" xr:uid="{BBAA6D11-5ACC-4334-9A4E-8FE2F7EF2A01}"/>
    <cellStyle name="20% - Accent6 2 2 3 2 2 4" xfId="42625" xr:uid="{B13C415A-7D2B-4405-BDBC-80CC9653BB13}"/>
    <cellStyle name="20% - Accent6 2 2 3 2 2 5" xfId="16431" xr:uid="{D799CE43-B903-4EA2-A56E-3BAC47128464}"/>
    <cellStyle name="20% - Accent6 2 2 3 2 3" xfId="21514" xr:uid="{0C31E574-D8EA-4EEE-9C0D-30BC7FE9D76E}"/>
    <cellStyle name="20% - Accent6 2 2 3 2 4" xfId="29961" xr:uid="{09ECC206-1303-4E63-A5ED-437C379DE31C}"/>
    <cellStyle name="20% - Accent6 2 2 3 2 5" xfId="38408" xr:uid="{9524C63A-2AB1-400B-B8BA-8D38D4AC2BC6}"/>
    <cellStyle name="20% - Accent6 2 2 3 2 6" xfId="12214" xr:uid="{4D261F04-DC98-436E-8F29-96A3C4DAA879}"/>
    <cellStyle name="20% - Accent6 2 2 3 3" xfId="4960" xr:uid="{00000000-0005-0000-0000-00003B030000}"/>
    <cellStyle name="20% - Accent6 2 2 3 3 2" xfId="23586" xr:uid="{3D4EC587-CDA3-4B2D-AFE5-B95A814B02E6}"/>
    <cellStyle name="20% - Accent6 2 2 3 3 3" xfId="32033" xr:uid="{CCECD58D-01C5-4527-B443-8E6E635D25FA}"/>
    <cellStyle name="20% - Accent6 2 2 3 3 4" xfId="40480" xr:uid="{DF406332-463D-4B97-A938-961C3C3970A1}"/>
    <cellStyle name="20% - Accent6 2 2 3 3 5" xfId="14286" xr:uid="{2AC81C4F-702D-4DB0-A4BE-A6932C2DF520}"/>
    <cellStyle name="20% - Accent6 2 2 3 4" xfId="9323" xr:uid="{93CC3C58-EC1C-4AC6-8D02-E00EFD80A494}"/>
    <cellStyle name="20% - Accent6 2 2 3 4 2" xfId="18639" xr:uid="{F4682205-FA18-433D-BA24-0297CF733993}"/>
    <cellStyle name="20% - Accent6 2 2 3 5" xfId="19369" xr:uid="{B10FBA52-FBFA-4EB6-A64C-F1DA4FE62F36}"/>
    <cellStyle name="20% - Accent6 2 2 3 6" xfId="27816" xr:uid="{1E0482D9-87B2-4AC4-8914-B3E847AD7984}"/>
    <cellStyle name="20% - Accent6 2 2 3 7" xfId="36263" xr:uid="{8E5BCC3C-9F30-4C68-ABC4-5948AE6073F7}"/>
    <cellStyle name="20% - Accent6 2 2 3 8" xfId="10069" xr:uid="{5222BF32-DA5B-4CB3-BD4E-8803D8B14830}"/>
    <cellStyle name="20% - Accent6 2 2 4" xfId="1065" xr:uid="{00000000-0005-0000-0000-00003C030000}"/>
    <cellStyle name="20% - Accent6 2 2 4 2" xfId="3296" xr:uid="{00000000-0005-0000-0000-00003D030000}"/>
    <cellStyle name="20% - Accent6 2 2 4 2 2" xfId="7518" xr:uid="{00000000-0005-0000-0000-00003E030000}"/>
    <cellStyle name="20% - Accent6 2 2 4 2 2 2" xfId="26144" xr:uid="{ACB59E96-5748-416D-93E1-E55F5B706982}"/>
    <cellStyle name="20% - Accent6 2 2 4 2 2 3" xfId="34591" xr:uid="{2F9FC042-956E-4BA7-A334-D3B5F4739D68}"/>
    <cellStyle name="20% - Accent6 2 2 4 2 2 4" xfId="43038" xr:uid="{3C4AB400-6825-43D1-A7F0-31F8870A00E8}"/>
    <cellStyle name="20% - Accent6 2 2 4 2 2 5" xfId="16844" xr:uid="{27C014B7-F299-4F15-9A4A-AAF74BCDACD4}"/>
    <cellStyle name="20% - Accent6 2 2 4 2 3" xfId="21927" xr:uid="{6645C9D4-A23B-4BA3-9FF9-487A603290B9}"/>
    <cellStyle name="20% - Accent6 2 2 4 2 4" xfId="30374" xr:uid="{D51A7638-C7A4-4F22-B3BA-242C07E63406}"/>
    <cellStyle name="20% - Accent6 2 2 4 2 5" xfId="38821" xr:uid="{3BCA007F-9935-4557-B50D-DD258BDE7800}"/>
    <cellStyle name="20% - Accent6 2 2 4 2 6" xfId="12627" xr:uid="{D1284D46-B74A-4D04-8344-767E4244FF7E}"/>
    <cellStyle name="20% - Accent6 2 2 4 3" xfId="5373" xr:uid="{00000000-0005-0000-0000-00003F030000}"/>
    <cellStyle name="20% - Accent6 2 2 4 3 2" xfId="23999" xr:uid="{F39CCD38-CE68-4FFC-B752-C640AD466602}"/>
    <cellStyle name="20% - Accent6 2 2 4 3 3" xfId="32446" xr:uid="{8351ADFD-F160-4053-AA1A-B73555DD23CC}"/>
    <cellStyle name="20% - Accent6 2 2 4 3 4" xfId="40893" xr:uid="{7B2FB9E6-21DB-4139-ACAE-5BD33A8128D9}"/>
    <cellStyle name="20% - Accent6 2 2 4 3 5" xfId="14699" xr:uid="{16A17E7E-41DE-4B2D-A77D-80A3A4506165}"/>
    <cellStyle name="20% - Accent6 2 2 4 4" xfId="19782" xr:uid="{C97D0F5B-615B-4E34-9507-D05F5ECDEA4C}"/>
    <cellStyle name="20% - Accent6 2 2 4 5" xfId="28229" xr:uid="{358043B0-AF95-4F32-838F-EA9EE0E0F92F}"/>
    <cellStyle name="20% - Accent6 2 2 4 6" xfId="36676" xr:uid="{6D445309-02F9-4BCD-8BD5-FA1153AFC37E}"/>
    <cellStyle name="20% - Accent6 2 2 4 7" xfId="10482" xr:uid="{F4FF6C21-6A4B-4187-85B9-E22F55730EA0}"/>
    <cellStyle name="20% - Accent6 2 2 5" xfId="1479" xr:uid="{00000000-0005-0000-0000-000040030000}"/>
    <cellStyle name="20% - Accent6 2 2 5 2" xfId="3709" xr:uid="{00000000-0005-0000-0000-000041030000}"/>
    <cellStyle name="20% - Accent6 2 2 5 2 2" xfId="7931" xr:uid="{00000000-0005-0000-0000-000042030000}"/>
    <cellStyle name="20% - Accent6 2 2 5 2 2 2" xfId="26557" xr:uid="{3D2A6012-D1C0-4AE9-82FD-3E54EC0C2A2D}"/>
    <cellStyle name="20% - Accent6 2 2 5 2 2 3" xfId="35004" xr:uid="{1AF7A6D4-87E6-47AF-A5DD-9B9B81E1D53D}"/>
    <cellStyle name="20% - Accent6 2 2 5 2 2 4" xfId="43451" xr:uid="{6DA69FEC-748F-4C02-AF43-AB43D89A0E77}"/>
    <cellStyle name="20% - Accent6 2 2 5 2 2 5" xfId="17257" xr:uid="{18D683DA-43FD-4F97-AB33-7F3C974DADB4}"/>
    <cellStyle name="20% - Accent6 2 2 5 2 3" xfId="22340" xr:uid="{2FD4E02F-4AE9-4BA8-94AE-5F594CB539D5}"/>
    <cellStyle name="20% - Accent6 2 2 5 2 4" xfId="30787" xr:uid="{906DE0EB-09BD-4534-BEC7-56282A853AC6}"/>
    <cellStyle name="20% - Accent6 2 2 5 2 5" xfId="39234" xr:uid="{15592A85-07C6-483A-ACD8-16475F10C822}"/>
    <cellStyle name="20% - Accent6 2 2 5 2 6" xfId="13040" xr:uid="{FC559B60-AF18-4918-9377-C8542306BDD0}"/>
    <cellStyle name="20% - Accent6 2 2 5 3" xfId="5786" xr:uid="{00000000-0005-0000-0000-000043030000}"/>
    <cellStyle name="20% - Accent6 2 2 5 3 2" xfId="24412" xr:uid="{D8D0CD9E-5F48-4234-8B3F-8B4A900B6BBB}"/>
    <cellStyle name="20% - Accent6 2 2 5 3 3" xfId="32859" xr:uid="{FCFF93A1-CF79-46D5-8E23-FEA557BED61F}"/>
    <cellStyle name="20% - Accent6 2 2 5 3 4" xfId="41306" xr:uid="{0693A7B4-BEAA-4D05-A7F3-9D4626472308}"/>
    <cellStyle name="20% - Accent6 2 2 5 3 5" xfId="15112" xr:uid="{1C1D9550-99FC-4AD6-91B0-8729A75C4D07}"/>
    <cellStyle name="20% - Accent6 2 2 5 4" xfId="20195" xr:uid="{EED69F31-7A21-4E25-8F0A-C0459CB43470}"/>
    <cellStyle name="20% - Accent6 2 2 5 5" xfId="28642" xr:uid="{70B94D36-7493-4331-B4D0-4B05A60AA8FE}"/>
    <cellStyle name="20% - Accent6 2 2 5 6" xfId="37089" xr:uid="{8A584FF6-DAC1-4587-8068-FC65F9E321B3}"/>
    <cellStyle name="20% - Accent6 2 2 5 7" xfId="10895" xr:uid="{BA58202C-04DF-432C-AD1C-B8D425BFA292}"/>
    <cellStyle name="20% - Accent6 2 2 6" xfId="1893" xr:uid="{00000000-0005-0000-0000-000044030000}"/>
    <cellStyle name="20% - Accent6 2 2 6 2" xfId="4122" xr:uid="{00000000-0005-0000-0000-000045030000}"/>
    <cellStyle name="20% - Accent6 2 2 6 2 2" xfId="8344" xr:uid="{00000000-0005-0000-0000-000046030000}"/>
    <cellStyle name="20% - Accent6 2 2 6 2 2 2" xfId="26970" xr:uid="{C64E4AB6-E74A-41BA-A75E-D5BE4CC3499B}"/>
    <cellStyle name="20% - Accent6 2 2 6 2 2 3" xfId="35417" xr:uid="{8F7C15A4-2D64-45C1-B7D7-37FCFB2FB7C7}"/>
    <cellStyle name="20% - Accent6 2 2 6 2 2 4" xfId="43864" xr:uid="{C841FFCC-142E-422B-BC7A-3B125061DC41}"/>
    <cellStyle name="20% - Accent6 2 2 6 2 2 5" xfId="17670" xr:uid="{BCDA81FA-5D2B-488A-85E4-2D9DA8987E67}"/>
    <cellStyle name="20% - Accent6 2 2 6 2 3" xfId="22753" xr:uid="{2DDA4979-1772-4C94-A9BE-330FD1180D6F}"/>
    <cellStyle name="20% - Accent6 2 2 6 2 4" xfId="31200" xr:uid="{3F9904C3-5E2A-40AE-8BA3-9B8BDE6FD28D}"/>
    <cellStyle name="20% - Accent6 2 2 6 2 5" xfId="39647" xr:uid="{E066CBA8-C3D7-4935-9ED6-8F1AE1808FEA}"/>
    <cellStyle name="20% - Accent6 2 2 6 2 6" xfId="13453" xr:uid="{EF467886-C57C-4A0E-B746-50E96EBA3803}"/>
    <cellStyle name="20% - Accent6 2 2 6 3" xfId="6199" xr:uid="{00000000-0005-0000-0000-000047030000}"/>
    <cellStyle name="20% - Accent6 2 2 6 3 2" xfId="24825" xr:uid="{900994FC-2A9F-4091-9B8C-013F59AB935D}"/>
    <cellStyle name="20% - Accent6 2 2 6 3 3" xfId="33272" xr:uid="{7460B82A-6295-4EE0-B034-A04BAD4B290F}"/>
    <cellStyle name="20% - Accent6 2 2 6 3 4" xfId="41719" xr:uid="{556CACC2-5FBD-4B8F-B77E-9A9477425AD8}"/>
    <cellStyle name="20% - Accent6 2 2 6 3 5" xfId="15525" xr:uid="{F80B22B0-7234-4305-ABCA-47A68BBCA59E}"/>
    <cellStyle name="20% - Accent6 2 2 6 4" xfId="20608" xr:uid="{1F13E174-C09A-4EB8-8943-0E95078C3BCA}"/>
    <cellStyle name="20% - Accent6 2 2 6 5" xfId="29055" xr:uid="{62927377-82CA-44EE-B248-3C6E04D00BD7}"/>
    <cellStyle name="20% - Accent6 2 2 6 6" xfId="37502" xr:uid="{36E541AE-AB0F-49D8-95F0-A6F7DECA74EA}"/>
    <cellStyle name="20% - Accent6 2 2 6 7" xfId="11308" xr:uid="{E0DE82FC-C831-488E-A27E-4E3987375163}"/>
    <cellStyle name="20% - Accent6 2 2 7" xfId="2306" xr:uid="{00000000-0005-0000-0000-000048030000}"/>
    <cellStyle name="20% - Accent6 2 2 7 2" xfId="6612" xr:uid="{00000000-0005-0000-0000-000049030000}"/>
    <cellStyle name="20% - Accent6 2 2 7 2 2" xfId="25238" xr:uid="{A6C9E1A1-C3B7-47B1-A7A3-A70F25290549}"/>
    <cellStyle name="20% - Accent6 2 2 7 2 3" xfId="33685" xr:uid="{2315C793-51B3-4F2A-8FA4-075EE9EE703A}"/>
    <cellStyle name="20% - Accent6 2 2 7 2 4" xfId="42132" xr:uid="{838928A3-550B-464B-8AAC-59607A883BAA}"/>
    <cellStyle name="20% - Accent6 2 2 7 2 5" xfId="15938" xr:uid="{F7A42220-B5A0-452F-AE5E-243D10F6E9C2}"/>
    <cellStyle name="20% - Accent6 2 2 7 3" xfId="21021" xr:uid="{A55E1057-2CDE-48DF-AC89-AB6EBA552A16}"/>
    <cellStyle name="20% - Accent6 2 2 7 4" xfId="29468" xr:uid="{926899E7-A7E2-4871-8C93-74B94802871C}"/>
    <cellStyle name="20% - Accent6 2 2 7 5" xfId="37915" xr:uid="{5785EB24-6FD5-47EC-B3E9-90A77CF83690}"/>
    <cellStyle name="20% - Accent6 2 2 7 6" xfId="11721" xr:uid="{3B5CC0F2-6E23-4771-BAAB-FB2ECD84E32F}"/>
    <cellStyle name="20% - Accent6 2 2 8" xfId="4546" xr:uid="{00000000-0005-0000-0000-00004A030000}"/>
    <cellStyle name="20% - Accent6 2 2 8 2" xfId="23172" xr:uid="{6376CC4B-30AB-4399-B439-B72C3DCAF73E}"/>
    <cellStyle name="20% - Accent6 2 2 8 3" xfId="31619" xr:uid="{699ED283-83E6-49D4-BC7E-F5D0711728D1}"/>
    <cellStyle name="20% - Accent6 2 2 8 4" xfId="40066" xr:uid="{B3C46F3D-92E2-4A5E-84DD-DD8A1F71898E}"/>
    <cellStyle name="20% - Accent6 2 2 8 5" xfId="13872" xr:uid="{F4781758-BBBB-487D-B639-EC9F51ADF7FD}"/>
    <cellStyle name="20% - Accent6 2 2 9" xfId="8898" xr:uid="{88686F75-037F-4072-9BDC-942546C51E8F}"/>
    <cellStyle name="20% - Accent6 2 2 9 2" xfId="18222" xr:uid="{5D461FF2-323B-4892-89A0-87B5B2ACA259}"/>
    <cellStyle name="20% - Accent6 2 3" xfId="45" xr:uid="{00000000-0005-0000-0000-00004B030000}"/>
    <cellStyle name="20% - Accent6 2 3 10" xfId="27404" xr:uid="{1767B072-CE6C-4D09-AF58-EDCECD82EE2D}"/>
    <cellStyle name="20% - Accent6 2 3 11" xfId="35851" xr:uid="{1047C685-0D30-41A1-B09F-6856EC74F0B3}"/>
    <cellStyle name="20% - Accent6 2 3 12" xfId="9657" xr:uid="{BAFFA61D-17A7-4662-9DBF-971E0742FE28}"/>
    <cellStyle name="20% - Accent6 2 3 2" xfId="614" xr:uid="{00000000-0005-0000-0000-00004C030000}"/>
    <cellStyle name="20% - Accent6 2 3 2 2" xfId="2885" xr:uid="{00000000-0005-0000-0000-00004D030000}"/>
    <cellStyle name="20% - Accent6 2 3 2 2 2" xfId="7107" xr:uid="{00000000-0005-0000-0000-00004E030000}"/>
    <cellStyle name="20% - Accent6 2 3 2 2 2 2" xfId="25733" xr:uid="{C6429677-E43C-4EFD-A10F-6C1AC9F66A48}"/>
    <cellStyle name="20% - Accent6 2 3 2 2 2 3" xfId="34180" xr:uid="{258A1FDE-53AE-4516-9886-FC8E6AB03D81}"/>
    <cellStyle name="20% - Accent6 2 3 2 2 2 4" xfId="42627" xr:uid="{E672D2E6-77FA-4D27-BB75-0A69946321FB}"/>
    <cellStyle name="20% - Accent6 2 3 2 2 2 5" xfId="16433" xr:uid="{93BC5FE9-4432-48C7-B200-AA29343C79DC}"/>
    <cellStyle name="20% - Accent6 2 3 2 2 3" xfId="21516" xr:uid="{82980939-965A-46DD-AADA-0896D8D44FDE}"/>
    <cellStyle name="20% - Accent6 2 3 2 2 4" xfId="29963" xr:uid="{61E7005F-ECA9-43CE-8689-6F60A0626E37}"/>
    <cellStyle name="20% - Accent6 2 3 2 2 5" xfId="38410" xr:uid="{AEF6E709-D5AC-4323-8AB2-B60F61EC4F74}"/>
    <cellStyle name="20% - Accent6 2 3 2 2 6" xfId="12216" xr:uid="{8EAEA86D-F87B-4D52-9B35-6F62E5E9D9E2}"/>
    <cellStyle name="20% - Accent6 2 3 2 3" xfId="4962" xr:uid="{00000000-0005-0000-0000-00004F030000}"/>
    <cellStyle name="20% - Accent6 2 3 2 3 2" xfId="23588" xr:uid="{2B8FB904-A4DB-43CA-B5B8-338F1DF10831}"/>
    <cellStyle name="20% - Accent6 2 3 2 3 3" xfId="32035" xr:uid="{6938EED6-F1F6-4CC3-9D5C-D3BE2F32A186}"/>
    <cellStyle name="20% - Accent6 2 3 2 3 4" xfId="40482" xr:uid="{2E7FF003-8954-47A5-8560-F5760F911D4C}"/>
    <cellStyle name="20% - Accent6 2 3 2 3 5" xfId="14288" xr:uid="{B5CC56CE-9094-42E0-91A0-6A22269F1685}"/>
    <cellStyle name="20% - Accent6 2 3 2 4" xfId="9427" xr:uid="{009378B6-C0A8-4C7C-A9A2-F91104842D93}"/>
    <cellStyle name="20% - Accent6 2 3 2 4 2" xfId="18743" xr:uid="{6DA6AAA3-C878-4D43-9556-56DF5AE04CFC}"/>
    <cellStyle name="20% - Accent6 2 3 2 5" xfId="19371" xr:uid="{51E3EEDA-1CBE-4402-8235-6CB91161C8DF}"/>
    <cellStyle name="20% - Accent6 2 3 2 6" xfId="27818" xr:uid="{1A163643-9A62-4658-8B4E-ABDA17626294}"/>
    <cellStyle name="20% - Accent6 2 3 2 7" xfId="36265" xr:uid="{DBBBFEE2-DDA0-4DA6-9EA5-35A093858B05}"/>
    <cellStyle name="20% - Accent6 2 3 2 8" xfId="10071" xr:uid="{9A84A22C-820D-45C8-9F1A-5F4A63698946}"/>
    <cellStyle name="20% - Accent6 2 3 3" xfId="1067" xr:uid="{00000000-0005-0000-0000-000050030000}"/>
    <cellStyle name="20% - Accent6 2 3 3 2" xfId="3298" xr:uid="{00000000-0005-0000-0000-000051030000}"/>
    <cellStyle name="20% - Accent6 2 3 3 2 2" xfId="7520" xr:uid="{00000000-0005-0000-0000-000052030000}"/>
    <cellStyle name="20% - Accent6 2 3 3 2 2 2" xfId="26146" xr:uid="{DC4FB136-CE93-43C9-9B6E-C05E6A276675}"/>
    <cellStyle name="20% - Accent6 2 3 3 2 2 3" xfId="34593" xr:uid="{E2A3F9D6-1092-42D4-B11A-E320F0CDCECB}"/>
    <cellStyle name="20% - Accent6 2 3 3 2 2 4" xfId="43040" xr:uid="{41BAB7AE-96FE-4BC8-B062-2FF4A98D986A}"/>
    <cellStyle name="20% - Accent6 2 3 3 2 2 5" xfId="16846" xr:uid="{9F2837B2-87A3-40B0-899C-04BB90B3781C}"/>
    <cellStyle name="20% - Accent6 2 3 3 2 3" xfId="21929" xr:uid="{400D973E-9185-4343-B75E-B981B36CE7BC}"/>
    <cellStyle name="20% - Accent6 2 3 3 2 4" xfId="30376" xr:uid="{A39CE50D-5B1D-41B3-96EA-0E6BB13E3BB4}"/>
    <cellStyle name="20% - Accent6 2 3 3 2 5" xfId="38823" xr:uid="{C0873EAA-C863-4A8A-8057-24F76D67A66A}"/>
    <cellStyle name="20% - Accent6 2 3 3 2 6" xfId="12629" xr:uid="{A76418BA-1F0A-4314-A1B8-955F33A1959D}"/>
    <cellStyle name="20% - Accent6 2 3 3 3" xfId="5375" xr:uid="{00000000-0005-0000-0000-000053030000}"/>
    <cellStyle name="20% - Accent6 2 3 3 3 2" xfId="24001" xr:uid="{2A5F4181-8B67-4A14-8C0C-139CFE89F464}"/>
    <cellStyle name="20% - Accent6 2 3 3 3 3" xfId="32448" xr:uid="{9E769A0C-28D9-444F-A774-E89352A46A26}"/>
    <cellStyle name="20% - Accent6 2 3 3 3 4" xfId="40895" xr:uid="{669FBB8D-0B68-4DC2-AEBA-5CD61ED55DAC}"/>
    <cellStyle name="20% - Accent6 2 3 3 3 5" xfId="14701" xr:uid="{AD49FC57-9D1F-4EAB-9065-A72175B777E8}"/>
    <cellStyle name="20% - Accent6 2 3 3 4" xfId="19784" xr:uid="{86A465A6-C898-4169-906E-45797882CB75}"/>
    <cellStyle name="20% - Accent6 2 3 3 5" xfId="28231" xr:uid="{957E3A1B-42BF-4087-81A9-632766B4FEA3}"/>
    <cellStyle name="20% - Accent6 2 3 3 6" xfId="36678" xr:uid="{4A64E998-3508-4197-9E4D-91E995F86409}"/>
    <cellStyle name="20% - Accent6 2 3 3 7" xfId="10484" xr:uid="{80B5DBB2-50D8-42E2-B3D8-D7C615298325}"/>
    <cellStyle name="20% - Accent6 2 3 4" xfId="1481" xr:uid="{00000000-0005-0000-0000-000054030000}"/>
    <cellStyle name="20% - Accent6 2 3 4 2" xfId="3711" xr:uid="{00000000-0005-0000-0000-000055030000}"/>
    <cellStyle name="20% - Accent6 2 3 4 2 2" xfId="7933" xr:uid="{00000000-0005-0000-0000-000056030000}"/>
    <cellStyle name="20% - Accent6 2 3 4 2 2 2" xfId="26559" xr:uid="{ADFE1E7A-F652-486E-A8B2-6EAEFC4F989F}"/>
    <cellStyle name="20% - Accent6 2 3 4 2 2 3" xfId="35006" xr:uid="{E6954223-1AF4-4B48-AD22-49BECC4C4A57}"/>
    <cellStyle name="20% - Accent6 2 3 4 2 2 4" xfId="43453" xr:uid="{4ADEF28B-93BB-43AD-807B-B1E0A3363BD5}"/>
    <cellStyle name="20% - Accent6 2 3 4 2 2 5" xfId="17259" xr:uid="{60E04EF1-33C2-4759-A13E-DF312508829D}"/>
    <cellStyle name="20% - Accent6 2 3 4 2 3" xfId="22342" xr:uid="{EB59AD9C-E295-4AB5-B57B-6280405C67E5}"/>
    <cellStyle name="20% - Accent6 2 3 4 2 4" xfId="30789" xr:uid="{167D881C-ED31-459A-B450-59F1F712EE2A}"/>
    <cellStyle name="20% - Accent6 2 3 4 2 5" xfId="39236" xr:uid="{28BE5FA1-DA66-4D22-A062-7F54345E3E03}"/>
    <cellStyle name="20% - Accent6 2 3 4 2 6" xfId="13042" xr:uid="{2ABBAFB2-6E83-4356-83BD-6E8DFB079F46}"/>
    <cellStyle name="20% - Accent6 2 3 4 3" xfId="5788" xr:uid="{00000000-0005-0000-0000-000057030000}"/>
    <cellStyle name="20% - Accent6 2 3 4 3 2" xfId="24414" xr:uid="{6E2DF3FA-4BA1-4839-A514-344F69F6FD5B}"/>
    <cellStyle name="20% - Accent6 2 3 4 3 3" xfId="32861" xr:uid="{BBD5C739-F97B-43B8-A1C6-05AF84333A72}"/>
    <cellStyle name="20% - Accent6 2 3 4 3 4" xfId="41308" xr:uid="{42937801-5471-493A-A32F-23A45CB55817}"/>
    <cellStyle name="20% - Accent6 2 3 4 3 5" xfId="15114" xr:uid="{49BB3344-11ED-4F7A-8234-2FB6F9271DE4}"/>
    <cellStyle name="20% - Accent6 2 3 4 4" xfId="20197" xr:uid="{98FE1E88-50A8-421A-A1FB-809BDBE8B838}"/>
    <cellStyle name="20% - Accent6 2 3 4 5" xfId="28644" xr:uid="{A5EDE91E-1B1E-446C-9214-8B3E07CEEEE2}"/>
    <cellStyle name="20% - Accent6 2 3 4 6" xfId="37091" xr:uid="{BC0C073C-2AC3-437F-827E-391156622272}"/>
    <cellStyle name="20% - Accent6 2 3 4 7" xfId="10897" xr:uid="{B20FFB6E-7DBB-4EF1-A42F-CD8584B98D03}"/>
    <cellStyle name="20% - Accent6 2 3 5" xfId="1895" xr:uid="{00000000-0005-0000-0000-000058030000}"/>
    <cellStyle name="20% - Accent6 2 3 5 2" xfId="4124" xr:uid="{00000000-0005-0000-0000-000059030000}"/>
    <cellStyle name="20% - Accent6 2 3 5 2 2" xfId="8346" xr:uid="{00000000-0005-0000-0000-00005A030000}"/>
    <cellStyle name="20% - Accent6 2 3 5 2 2 2" xfId="26972" xr:uid="{F859B3F3-E7F6-4B1A-8BEC-7493A3E32173}"/>
    <cellStyle name="20% - Accent6 2 3 5 2 2 3" xfId="35419" xr:uid="{4214AAB3-E953-4F62-8360-9634E9B2DEF3}"/>
    <cellStyle name="20% - Accent6 2 3 5 2 2 4" xfId="43866" xr:uid="{DF7EF3A2-FA87-4A8B-919E-9BA0C494CD0E}"/>
    <cellStyle name="20% - Accent6 2 3 5 2 2 5" xfId="17672" xr:uid="{8B58B5FA-687D-48D5-ADBE-FE56C375F27F}"/>
    <cellStyle name="20% - Accent6 2 3 5 2 3" xfId="22755" xr:uid="{C8CDC0CC-2C3E-4283-8A00-16F2188B0424}"/>
    <cellStyle name="20% - Accent6 2 3 5 2 4" xfId="31202" xr:uid="{D8254104-8CFE-4383-AAB4-D227E9C9288B}"/>
    <cellStyle name="20% - Accent6 2 3 5 2 5" xfId="39649" xr:uid="{403138DE-C1DA-47DB-8885-8C9DF0E22481}"/>
    <cellStyle name="20% - Accent6 2 3 5 2 6" xfId="13455" xr:uid="{03E80062-E508-4F5A-A963-F24A7ED369FE}"/>
    <cellStyle name="20% - Accent6 2 3 5 3" xfId="6201" xr:uid="{00000000-0005-0000-0000-00005B030000}"/>
    <cellStyle name="20% - Accent6 2 3 5 3 2" xfId="24827" xr:uid="{51D60289-92E0-4310-A1D7-8034A924FE26}"/>
    <cellStyle name="20% - Accent6 2 3 5 3 3" xfId="33274" xr:uid="{6E020645-6040-4E2C-BF46-3E98FC8B8293}"/>
    <cellStyle name="20% - Accent6 2 3 5 3 4" xfId="41721" xr:uid="{E76A6447-89DB-4BC7-A76C-AF24C76B4D12}"/>
    <cellStyle name="20% - Accent6 2 3 5 3 5" xfId="15527" xr:uid="{335ABEB6-6557-4CCE-875C-AC1F32434225}"/>
    <cellStyle name="20% - Accent6 2 3 5 4" xfId="20610" xr:uid="{D6C8D842-D888-45AD-84B6-BB4A0566CDBE}"/>
    <cellStyle name="20% - Accent6 2 3 5 5" xfId="29057" xr:uid="{60D565BB-46F6-489F-8A7B-619C8D83CFBB}"/>
    <cellStyle name="20% - Accent6 2 3 5 6" xfId="37504" xr:uid="{7CB49321-F06C-4E14-98E2-F4F2969A9295}"/>
    <cellStyle name="20% - Accent6 2 3 5 7" xfId="11310" xr:uid="{037B49BE-0939-4554-A01A-2CFBDB9F9BBF}"/>
    <cellStyle name="20% - Accent6 2 3 6" xfId="2308" xr:uid="{00000000-0005-0000-0000-00005C030000}"/>
    <cellStyle name="20% - Accent6 2 3 6 2" xfId="6614" xr:uid="{00000000-0005-0000-0000-00005D030000}"/>
    <cellStyle name="20% - Accent6 2 3 6 2 2" xfId="25240" xr:uid="{C23330AF-1388-4057-9E29-3C8D4BACBCD5}"/>
    <cellStyle name="20% - Accent6 2 3 6 2 3" xfId="33687" xr:uid="{4C95C0AB-7373-4C23-9ACE-27B354BB270A}"/>
    <cellStyle name="20% - Accent6 2 3 6 2 4" xfId="42134" xr:uid="{53AD0772-B3E1-4605-9DB4-4829FB118BFC}"/>
    <cellStyle name="20% - Accent6 2 3 6 2 5" xfId="15940" xr:uid="{49ACC8B1-C2A2-4630-B6DC-3EAEF0F0C265}"/>
    <cellStyle name="20% - Accent6 2 3 6 3" xfId="21023" xr:uid="{B633712C-EE6E-4FC2-810C-CEEE998EA978}"/>
    <cellStyle name="20% - Accent6 2 3 6 4" xfId="29470" xr:uid="{4056488E-C6FC-46D9-AA06-F2E2AE7AA329}"/>
    <cellStyle name="20% - Accent6 2 3 6 5" xfId="37917" xr:uid="{5838840A-113A-4997-9BAB-784C50EC5978}"/>
    <cellStyle name="20% - Accent6 2 3 6 6" xfId="11723" xr:uid="{D9F62B32-9A2B-41A1-9271-B346A59D6FF9}"/>
    <cellStyle name="20% - Accent6 2 3 7" xfId="4548" xr:uid="{00000000-0005-0000-0000-00005E030000}"/>
    <cellStyle name="20% - Accent6 2 3 7 2" xfId="23174" xr:uid="{0DFD1DB9-80C7-4658-ACF2-6BFB9C28A6AE}"/>
    <cellStyle name="20% - Accent6 2 3 7 3" xfId="31621" xr:uid="{0D663D67-B0FA-42AF-B6B6-64FFD8F5E344}"/>
    <cellStyle name="20% - Accent6 2 3 7 4" xfId="40068" xr:uid="{71458A77-6541-41E1-8F64-26FDF30CD2FC}"/>
    <cellStyle name="20% - Accent6 2 3 7 5" xfId="13874" xr:uid="{58F4C550-2C6A-45CA-A6CB-58ABDB40416A}"/>
    <cellStyle name="20% - Accent6 2 3 8" xfId="9002" xr:uid="{F69877AB-868C-474F-8F88-C5F2F1F2C041}"/>
    <cellStyle name="20% - Accent6 2 3 8 2" xfId="18326" xr:uid="{8FCB33F8-4B7A-4D88-A506-9911E39D7AFE}"/>
    <cellStyle name="20% - Accent6 2 3 9" xfId="18957" xr:uid="{1A7E67C3-A403-4FDA-8659-A86E5FCD33C5}"/>
    <cellStyle name="20% - Accent6 2 4" xfId="611" xr:uid="{00000000-0005-0000-0000-00005F030000}"/>
    <cellStyle name="20% - Accent6 2 4 2" xfId="2882" xr:uid="{00000000-0005-0000-0000-000060030000}"/>
    <cellStyle name="20% - Accent6 2 4 2 2" xfId="7104" xr:uid="{00000000-0005-0000-0000-000061030000}"/>
    <cellStyle name="20% - Accent6 2 4 2 2 2" xfId="25730" xr:uid="{D8A8C4EF-62CA-4BDA-A8E2-DC28D21878C5}"/>
    <cellStyle name="20% - Accent6 2 4 2 2 3" xfId="34177" xr:uid="{E8ABA6FC-86EE-428E-9A0F-A3FC5CDD6042}"/>
    <cellStyle name="20% - Accent6 2 4 2 2 4" xfId="42624" xr:uid="{EF7CAECD-362B-4DC1-80D2-C591A9A5DC95}"/>
    <cellStyle name="20% - Accent6 2 4 2 2 5" xfId="16430" xr:uid="{F2D70208-CB27-4D2F-909F-45DE56ABB126}"/>
    <cellStyle name="20% - Accent6 2 4 2 3" xfId="21513" xr:uid="{4D7BE1AC-ACE1-456A-A59F-F10E96E6304D}"/>
    <cellStyle name="20% - Accent6 2 4 2 4" xfId="29960" xr:uid="{44B0E170-E7BA-4CE8-A0F0-3BE356D95ADF}"/>
    <cellStyle name="20% - Accent6 2 4 2 5" xfId="38407" xr:uid="{33488077-1718-45D0-AA31-20191FD3CCFB}"/>
    <cellStyle name="20% - Accent6 2 4 2 6" xfId="12213" xr:uid="{05EBB602-14A8-4B9C-BCD8-776ED2753F0D}"/>
    <cellStyle name="20% - Accent6 2 4 3" xfId="4959" xr:uid="{00000000-0005-0000-0000-000062030000}"/>
    <cellStyle name="20% - Accent6 2 4 3 2" xfId="23585" xr:uid="{F98FFDAB-6F71-413C-A2EA-5BA5EDE85EF7}"/>
    <cellStyle name="20% - Accent6 2 4 3 3" xfId="32032" xr:uid="{073C4C22-E11B-42C0-A9A3-D1502BF0690E}"/>
    <cellStyle name="20% - Accent6 2 4 3 4" xfId="40479" xr:uid="{126D0604-8FEA-496D-9BFB-8C49339336CA}"/>
    <cellStyle name="20% - Accent6 2 4 3 5" xfId="14285" xr:uid="{93A866DD-6544-489F-9291-F66D9704B32C}"/>
    <cellStyle name="20% - Accent6 2 4 4" xfId="9219" xr:uid="{C8AD75F8-261B-45C4-93F0-0E0A49EEEF79}"/>
    <cellStyle name="20% - Accent6 2 4 4 2" xfId="18536" xr:uid="{B10D8A8D-DD0E-4A1A-9314-F91EE8894BD9}"/>
    <cellStyle name="20% - Accent6 2 4 5" xfId="19368" xr:uid="{F25D422C-371C-45B2-9D4C-AAE36F60F7AC}"/>
    <cellStyle name="20% - Accent6 2 4 6" xfId="27815" xr:uid="{0690DF9F-3807-4197-B4D9-E1AA78DF2DB6}"/>
    <cellStyle name="20% - Accent6 2 4 7" xfId="36262" xr:uid="{7DD624C9-2112-46D1-AADE-4110A4FD98C8}"/>
    <cellStyle name="20% - Accent6 2 4 8" xfId="10068" xr:uid="{20D506E5-301A-4391-A9EE-6D5D40A19A0F}"/>
    <cellStyle name="20% - Accent6 2 5" xfId="1064" xr:uid="{00000000-0005-0000-0000-000063030000}"/>
    <cellStyle name="20% - Accent6 2 5 2" xfId="3295" xr:uid="{00000000-0005-0000-0000-000064030000}"/>
    <cellStyle name="20% - Accent6 2 5 2 2" xfId="7517" xr:uid="{00000000-0005-0000-0000-000065030000}"/>
    <cellStyle name="20% - Accent6 2 5 2 2 2" xfId="26143" xr:uid="{5F5A6386-0D21-411B-A39B-85ADCCF6D5C4}"/>
    <cellStyle name="20% - Accent6 2 5 2 2 3" xfId="34590" xr:uid="{02946191-3875-441F-9EE8-BFC0BAE73FCA}"/>
    <cellStyle name="20% - Accent6 2 5 2 2 4" xfId="43037" xr:uid="{A3B17AED-9529-482C-AA43-5DA86644A2A9}"/>
    <cellStyle name="20% - Accent6 2 5 2 2 5" xfId="16843" xr:uid="{D53709C9-9C48-470B-805E-88EF8D788331}"/>
    <cellStyle name="20% - Accent6 2 5 2 3" xfId="21926" xr:uid="{4A6F11D8-D9EA-47CB-8110-97F94EDB8A7C}"/>
    <cellStyle name="20% - Accent6 2 5 2 4" xfId="30373" xr:uid="{324F8967-B158-41E2-89A6-65E22ECC2F18}"/>
    <cellStyle name="20% - Accent6 2 5 2 5" xfId="38820" xr:uid="{27AAA286-FEEC-4707-9A15-CC1FC0AC96D3}"/>
    <cellStyle name="20% - Accent6 2 5 2 6" xfId="12626" xr:uid="{08CBF015-D49D-4770-870E-536620512699}"/>
    <cellStyle name="20% - Accent6 2 5 3" xfId="5372" xr:uid="{00000000-0005-0000-0000-000066030000}"/>
    <cellStyle name="20% - Accent6 2 5 3 2" xfId="23998" xr:uid="{C2131378-D094-4C98-BBE9-0E05BF012879}"/>
    <cellStyle name="20% - Accent6 2 5 3 3" xfId="32445" xr:uid="{7F4A1337-AD69-4985-A306-908F09214D66}"/>
    <cellStyle name="20% - Accent6 2 5 3 4" xfId="40892" xr:uid="{47F70BEA-7050-4847-9A13-2B126EF8A7D5}"/>
    <cellStyle name="20% - Accent6 2 5 3 5" xfId="14698" xr:uid="{AADEB43A-B654-4422-99B4-2B09955F8E58}"/>
    <cellStyle name="20% - Accent6 2 5 4" xfId="19781" xr:uid="{F0E39F22-0903-455A-9364-221BA8FBAD45}"/>
    <cellStyle name="20% - Accent6 2 5 5" xfId="28228" xr:uid="{C9C0D6EB-3E72-4D1D-B4F9-84E5E3BCB9FB}"/>
    <cellStyle name="20% - Accent6 2 5 6" xfId="36675" xr:uid="{B4D223F4-FB6B-41C8-9FB3-1CCFAA3D9F05}"/>
    <cellStyle name="20% - Accent6 2 5 7" xfId="10481" xr:uid="{F99849E5-AA10-43AF-A0CF-87D653B96DDE}"/>
    <cellStyle name="20% - Accent6 2 6" xfId="1478" xr:uid="{00000000-0005-0000-0000-000067030000}"/>
    <cellStyle name="20% - Accent6 2 6 2" xfId="3708" xr:uid="{00000000-0005-0000-0000-000068030000}"/>
    <cellStyle name="20% - Accent6 2 6 2 2" xfId="7930" xr:uid="{00000000-0005-0000-0000-000069030000}"/>
    <cellStyle name="20% - Accent6 2 6 2 2 2" xfId="26556" xr:uid="{B4A6F230-7C65-492B-AC7B-8ED0648A9C4D}"/>
    <cellStyle name="20% - Accent6 2 6 2 2 3" xfId="35003" xr:uid="{6A36BA5C-17A0-484E-912C-A7F6FB812698}"/>
    <cellStyle name="20% - Accent6 2 6 2 2 4" xfId="43450" xr:uid="{70CD6990-0F8C-437F-8231-1E742D24A7EA}"/>
    <cellStyle name="20% - Accent6 2 6 2 2 5" xfId="17256" xr:uid="{B5ADF449-2536-430E-8258-743CA89384AF}"/>
    <cellStyle name="20% - Accent6 2 6 2 3" xfId="22339" xr:uid="{0F9BEA7F-610C-4760-8FD4-6A394A269262}"/>
    <cellStyle name="20% - Accent6 2 6 2 4" xfId="30786" xr:uid="{9A940EC2-9DA1-463A-97BB-8EF78367AF73}"/>
    <cellStyle name="20% - Accent6 2 6 2 5" xfId="39233" xr:uid="{5B090118-0960-4DF1-914A-7AD371B95200}"/>
    <cellStyle name="20% - Accent6 2 6 2 6" xfId="13039" xr:uid="{E5A3C715-1638-4473-AD03-6FA157F281DC}"/>
    <cellStyle name="20% - Accent6 2 6 3" xfId="5785" xr:uid="{00000000-0005-0000-0000-00006A030000}"/>
    <cellStyle name="20% - Accent6 2 6 3 2" xfId="24411" xr:uid="{5419CD6C-8738-46D1-98E1-4D546BA68D80}"/>
    <cellStyle name="20% - Accent6 2 6 3 3" xfId="32858" xr:uid="{B07429F8-28BB-4DEF-A1CB-7832F1DB9A1F}"/>
    <cellStyle name="20% - Accent6 2 6 3 4" xfId="41305" xr:uid="{25BE476F-AFA2-4093-9D90-43E8F987C0BC}"/>
    <cellStyle name="20% - Accent6 2 6 3 5" xfId="15111" xr:uid="{06A115C2-F6DB-462B-A0EA-1ACE0A5BF883}"/>
    <cellStyle name="20% - Accent6 2 6 4" xfId="20194" xr:uid="{3161ACEF-CC90-45B7-9662-34A8CB51F176}"/>
    <cellStyle name="20% - Accent6 2 6 5" xfId="28641" xr:uid="{D3FFFA71-A25B-4F1A-9882-AA429F2058FC}"/>
    <cellStyle name="20% - Accent6 2 6 6" xfId="37088" xr:uid="{4F9DB027-DC98-47AF-B892-74A28694333E}"/>
    <cellStyle name="20% - Accent6 2 6 7" xfId="10894" xr:uid="{E6929D68-7CD4-4714-9628-3C75695608C4}"/>
    <cellStyle name="20% - Accent6 2 7" xfId="1892" xr:uid="{00000000-0005-0000-0000-00006B030000}"/>
    <cellStyle name="20% - Accent6 2 7 2" xfId="4121" xr:uid="{00000000-0005-0000-0000-00006C030000}"/>
    <cellStyle name="20% - Accent6 2 7 2 2" xfId="8343" xr:uid="{00000000-0005-0000-0000-00006D030000}"/>
    <cellStyle name="20% - Accent6 2 7 2 2 2" xfId="26969" xr:uid="{66519B4E-57F3-4314-BBDA-12314E7488F3}"/>
    <cellStyle name="20% - Accent6 2 7 2 2 3" xfId="35416" xr:uid="{BC7A539E-8BB7-4F0D-A19C-525AEF7B4092}"/>
    <cellStyle name="20% - Accent6 2 7 2 2 4" xfId="43863" xr:uid="{8A3ACD8D-B2C8-454A-8B57-5203E17B4D2B}"/>
    <cellStyle name="20% - Accent6 2 7 2 2 5" xfId="17669" xr:uid="{4D953543-678B-45BD-9D36-48870F7220A8}"/>
    <cellStyle name="20% - Accent6 2 7 2 3" xfId="22752" xr:uid="{81D5D1C1-9066-4DCA-9902-71D2E3080D36}"/>
    <cellStyle name="20% - Accent6 2 7 2 4" xfId="31199" xr:uid="{4C2A8BB2-B20F-4DEF-ADF2-0F97E12B4D5B}"/>
    <cellStyle name="20% - Accent6 2 7 2 5" xfId="39646" xr:uid="{1F325581-C5C3-4656-A874-3934218970EA}"/>
    <cellStyle name="20% - Accent6 2 7 2 6" xfId="13452" xr:uid="{13A5E7E3-C9D8-4B8B-9938-60E077A591E0}"/>
    <cellStyle name="20% - Accent6 2 7 3" xfId="6198" xr:uid="{00000000-0005-0000-0000-00006E030000}"/>
    <cellStyle name="20% - Accent6 2 7 3 2" xfId="24824" xr:uid="{086017B1-4028-48C1-B4BB-B4DAB9B53396}"/>
    <cellStyle name="20% - Accent6 2 7 3 3" xfId="33271" xr:uid="{C7522BCA-8566-4F69-B00B-FF7E8FF763F4}"/>
    <cellStyle name="20% - Accent6 2 7 3 4" xfId="41718" xr:uid="{4D603B46-9B7A-4415-9107-09D20E325985}"/>
    <cellStyle name="20% - Accent6 2 7 3 5" xfId="15524" xr:uid="{9B23E88D-3134-40B5-BE91-23C73613EDD0}"/>
    <cellStyle name="20% - Accent6 2 7 4" xfId="20607" xr:uid="{B9767C10-1B69-406A-B240-1521E95272A0}"/>
    <cellStyle name="20% - Accent6 2 7 5" xfId="29054" xr:uid="{6DD5FE30-A010-4D28-843E-4CC612C15DDE}"/>
    <cellStyle name="20% - Accent6 2 7 6" xfId="37501" xr:uid="{F576E504-E0D6-4A9E-810F-EE5DB4579729}"/>
    <cellStyle name="20% - Accent6 2 7 7" xfId="11307" xr:uid="{33AB6A7E-9ECF-4F4B-828B-105BBDFDEA29}"/>
    <cellStyle name="20% - Accent6 2 8" xfId="2305" xr:uid="{00000000-0005-0000-0000-00006F030000}"/>
    <cellStyle name="20% - Accent6 2 8 2" xfId="6611" xr:uid="{00000000-0005-0000-0000-000070030000}"/>
    <cellStyle name="20% - Accent6 2 8 2 2" xfId="25237" xr:uid="{57B4B3F7-6B14-4998-8BB0-8C37D7717A40}"/>
    <cellStyle name="20% - Accent6 2 8 2 3" xfId="33684" xr:uid="{49F006F4-3EB4-4FAB-858B-90A18CD287B6}"/>
    <cellStyle name="20% - Accent6 2 8 2 4" xfId="42131" xr:uid="{94CC3568-A528-461D-A7A6-534FE5CA0063}"/>
    <cellStyle name="20% - Accent6 2 8 2 5" xfId="15937" xr:uid="{C3B7B502-0A0C-4532-8627-7C5AC98B63A0}"/>
    <cellStyle name="20% - Accent6 2 8 3" xfId="21020" xr:uid="{214FE3F5-A558-4477-8248-6A1F0203D1D8}"/>
    <cellStyle name="20% - Accent6 2 8 4" xfId="29467" xr:uid="{B3B4D8DE-521E-47B8-8C09-A5D6EF6156B8}"/>
    <cellStyle name="20% - Accent6 2 8 5" xfId="37914" xr:uid="{7A37355F-F6FB-4F1B-95E7-E43BEB824C0F}"/>
    <cellStyle name="20% - Accent6 2 8 6" xfId="11720" xr:uid="{BCBA90A1-1B7E-4CC3-B82E-4F6C3624B4C5}"/>
    <cellStyle name="20% - Accent6 2 9" xfId="4545" xr:uid="{00000000-0005-0000-0000-000071030000}"/>
    <cellStyle name="20% - Accent6 2 9 2" xfId="23171" xr:uid="{25CA0E2D-C829-4DF9-A79A-357C1521C882}"/>
    <cellStyle name="20% - Accent6 2 9 3" xfId="31618" xr:uid="{0EB975BE-C5B9-4196-B322-A28653D15B5D}"/>
    <cellStyle name="20% - Accent6 2 9 4" xfId="40065" xr:uid="{82FF3EEE-6215-4912-AE3B-9A2DEC9C2248}"/>
    <cellStyle name="20% - Accent6 2 9 5" xfId="13871" xr:uid="{7FB8F665-5CA1-4D74-AB18-E9FD322739C1}"/>
    <cellStyle name="20% - Accent6 3" xfId="46" xr:uid="{00000000-0005-0000-0000-000072030000}"/>
    <cellStyle name="20% - Accent6 3 10" xfId="18958" xr:uid="{556B0B20-3013-4252-97B8-E7F5E11C07C9}"/>
    <cellStyle name="20% - Accent6 3 11" xfId="27405" xr:uid="{3F22913B-B5C2-499D-8E49-A249FF559567}"/>
    <cellStyle name="20% - Accent6 3 12" xfId="35852" xr:uid="{C9B13841-61CC-444C-9804-01F47FD1F0BA}"/>
    <cellStyle name="20% - Accent6 3 13" xfId="9658" xr:uid="{0DB4D713-CA18-40B2-972D-3E6427A098EF}"/>
    <cellStyle name="20% - Accent6 3 2" xfId="47" xr:uid="{00000000-0005-0000-0000-000073030000}"/>
    <cellStyle name="20% - Accent6 3 2 10" xfId="27406" xr:uid="{498DA281-6CC0-4AFD-B246-AA580CDC71DD}"/>
    <cellStyle name="20% - Accent6 3 2 11" xfId="35853" xr:uid="{41E0B291-E7B8-4673-9809-00669D6B4691}"/>
    <cellStyle name="20% - Accent6 3 2 12" xfId="9659" xr:uid="{B8FF10DE-36FC-4852-9501-19DAB403AF50}"/>
    <cellStyle name="20% - Accent6 3 2 2" xfId="616" xr:uid="{00000000-0005-0000-0000-000074030000}"/>
    <cellStyle name="20% - Accent6 3 2 2 2" xfId="2887" xr:uid="{00000000-0005-0000-0000-000075030000}"/>
    <cellStyle name="20% - Accent6 3 2 2 2 2" xfId="7109" xr:uid="{00000000-0005-0000-0000-000076030000}"/>
    <cellStyle name="20% - Accent6 3 2 2 2 2 2" xfId="25735" xr:uid="{DA1E8923-22CC-40F7-B67D-88D4120F05E4}"/>
    <cellStyle name="20% - Accent6 3 2 2 2 2 3" xfId="34182" xr:uid="{4B76E8A5-49BD-465F-A3AA-8C8566705127}"/>
    <cellStyle name="20% - Accent6 3 2 2 2 2 4" xfId="42629" xr:uid="{9CCCCAF3-0D06-4CB0-BEB6-7DD9F6D7F728}"/>
    <cellStyle name="20% - Accent6 3 2 2 2 2 5" xfId="16435" xr:uid="{277150B7-B017-4AE6-82E6-9DD8119EB122}"/>
    <cellStyle name="20% - Accent6 3 2 2 2 3" xfId="21518" xr:uid="{68355B28-3F75-461D-AC58-739A893ADE64}"/>
    <cellStyle name="20% - Accent6 3 2 2 2 4" xfId="29965" xr:uid="{939B34D9-B9AF-4FCE-97A4-A1B5E03D907F}"/>
    <cellStyle name="20% - Accent6 3 2 2 2 5" xfId="38412" xr:uid="{38E7D2FB-8BBE-426D-8375-8468D961C48A}"/>
    <cellStyle name="20% - Accent6 3 2 2 2 6" xfId="12218" xr:uid="{9A042AF3-5A0F-419A-A7F7-699E0E6D6FE7}"/>
    <cellStyle name="20% - Accent6 3 2 2 3" xfId="4964" xr:uid="{00000000-0005-0000-0000-000077030000}"/>
    <cellStyle name="20% - Accent6 3 2 2 3 2" xfId="23590" xr:uid="{181A21B0-E53A-4C5D-A96E-BA4C492CD8DB}"/>
    <cellStyle name="20% - Accent6 3 2 2 3 3" xfId="32037" xr:uid="{15242453-C895-4A39-B47C-F04D6F19597F}"/>
    <cellStyle name="20% - Accent6 3 2 2 3 4" xfId="40484" xr:uid="{246D87EF-975A-4683-B746-78B37810E605}"/>
    <cellStyle name="20% - Accent6 3 2 2 3 5" xfId="14290" xr:uid="{7044ADF1-34D7-4976-803A-63D6E5AF08F9}"/>
    <cellStyle name="20% - Accent6 3 2 2 4" xfId="9503" xr:uid="{A5A3EDF8-16EA-4A86-8795-C3BA46FE244A}"/>
    <cellStyle name="20% - Accent6 3 2 2 4 2" xfId="18819" xr:uid="{9315487A-E88A-40BC-AB2A-AED835242EA9}"/>
    <cellStyle name="20% - Accent6 3 2 2 5" xfId="19373" xr:uid="{7607EBCD-4315-4283-A70E-825DB59F340A}"/>
    <cellStyle name="20% - Accent6 3 2 2 6" xfId="27820" xr:uid="{4DA61BA5-E8A2-4AB8-B91F-1FB86E52F084}"/>
    <cellStyle name="20% - Accent6 3 2 2 7" xfId="36267" xr:uid="{4A1AA5D7-67B5-4D92-9D53-A7F149322554}"/>
    <cellStyle name="20% - Accent6 3 2 2 8" xfId="10073" xr:uid="{20090CD9-A716-4316-939B-06A999DC72EA}"/>
    <cellStyle name="20% - Accent6 3 2 3" xfId="1069" xr:uid="{00000000-0005-0000-0000-000078030000}"/>
    <cellStyle name="20% - Accent6 3 2 3 2" xfId="3300" xr:uid="{00000000-0005-0000-0000-000079030000}"/>
    <cellStyle name="20% - Accent6 3 2 3 2 2" xfId="7522" xr:uid="{00000000-0005-0000-0000-00007A030000}"/>
    <cellStyle name="20% - Accent6 3 2 3 2 2 2" xfId="26148" xr:uid="{12FBC9DA-FAC6-4964-9E3E-3048EA9612BB}"/>
    <cellStyle name="20% - Accent6 3 2 3 2 2 3" xfId="34595" xr:uid="{F8F8EFD4-4B41-48EB-BF81-16EEC7DCB6F3}"/>
    <cellStyle name="20% - Accent6 3 2 3 2 2 4" xfId="43042" xr:uid="{FAEAE7F5-BC53-47FC-B6E2-CD2FA15D2C8A}"/>
    <cellStyle name="20% - Accent6 3 2 3 2 2 5" xfId="16848" xr:uid="{AED90174-74C3-4D8B-A051-82DCF2F190EB}"/>
    <cellStyle name="20% - Accent6 3 2 3 2 3" xfId="21931" xr:uid="{62D96C8A-8E4E-4A77-9DCE-30A626A24814}"/>
    <cellStyle name="20% - Accent6 3 2 3 2 4" xfId="30378" xr:uid="{E0FCCC44-1DD1-494F-A2B9-6B65E4F0B31B}"/>
    <cellStyle name="20% - Accent6 3 2 3 2 5" xfId="38825" xr:uid="{5C73F6D6-C646-49D3-80DF-630F83674070}"/>
    <cellStyle name="20% - Accent6 3 2 3 2 6" xfId="12631" xr:uid="{8EEB9B73-7D1E-4185-B777-5A92D3A93D47}"/>
    <cellStyle name="20% - Accent6 3 2 3 3" xfId="5377" xr:uid="{00000000-0005-0000-0000-00007B030000}"/>
    <cellStyle name="20% - Accent6 3 2 3 3 2" xfId="24003" xr:uid="{9D7BBC59-CA39-41FA-9AF5-7E8B46265332}"/>
    <cellStyle name="20% - Accent6 3 2 3 3 3" xfId="32450" xr:uid="{5433C2F4-B1C6-43A0-AF22-4DA7650E85A3}"/>
    <cellStyle name="20% - Accent6 3 2 3 3 4" xfId="40897" xr:uid="{1E1A6745-0DF2-45EE-9B8D-E4AF8ABB36FF}"/>
    <cellStyle name="20% - Accent6 3 2 3 3 5" xfId="14703" xr:uid="{447A3B92-470D-4F74-A5E5-BC8806DE9DF5}"/>
    <cellStyle name="20% - Accent6 3 2 3 4" xfId="19786" xr:uid="{E4979499-B6CB-4851-AC66-30ABB7088569}"/>
    <cellStyle name="20% - Accent6 3 2 3 5" xfId="28233" xr:uid="{A689CB66-9544-4B5B-AB1B-8EFF76BCF6AD}"/>
    <cellStyle name="20% - Accent6 3 2 3 6" xfId="36680" xr:uid="{AE36EAA1-5C79-4BB1-B256-FD8B5D744DE1}"/>
    <cellStyle name="20% - Accent6 3 2 3 7" xfId="10486" xr:uid="{05140E72-6E28-487B-BCD8-B343A6767CB1}"/>
    <cellStyle name="20% - Accent6 3 2 4" xfId="1483" xr:uid="{00000000-0005-0000-0000-00007C030000}"/>
    <cellStyle name="20% - Accent6 3 2 4 2" xfId="3713" xr:uid="{00000000-0005-0000-0000-00007D030000}"/>
    <cellStyle name="20% - Accent6 3 2 4 2 2" xfId="7935" xr:uid="{00000000-0005-0000-0000-00007E030000}"/>
    <cellStyle name="20% - Accent6 3 2 4 2 2 2" xfId="26561" xr:uid="{660E788E-D4CE-444F-BBCC-23BEC13A88F0}"/>
    <cellStyle name="20% - Accent6 3 2 4 2 2 3" xfId="35008" xr:uid="{4EC3C438-856C-4CF5-9ADB-0F53F2106990}"/>
    <cellStyle name="20% - Accent6 3 2 4 2 2 4" xfId="43455" xr:uid="{7ABD42C9-BBB5-4276-90E5-3ACB03E8966D}"/>
    <cellStyle name="20% - Accent6 3 2 4 2 2 5" xfId="17261" xr:uid="{C7709CD5-F36E-4169-8680-9EB62A50C49B}"/>
    <cellStyle name="20% - Accent6 3 2 4 2 3" xfId="22344" xr:uid="{D379391E-F406-4D28-B245-FB245E598D0A}"/>
    <cellStyle name="20% - Accent6 3 2 4 2 4" xfId="30791" xr:uid="{57D1681B-69A8-4BEB-AB48-8C4250A873C3}"/>
    <cellStyle name="20% - Accent6 3 2 4 2 5" xfId="39238" xr:uid="{53F82C10-802C-4EDC-AC6E-5F752E82670E}"/>
    <cellStyle name="20% - Accent6 3 2 4 2 6" xfId="13044" xr:uid="{D2EF8894-0468-4E00-9229-9B026B5E1BFA}"/>
    <cellStyle name="20% - Accent6 3 2 4 3" xfId="5790" xr:uid="{00000000-0005-0000-0000-00007F030000}"/>
    <cellStyle name="20% - Accent6 3 2 4 3 2" xfId="24416" xr:uid="{ECDA5F81-7ECC-4EB2-89C1-CFD5E31B64FA}"/>
    <cellStyle name="20% - Accent6 3 2 4 3 3" xfId="32863" xr:uid="{F065D5F6-B9F8-4C79-8174-3BCDA185EDEF}"/>
    <cellStyle name="20% - Accent6 3 2 4 3 4" xfId="41310" xr:uid="{FC2B9C67-16BE-4C9C-8C35-D993A0802680}"/>
    <cellStyle name="20% - Accent6 3 2 4 3 5" xfId="15116" xr:uid="{8A7FA7F3-E712-41F9-B5F8-12AF839A110C}"/>
    <cellStyle name="20% - Accent6 3 2 4 4" xfId="20199" xr:uid="{DF677B4D-83FC-4C47-B41E-4794186558DB}"/>
    <cellStyle name="20% - Accent6 3 2 4 5" xfId="28646" xr:uid="{55CA912D-ABE9-4AF1-89EE-426482FE9124}"/>
    <cellStyle name="20% - Accent6 3 2 4 6" xfId="37093" xr:uid="{0C2790C2-CD91-4EB3-AC4C-48BC20E664ED}"/>
    <cellStyle name="20% - Accent6 3 2 4 7" xfId="10899" xr:uid="{E6A5DB8F-54C8-446F-9938-2726AC6F098C}"/>
    <cellStyle name="20% - Accent6 3 2 5" xfId="1897" xr:uid="{00000000-0005-0000-0000-000080030000}"/>
    <cellStyle name="20% - Accent6 3 2 5 2" xfId="4126" xr:uid="{00000000-0005-0000-0000-000081030000}"/>
    <cellStyle name="20% - Accent6 3 2 5 2 2" xfId="8348" xr:uid="{00000000-0005-0000-0000-000082030000}"/>
    <cellStyle name="20% - Accent6 3 2 5 2 2 2" xfId="26974" xr:uid="{154E8476-F324-4D85-BAC9-D970B2435F63}"/>
    <cellStyle name="20% - Accent6 3 2 5 2 2 3" xfId="35421" xr:uid="{7512D33C-6289-4536-8364-CC58C765C38A}"/>
    <cellStyle name="20% - Accent6 3 2 5 2 2 4" xfId="43868" xr:uid="{7A9C30D6-523E-4F02-AD28-2789D038273F}"/>
    <cellStyle name="20% - Accent6 3 2 5 2 2 5" xfId="17674" xr:uid="{D654E473-0C94-4AD0-B1A4-7441B3A607E9}"/>
    <cellStyle name="20% - Accent6 3 2 5 2 3" xfId="22757" xr:uid="{D0E338D3-9714-4595-BD19-A92694C05827}"/>
    <cellStyle name="20% - Accent6 3 2 5 2 4" xfId="31204" xr:uid="{94C68B41-B811-48EA-B89D-AF50CE92171F}"/>
    <cellStyle name="20% - Accent6 3 2 5 2 5" xfId="39651" xr:uid="{E87EA35A-73FA-4742-B1A0-3079A7E4785D}"/>
    <cellStyle name="20% - Accent6 3 2 5 2 6" xfId="13457" xr:uid="{85E9CDBB-5EAF-458A-BB82-23A29BE60A61}"/>
    <cellStyle name="20% - Accent6 3 2 5 3" xfId="6203" xr:uid="{00000000-0005-0000-0000-000083030000}"/>
    <cellStyle name="20% - Accent6 3 2 5 3 2" xfId="24829" xr:uid="{50780E32-70A1-411D-B28F-035B62B6BB57}"/>
    <cellStyle name="20% - Accent6 3 2 5 3 3" xfId="33276" xr:uid="{C9E77D13-B408-4C7E-BE65-3DE90A92260E}"/>
    <cellStyle name="20% - Accent6 3 2 5 3 4" xfId="41723" xr:uid="{939F9098-BCD3-4D64-9066-E5DE3E9A6CAF}"/>
    <cellStyle name="20% - Accent6 3 2 5 3 5" xfId="15529" xr:uid="{8151CECA-3396-4255-9CC4-920A52AC19B3}"/>
    <cellStyle name="20% - Accent6 3 2 5 4" xfId="20612" xr:uid="{9B40D5DC-2253-4564-ADD5-7D12E6B22FAF}"/>
    <cellStyle name="20% - Accent6 3 2 5 5" xfId="29059" xr:uid="{553EE4A6-F93F-48F5-89EC-8030F36D4F5B}"/>
    <cellStyle name="20% - Accent6 3 2 5 6" xfId="37506" xr:uid="{8F35F05E-7B1F-47F0-AA33-782F2B2DF07A}"/>
    <cellStyle name="20% - Accent6 3 2 5 7" xfId="11312" xr:uid="{4EB01985-148B-4ECC-9473-90ADC3FA722A}"/>
    <cellStyle name="20% - Accent6 3 2 6" xfId="2310" xr:uid="{00000000-0005-0000-0000-000084030000}"/>
    <cellStyle name="20% - Accent6 3 2 6 2" xfId="6616" xr:uid="{00000000-0005-0000-0000-000085030000}"/>
    <cellStyle name="20% - Accent6 3 2 6 2 2" xfId="25242" xr:uid="{5B3EF0D3-056C-4494-A11B-FE0C08D43B35}"/>
    <cellStyle name="20% - Accent6 3 2 6 2 3" xfId="33689" xr:uid="{C8B804D9-78A8-4CA5-8E16-A1B07001EF05}"/>
    <cellStyle name="20% - Accent6 3 2 6 2 4" xfId="42136" xr:uid="{DAFA7F57-310C-4504-B5A9-AF76A48E2F64}"/>
    <cellStyle name="20% - Accent6 3 2 6 2 5" xfId="15942" xr:uid="{02E5CF24-9E18-4865-B825-BB21D6B76EB4}"/>
    <cellStyle name="20% - Accent6 3 2 6 3" xfId="21025" xr:uid="{EE65B0E7-CFE3-4CB2-80ED-8A15FC847C8C}"/>
    <cellStyle name="20% - Accent6 3 2 6 4" xfId="29472" xr:uid="{359EECFC-28F8-4F33-9E9C-345379A73F09}"/>
    <cellStyle name="20% - Accent6 3 2 6 5" xfId="37919" xr:uid="{4265D15C-E51E-4A22-8EF8-84607F60AB49}"/>
    <cellStyle name="20% - Accent6 3 2 6 6" xfId="11725" xr:uid="{C6FAE933-940E-42CD-8D3E-731D1135E458}"/>
    <cellStyle name="20% - Accent6 3 2 7" xfId="4550" xr:uid="{00000000-0005-0000-0000-000086030000}"/>
    <cellStyle name="20% - Accent6 3 2 7 2" xfId="23176" xr:uid="{4E435A57-2A23-4499-9B39-19B179AD9910}"/>
    <cellStyle name="20% - Accent6 3 2 7 3" xfId="31623" xr:uid="{099BA8E6-E093-47E5-8D03-00B6168B467D}"/>
    <cellStyle name="20% - Accent6 3 2 7 4" xfId="40070" xr:uid="{11FCE8EE-8A86-47A7-8E3E-8DB1B7A6B4FD}"/>
    <cellStyle name="20% - Accent6 3 2 7 5" xfId="13876" xr:uid="{0167272D-B034-4669-8671-707F496BCA23}"/>
    <cellStyle name="20% - Accent6 3 2 8" xfId="9078" xr:uid="{55C63253-C10A-44F0-A9A1-D3E9AD1B1E77}"/>
    <cellStyle name="20% - Accent6 3 2 8 2" xfId="18402" xr:uid="{F51ABAB8-B88A-4F9F-9714-2E8235BE0B10}"/>
    <cellStyle name="20% - Accent6 3 2 9" xfId="18959" xr:uid="{C5F7577A-BD39-4B33-BFF8-8E83141E8927}"/>
    <cellStyle name="20% - Accent6 3 3" xfId="615" xr:uid="{00000000-0005-0000-0000-000087030000}"/>
    <cellStyle name="20% - Accent6 3 3 2" xfId="2886" xr:uid="{00000000-0005-0000-0000-000088030000}"/>
    <cellStyle name="20% - Accent6 3 3 2 2" xfId="7108" xr:uid="{00000000-0005-0000-0000-000089030000}"/>
    <cellStyle name="20% - Accent6 3 3 2 2 2" xfId="25734" xr:uid="{2E12B87B-F706-44DC-A6C9-960B0E5218EA}"/>
    <cellStyle name="20% - Accent6 3 3 2 2 3" xfId="34181" xr:uid="{B156075F-C74F-4EF6-8231-5D17E54F0F6D}"/>
    <cellStyle name="20% - Accent6 3 3 2 2 4" xfId="42628" xr:uid="{253020E6-ED91-4FCC-A6AE-13353DC3F0F2}"/>
    <cellStyle name="20% - Accent6 3 3 2 2 5" xfId="16434" xr:uid="{5D0169DE-2C22-4FBA-98B2-62893DE7B454}"/>
    <cellStyle name="20% - Accent6 3 3 2 3" xfId="21517" xr:uid="{0CEF560C-1BF2-4DD0-988B-15C728D818AE}"/>
    <cellStyle name="20% - Accent6 3 3 2 4" xfId="29964" xr:uid="{FDCCCEE6-68C0-4D91-BBFB-74A40D7581C6}"/>
    <cellStyle name="20% - Accent6 3 3 2 5" xfId="38411" xr:uid="{B4E5B203-DC6C-4837-9915-62F7100D4385}"/>
    <cellStyle name="20% - Accent6 3 3 2 6" xfId="12217" xr:uid="{BF447D59-C06D-4CE2-8736-517B75AEE0B4}"/>
    <cellStyle name="20% - Accent6 3 3 3" xfId="4963" xr:uid="{00000000-0005-0000-0000-00008A030000}"/>
    <cellStyle name="20% - Accent6 3 3 3 2" xfId="23589" xr:uid="{6C19811F-0C0B-43A8-AFF4-DE2A0E2A3BAA}"/>
    <cellStyle name="20% - Accent6 3 3 3 3" xfId="32036" xr:uid="{FADB63A7-C666-452E-8B66-BD427D25FE62}"/>
    <cellStyle name="20% - Accent6 3 3 3 4" xfId="40483" xr:uid="{45E3BA4A-EEA7-4A0C-B14C-2E5EBD4508B8}"/>
    <cellStyle name="20% - Accent6 3 3 3 5" xfId="14289" xr:uid="{1276A44E-8542-4548-8DF3-4B228CD7643E}"/>
    <cellStyle name="20% - Accent6 3 3 4" xfId="9296" xr:uid="{68DBDAD1-945F-459A-93CE-56D312D1EDE4}"/>
    <cellStyle name="20% - Accent6 3 3 4 2" xfId="18612" xr:uid="{3DA8D500-FE80-4DA1-8A26-2D01A94EA1F8}"/>
    <cellStyle name="20% - Accent6 3 3 5" xfId="19372" xr:uid="{58E883CC-7623-4701-A466-0500A319248A}"/>
    <cellStyle name="20% - Accent6 3 3 6" xfId="27819" xr:uid="{AFFC491A-E444-429A-B5AD-E7B90DB543CC}"/>
    <cellStyle name="20% - Accent6 3 3 7" xfId="36266" xr:uid="{7DF77AF7-7044-4235-A5C8-4B3EF4F47D6E}"/>
    <cellStyle name="20% - Accent6 3 3 8" xfId="10072" xr:uid="{ED96D030-8C96-4048-B451-0086C436573A}"/>
    <cellStyle name="20% - Accent6 3 4" xfId="1068" xr:uid="{00000000-0005-0000-0000-00008B030000}"/>
    <cellStyle name="20% - Accent6 3 4 2" xfId="3299" xr:uid="{00000000-0005-0000-0000-00008C030000}"/>
    <cellStyle name="20% - Accent6 3 4 2 2" xfId="7521" xr:uid="{00000000-0005-0000-0000-00008D030000}"/>
    <cellStyle name="20% - Accent6 3 4 2 2 2" xfId="26147" xr:uid="{DAD43299-74F4-4493-AEE7-39888C9EF27A}"/>
    <cellStyle name="20% - Accent6 3 4 2 2 3" xfId="34594" xr:uid="{392A670F-19B8-47A8-9BE2-3BA39500F7FF}"/>
    <cellStyle name="20% - Accent6 3 4 2 2 4" xfId="43041" xr:uid="{8AD37F31-B6BA-46B5-AF74-CB6AD30E53D7}"/>
    <cellStyle name="20% - Accent6 3 4 2 2 5" xfId="16847" xr:uid="{F4D2DB3F-1819-4FE3-8B88-C6329E09938F}"/>
    <cellStyle name="20% - Accent6 3 4 2 3" xfId="21930" xr:uid="{A1BBADAE-ECCA-48F5-BCE3-E56884BC4614}"/>
    <cellStyle name="20% - Accent6 3 4 2 4" xfId="30377" xr:uid="{5BD1AA57-9398-4815-B0FF-46018EB2D9D3}"/>
    <cellStyle name="20% - Accent6 3 4 2 5" xfId="38824" xr:uid="{03281A3F-57AA-4E27-83AB-74354522F42F}"/>
    <cellStyle name="20% - Accent6 3 4 2 6" xfId="12630" xr:uid="{4BD54B08-E650-4146-BB67-CD86D9D92498}"/>
    <cellStyle name="20% - Accent6 3 4 3" xfId="5376" xr:uid="{00000000-0005-0000-0000-00008E030000}"/>
    <cellStyle name="20% - Accent6 3 4 3 2" xfId="24002" xr:uid="{82710198-5302-4517-99CA-9DD90EC3571E}"/>
    <cellStyle name="20% - Accent6 3 4 3 3" xfId="32449" xr:uid="{71F61059-68B6-46AF-AA09-43EA019C741E}"/>
    <cellStyle name="20% - Accent6 3 4 3 4" xfId="40896" xr:uid="{7D107BAF-4458-4455-B9F2-B5B879BFA8BF}"/>
    <cellStyle name="20% - Accent6 3 4 3 5" xfId="14702" xr:uid="{4FC4FE7D-8749-4364-AD6D-101603B33746}"/>
    <cellStyle name="20% - Accent6 3 4 4" xfId="19785" xr:uid="{09685F22-1204-4CBB-9B0B-D1834A797FBA}"/>
    <cellStyle name="20% - Accent6 3 4 5" xfId="28232" xr:uid="{24E6A875-41C4-4B6C-BC55-EAD40A4A424B}"/>
    <cellStyle name="20% - Accent6 3 4 6" xfId="36679" xr:uid="{20FEA76A-BA19-4CED-AB23-CC2F16E8AD7F}"/>
    <cellStyle name="20% - Accent6 3 4 7" xfId="10485" xr:uid="{48A26685-2DCD-4676-9F50-3F65B9E2FBFC}"/>
    <cellStyle name="20% - Accent6 3 5" xfId="1482" xr:uid="{00000000-0005-0000-0000-00008F030000}"/>
    <cellStyle name="20% - Accent6 3 5 2" xfId="3712" xr:uid="{00000000-0005-0000-0000-000090030000}"/>
    <cellStyle name="20% - Accent6 3 5 2 2" xfId="7934" xr:uid="{00000000-0005-0000-0000-000091030000}"/>
    <cellStyle name="20% - Accent6 3 5 2 2 2" xfId="26560" xr:uid="{50E606BC-CE92-4981-ADD5-4F55F62549F7}"/>
    <cellStyle name="20% - Accent6 3 5 2 2 3" xfId="35007" xr:uid="{2E27D109-54BE-4AAA-B591-101180ECD5DB}"/>
    <cellStyle name="20% - Accent6 3 5 2 2 4" xfId="43454" xr:uid="{EAEFE468-8474-4CC5-B83B-64FA31427488}"/>
    <cellStyle name="20% - Accent6 3 5 2 2 5" xfId="17260" xr:uid="{F8159C69-5A32-452E-89F3-59CF76A52512}"/>
    <cellStyle name="20% - Accent6 3 5 2 3" xfId="22343" xr:uid="{0BFBD519-4ABE-42C0-8837-A73FE20CEC4A}"/>
    <cellStyle name="20% - Accent6 3 5 2 4" xfId="30790" xr:uid="{003202DA-7EA1-46A6-BE54-586C681B22AF}"/>
    <cellStyle name="20% - Accent6 3 5 2 5" xfId="39237" xr:uid="{480A08ED-06B9-47FC-B9B8-FEC8C000CC4A}"/>
    <cellStyle name="20% - Accent6 3 5 2 6" xfId="13043" xr:uid="{8664999D-65C4-491A-9F48-5BC6AB86FCD0}"/>
    <cellStyle name="20% - Accent6 3 5 3" xfId="5789" xr:uid="{00000000-0005-0000-0000-000092030000}"/>
    <cellStyle name="20% - Accent6 3 5 3 2" xfId="24415" xr:uid="{21991AEE-E711-4745-9D62-2ADB145388E4}"/>
    <cellStyle name="20% - Accent6 3 5 3 3" xfId="32862" xr:uid="{A743ADAE-CC3F-489B-BDB4-14D8119FA7EC}"/>
    <cellStyle name="20% - Accent6 3 5 3 4" xfId="41309" xr:uid="{30BC61AA-42B2-45C8-8A48-E9049817817F}"/>
    <cellStyle name="20% - Accent6 3 5 3 5" xfId="15115" xr:uid="{C3572AD1-9B73-4468-9044-CFB3B55195FA}"/>
    <cellStyle name="20% - Accent6 3 5 4" xfId="20198" xr:uid="{30ED40FC-D7DB-47E3-9D71-406565C9D056}"/>
    <cellStyle name="20% - Accent6 3 5 5" xfId="28645" xr:uid="{C8A07B43-F3EA-40D7-863D-8E698EDB3F4F}"/>
    <cellStyle name="20% - Accent6 3 5 6" xfId="37092" xr:uid="{FF65F864-37EF-466E-AA7C-7225343CB1DD}"/>
    <cellStyle name="20% - Accent6 3 5 7" xfId="10898" xr:uid="{D1B66EF9-70B3-43BB-85D2-2379AACE91EA}"/>
    <cellStyle name="20% - Accent6 3 6" xfId="1896" xr:uid="{00000000-0005-0000-0000-000093030000}"/>
    <cellStyle name="20% - Accent6 3 6 2" xfId="4125" xr:uid="{00000000-0005-0000-0000-000094030000}"/>
    <cellStyle name="20% - Accent6 3 6 2 2" xfId="8347" xr:uid="{00000000-0005-0000-0000-000095030000}"/>
    <cellStyle name="20% - Accent6 3 6 2 2 2" xfId="26973" xr:uid="{BDB89552-C6F4-4F0F-AAA8-A97F491BCCFC}"/>
    <cellStyle name="20% - Accent6 3 6 2 2 3" xfId="35420" xr:uid="{866044F0-A98B-427E-B2B3-3FEF921A9F86}"/>
    <cellStyle name="20% - Accent6 3 6 2 2 4" xfId="43867" xr:uid="{7AF785CD-EBD2-4E24-9111-22F5FA30A2B6}"/>
    <cellStyle name="20% - Accent6 3 6 2 2 5" xfId="17673" xr:uid="{0FBE19E2-24FF-4179-9C19-C14034C5D65A}"/>
    <cellStyle name="20% - Accent6 3 6 2 3" xfId="22756" xr:uid="{56E5F278-A112-461F-8007-A07E038F39B6}"/>
    <cellStyle name="20% - Accent6 3 6 2 4" xfId="31203" xr:uid="{9E1E9110-BB55-4F1B-9CBB-BBAF0A8EA9BF}"/>
    <cellStyle name="20% - Accent6 3 6 2 5" xfId="39650" xr:uid="{8515D988-FDAC-44BC-AE3E-1ABA3C58D7D5}"/>
    <cellStyle name="20% - Accent6 3 6 2 6" xfId="13456" xr:uid="{7EEE366B-F026-4A95-8263-E7B0A3031385}"/>
    <cellStyle name="20% - Accent6 3 6 3" xfId="6202" xr:uid="{00000000-0005-0000-0000-000096030000}"/>
    <cellStyle name="20% - Accent6 3 6 3 2" xfId="24828" xr:uid="{A031A031-538B-4A58-A5E0-A52D32020AD2}"/>
    <cellStyle name="20% - Accent6 3 6 3 3" xfId="33275" xr:uid="{00E94077-C209-4A62-8EDB-07FBE5AD4FB7}"/>
    <cellStyle name="20% - Accent6 3 6 3 4" xfId="41722" xr:uid="{8A65BE15-AC81-49E8-846F-6B5BEB07CCDF}"/>
    <cellStyle name="20% - Accent6 3 6 3 5" xfId="15528" xr:uid="{53ABDB33-2652-4CE5-B064-A38B846B7375}"/>
    <cellStyle name="20% - Accent6 3 6 4" xfId="20611" xr:uid="{C09F0017-8DA5-4032-AF68-0D6B0AC87E61}"/>
    <cellStyle name="20% - Accent6 3 6 5" xfId="29058" xr:uid="{DC658B84-3995-47AD-819E-E345BAD82C20}"/>
    <cellStyle name="20% - Accent6 3 6 6" xfId="37505" xr:uid="{B3D45B0A-265F-4593-BA7D-074B987AA2F8}"/>
    <cellStyle name="20% - Accent6 3 6 7" xfId="11311" xr:uid="{B74620C2-65A9-48D4-BC5F-66F26E7CD7ED}"/>
    <cellStyle name="20% - Accent6 3 7" xfId="2309" xr:uid="{00000000-0005-0000-0000-000097030000}"/>
    <cellStyle name="20% - Accent6 3 7 2" xfId="6615" xr:uid="{00000000-0005-0000-0000-000098030000}"/>
    <cellStyle name="20% - Accent6 3 7 2 2" xfId="25241" xr:uid="{150646AC-007B-4289-9B41-B106DC55928D}"/>
    <cellStyle name="20% - Accent6 3 7 2 3" xfId="33688" xr:uid="{64381FA9-5931-419E-8992-0FFF13274E3A}"/>
    <cellStyle name="20% - Accent6 3 7 2 4" xfId="42135" xr:uid="{294E136E-B1A4-456D-BCF7-AF047F23FE90}"/>
    <cellStyle name="20% - Accent6 3 7 2 5" xfId="15941" xr:uid="{49C17266-A4F6-4806-9B76-E66E9442F49B}"/>
    <cellStyle name="20% - Accent6 3 7 3" xfId="21024" xr:uid="{0312202E-22DB-4FE8-A204-357E9A26B9BA}"/>
    <cellStyle name="20% - Accent6 3 7 4" xfId="29471" xr:uid="{C1E913BD-F5B9-447B-93C5-90BEB1B3BF12}"/>
    <cellStyle name="20% - Accent6 3 7 5" xfId="37918" xr:uid="{127EE1B0-00A5-40E8-B386-20F0BFF2F6EF}"/>
    <cellStyle name="20% - Accent6 3 7 6" xfId="11724" xr:uid="{E6DC21E0-42F6-436B-96C5-E6C5E1263917}"/>
    <cellStyle name="20% - Accent6 3 8" xfId="4549" xr:uid="{00000000-0005-0000-0000-000099030000}"/>
    <cellStyle name="20% - Accent6 3 8 2" xfId="23175" xr:uid="{66441EB7-CC05-4F5C-807E-60C11877F8A5}"/>
    <cellStyle name="20% - Accent6 3 8 3" xfId="31622" xr:uid="{A68F1FCF-C453-4E66-B157-F65D828AB346}"/>
    <cellStyle name="20% - Accent6 3 8 4" xfId="40069" xr:uid="{BC7F5386-B89A-4756-B0B7-6F15DAC891C3}"/>
    <cellStyle name="20% - Accent6 3 8 5" xfId="13875" xr:uid="{68FDBAC1-6000-405C-92D6-AC1ED9B078B5}"/>
    <cellStyle name="20% - Accent6 3 9" xfId="8871" xr:uid="{6A653046-C3D6-46DC-9DAA-DA1241CBE9F0}"/>
    <cellStyle name="20% - Accent6 3 9 2" xfId="18195" xr:uid="{37C10DC0-1E6F-428E-BC69-A6776224F69F}"/>
    <cellStyle name="20% - Accent6 4" xfId="48" xr:uid="{00000000-0005-0000-0000-00009A030000}"/>
    <cellStyle name="20% - Accent6 4 10" xfId="27407" xr:uid="{FC4ED1A4-6BC5-4744-BD26-22258C06638F}"/>
    <cellStyle name="20% - Accent6 4 11" xfId="35854" xr:uid="{BAAF060A-249C-4F34-A659-466EC697D50F}"/>
    <cellStyle name="20% - Accent6 4 12" xfId="9660" xr:uid="{361461E4-7A13-4E35-8CA7-42A46749F44A}"/>
    <cellStyle name="20% - Accent6 4 2" xfId="617" xr:uid="{00000000-0005-0000-0000-00009B030000}"/>
    <cellStyle name="20% - Accent6 4 2 2" xfId="2888" xr:uid="{00000000-0005-0000-0000-00009C030000}"/>
    <cellStyle name="20% - Accent6 4 2 2 2" xfId="7110" xr:uid="{00000000-0005-0000-0000-00009D030000}"/>
    <cellStyle name="20% - Accent6 4 2 2 2 2" xfId="25736" xr:uid="{1C1E980E-4627-4B7B-86CB-C8C9334E5EF0}"/>
    <cellStyle name="20% - Accent6 4 2 2 2 3" xfId="34183" xr:uid="{A2DB2A44-0B04-4D8F-A63B-33AAAEAF9566}"/>
    <cellStyle name="20% - Accent6 4 2 2 2 4" xfId="42630" xr:uid="{DEF44F7F-EFAF-4D17-BBD6-C1FEFE64E42A}"/>
    <cellStyle name="20% - Accent6 4 2 2 2 5" xfId="16436" xr:uid="{37F0CF49-CEFA-4C49-BA89-3B6DDF1DD324}"/>
    <cellStyle name="20% - Accent6 4 2 2 3" xfId="21519" xr:uid="{27E524B0-7592-4D90-9CCF-442CAA87A707}"/>
    <cellStyle name="20% - Accent6 4 2 2 4" xfId="29966" xr:uid="{94C29F9B-B84D-444F-80D1-ADF1B8C6D095}"/>
    <cellStyle name="20% - Accent6 4 2 2 5" xfId="38413" xr:uid="{9B3AE3B4-9945-40CB-93CA-2444C1365B89}"/>
    <cellStyle name="20% - Accent6 4 2 2 6" xfId="12219" xr:uid="{1C8F4D0D-213E-4082-9A9F-3950CD5BDB4A}"/>
    <cellStyle name="20% - Accent6 4 2 3" xfId="4965" xr:uid="{00000000-0005-0000-0000-00009E030000}"/>
    <cellStyle name="20% - Accent6 4 2 3 2" xfId="23591" xr:uid="{5607128E-5075-4DB9-A027-A4E9E2517FF0}"/>
    <cellStyle name="20% - Accent6 4 2 3 3" xfId="32038" xr:uid="{39281C93-7634-4B08-942D-FA020497B130}"/>
    <cellStyle name="20% - Accent6 4 2 3 4" xfId="40485" xr:uid="{99284816-DADE-4C1C-8B78-8B0394572CF4}"/>
    <cellStyle name="20% - Accent6 4 2 3 5" xfId="14291" xr:uid="{EE5B50AB-FB47-4B4A-8D7F-7721E54E75D8}"/>
    <cellStyle name="20% - Accent6 4 2 4" xfId="9382" xr:uid="{704ED43C-A59A-4E80-A03F-B933767E3A55}"/>
    <cellStyle name="20% - Accent6 4 2 4 2" xfId="18698" xr:uid="{298301A6-B067-47AB-9D65-DD8CB79756EC}"/>
    <cellStyle name="20% - Accent6 4 2 5" xfId="19374" xr:uid="{4C8824D7-2665-4285-81A9-EAD6305753CE}"/>
    <cellStyle name="20% - Accent6 4 2 6" xfId="27821" xr:uid="{C06832F0-9628-4627-9F0D-2431FF5D6D10}"/>
    <cellStyle name="20% - Accent6 4 2 7" xfId="36268" xr:uid="{2CA818C9-01ED-4763-B27E-76B800E1559A}"/>
    <cellStyle name="20% - Accent6 4 2 8" xfId="10074" xr:uid="{35E30E47-5C82-4BF1-934C-4BB9405468B3}"/>
    <cellStyle name="20% - Accent6 4 3" xfId="1070" xr:uid="{00000000-0005-0000-0000-00009F030000}"/>
    <cellStyle name="20% - Accent6 4 3 2" xfId="3301" xr:uid="{00000000-0005-0000-0000-0000A0030000}"/>
    <cellStyle name="20% - Accent6 4 3 2 2" xfId="7523" xr:uid="{00000000-0005-0000-0000-0000A1030000}"/>
    <cellStyle name="20% - Accent6 4 3 2 2 2" xfId="26149" xr:uid="{C0188F4B-F41B-4356-8A7F-257CFC13E0E7}"/>
    <cellStyle name="20% - Accent6 4 3 2 2 3" xfId="34596" xr:uid="{6725AE16-7964-487E-AADE-CCEE5CC09174}"/>
    <cellStyle name="20% - Accent6 4 3 2 2 4" xfId="43043" xr:uid="{468FDD50-8822-4BC0-84F7-2CBCFFBAB104}"/>
    <cellStyle name="20% - Accent6 4 3 2 2 5" xfId="16849" xr:uid="{F7B51D91-7CFB-4E2B-B256-FD21986432D0}"/>
    <cellStyle name="20% - Accent6 4 3 2 3" xfId="21932" xr:uid="{2EE16BAE-E47C-4C55-923C-3085E0D0F099}"/>
    <cellStyle name="20% - Accent6 4 3 2 4" xfId="30379" xr:uid="{D49857DF-2CCB-4A31-96C3-9C607F3E5019}"/>
    <cellStyle name="20% - Accent6 4 3 2 5" xfId="38826" xr:uid="{50BFF300-6814-48A8-AA31-9909F65D551A}"/>
    <cellStyle name="20% - Accent6 4 3 2 6" xfId="12632" xr:uid="{20D6052E-EC6F-43D6-8AA8-CA4BE6087BF4}"/>
    <cellStyle name="20% - Accent6 4 3 3" xfId="5378" xr:uid="{00000000-0005-0000-0000-0000A2030000}"/>
    <cellStyle name="20% - Accent6 4 3 3 2" xfId="24004" xr:uid="{4C04A3E1-F1C2-428A-80EE-AC2000D903F1}"/>
    <cellStyle name="20% - Accent6 4 3 3 3" xfId="32451" xr:uid="{F89071C6-E093-4773-9AB2-DFBC9423AD73}"/>
    <cellStyle name="20% - Accent6 4 3 3 4" xfId="40898" xr:uid="{3A2D006F-5942-43F0-B555-7170934CAE93}"/>
    <cellStyle name="20% - Accent6 4 3 3 5" xfId="14704" xr:uid="{0C22D369-F793-4FF6-A06E-89D7EE706353}"/>
    <cellStyle name="20% - Accent6 4 3 4" xfId="19787" xr:uid="{2C5AA3E6-4399-4F7D-B814-E47975809CDA}"/>
    <cellStyle name="20% - Accent6 4 3 5" xfId="28234" xr:uid="{88B721B5-CD71-4AFF-AA64-F7B53362D734}"/>
    <cellStyle name="20% - Accent6 4 3 6" xfId="36681" xr:uid="{08F119DD-E722-498B-B948-7EB4E27BFA6F}"/>
    <cellStyle name="20% - Accent6 4 3 7" xfId="10487" xr:uid="{FAA7B2C4-3E04-4145-9507-C27BAE8C13BB}"/>
    <cellStyle name="20% - Accent6 4 4" xfId="1484" xr:uid="{00000000-0005-0000-0000-0000A3030000}"/>
    <cellStyle name="20% - Accent6 4 4 2" xfId="3714" xr:uid="{00000000-0005-0000-0000-0000A4030000}"/>
    <cellStyle name="20% - Accent6 4 4 2 2" xfId="7936" xr:uid="{00000000-0005-0000-0000-0000A5030000}"/>
    <cellStyle name="20% - Accent6 4 4 2 2 2" xfId="26562" xr:uid="{8F49AE01-5493-4B7D-9B91-B336A9870CBD}"/>
    <cellStyle name="20% - Accent6 4 4 2 2 3" xfId="35009" xr:uid="{BD377589-FC7C-4562-BBA6-3B3A1E0678D6}"/>
    <cellStyle name="20% - Accent6 4 4 2 2 4" xfId="43456" xr:uid="{801BE23F-6ABE-4B7F-AFA3-151094025ADA}"/>
    <cellStyle name="20% - Accent6 4 4 2 2 5" xfId="17262" xr:uid="{540A5FA7-4355-48AE-AC05-C5E6F3E110EC}"/>
    <cellStyle name="20% - Accent6 4 4 2 3" xfId="22345" xr:uid="{D57C83D4-BA71-46A1-A420-B2CB0175E30F}"/>
    <cellStyle name="20% - Accent6 4 4 2 4" xfId="30792" xr:uid="{A2BBB319-4FB3-4AFF-B25E-439E72E6D866}"/>
    <cellStyle name="20% - Accent6 4 4 2 5" xfId="39239" xr:uid="{6159D65C-CADE-4B7C-AFD1-FC2825B27FF0}"/>
    <cellStyle name="20% - Accent6 4 4 2 6" xfId="13045" xr:uid="{8529361A-327A-4270-906C-0D3C766430ED}"/>
    <cellStyle name="20% - Accent6 4 4 3" xfId="5791" xr:uid="{00000000-0005-0000-0000-0000A6030000}"/>
    <cellStyle name="20% - Accent6 4 4 3 2" xfId="24417" xr:uid="{A178BBDF-6CDF-4A38-907A-EADCF9669E22}"/>
    <cellStyle name="20% - Accent6 4 4 3 3" xfId="32864" xr:uid="{BFDEDF8A-8279-488F-8061-93078D81C7D9}"/>
    <cellStyle name="20% - Accent6 4 4 3 4" xfId="41311" xr:uid="{E616D89E-FF51-4B80-9701-6F4B363B76C8}"/>
    <cellStyle name="20% - Accent6 4 4 3 5" xfId="15117" xr:uid="{E552A322-D722-4C2B-B8E6-4BF1CA76533A}"/>
    <cellStyle name="20% - Accent6 4 4 4" xfId="20200" xr:uid="{68A00723-56D3-42F2-93D8-A6E9C827C8C2}"/>
    <cellStyle name="20% - Accent6 4 4 5" xfId="28647" xr:uid="{238472AB-1383-46A2-AEB5-89AD8E70CFE9}"/>
    <cellStyle name="20% - Accent6 4 4 6" xfId="37094" xr:uid="{B3AA3A74-6C10-4DAD-9F05-8846F904BF8C}"/>
    <cellStyle name="20% - Accent6 4 4 7" xfId="10900" xr:uid="{F7CC9B8A-BE15-48BD-82F5-753DF46E18A1}"/>
    <cellStyle name="20% - Accent6 4 5" xfId="1898" xr:uid="{00000000-0005-0000-0000-0000A7030000}"/>
    <cellStyle name="20% - Accent6 4 5 2" xfId="4127" xr:uid="{00000000-0005-0000-0000-0000A8030000}"/>
    <cellStyle name="20% - Accent6 4 5 2 2" xfId="8349" xr:uid="{00000000-0005-0000-0000-0000A9030000}"/>
    <cellStyle name="20% - Accent6 4 5 2 2 2" xfId="26975" xr:uid="{52324BF3-799F-42E7-B63A-7B84AA2474B5}"/>
    <cellStyle name="20% - Accent6 4 5 2 2 3" xfId="35422" xr:uid="{5C8094A8-831F-43B1-B919-FE4E964EF47D}"/>
    <cellStyle name="20% - Accent6 4 5 2 2 4" xfId="43869" xr:uid="{55E7B003-31DE-4DB1-BCB7-EF4F87E28873}"/>
    <cellStyle name="20% - Accent6 4 5 2 2 5" xfId="17675" xr:uid="{8166523C-DDEC-49E4-A8DC-07238498F565}"/>
    <cellStyle name="20% - Accent6 4 5 2 3" xfId="22758" xr:uid="{1FE52A00-9DFD-4F31-9CFA-17EBF2FD6875}"/>
    <cellStyle name="20% - Accent6 4 5 2 4" xfId="31205" xr:uid="{9F05E7F6-53CA-48D7-809C-3141AE5357C8}"/>
    <cellStyle name="20% - Accent6 4 5 2 5" xfId="39652" xr:uid="{4D1AD0B3-ADAA-4A70-B656-F626FE4C8835}"/>
    <cellStyle name="20% - Accent6 4 5 2 6" xfId="13458" xr:uid="{26C2DF0E-B195-4CEB-9664-A42A4320F7BA}"/>
    <cellStyle name="20% - Accent6 4 5 3" xfId="6204" xr:uid="{00000000-0005-0000-0000-0000AA030000}"/>
    <cellStyle name="20% - Accent6 4 5 3 2" xfId="24830" xr:uid="{A6C58406-D825-4A37-AB97-0F6D4DD627D9}"/>
    <cellStyle name="20% - Accent6 4 5 3 3" xfId="33277" xr:uid="{0EB65BCE-924F-49FA-8402-1DD2BBEBF99E}"/>
    <cellStyle name="20% - Accent6 4 5 3 4" xfId="41724" xr:uid="{3868F2BD-C37B-4894-94FA-CF1D7D5E325C}"/>
    <cellStyle name="20% - Accent6 4 5 3 5" xfId="15530" xr:uid="{13DC05A3-140D-4BCA-851E-444156E00B7C}"/>
    <cellStyle name="20% - Accent6 4 5 4" xfId="20613" xr:uid="{5454D7EB-6F33-4C25-8B6B-2CAA0CCC2E4A}"/>
    <cellStyle name="20% - Accent6 4 5 5" xfId="29060" xr:uid="{97120535-44A8-4546-9ACC-B56FAECFC420}"/>
    <cellStyle name="20% - Accent6 4 5 6" xfId="37507" xr:uid="{4E5CCC5D-8772-4286-9391-C0F9C8FE3C70}"/>
    <cellStyle name="20% - Accent6 4 5 7" xfId="11313" xr:uid="{316EF974-3385-4D79-A2A8-4C769032AC41}"/>
    <cellStyle name="20% - Accent6 4 6" xfId="2311" xr:uid="{00000000-0005-0000-0000-0000AB030000}"/>
    <cellStyle name="20% - Accent6 4 6 2" xfId="6617" xr:uid="{00000000-0005-0000-0000-0000AC030000}"/>
    <cellStyle name="20% - Accent6 4 6 2 2" xfId="25243" xr:uid="{5FAF6403-B9C7-4D70-91FD-6C60735FA3F4}"/>
    <cellStyle name="20% - Accent6 4 6 2 3" xfId="33690" xr:uid="{84B734EB-AA5D-4E43-9FDB-FDB57541AE2B}"/>
    <cellStyle name="20% - Accent6 4 6 2 4" xfId="42137" xr:uid="{5CB58A13-21E3-4208-9F3A-2583BDE954A0}"/>
    <cellStyle name="20% - Accent6 4 6 2 5" xfId="15943" xr:uid="{D378F5D1-C98E-4437-9450-A33B0E76ED76}"/>
    <cellStyle name="20% - Accent6 4 6 3" xfId="21026" xr:uid="{6A8145D9-85BA-4964-8B99-359973759089}"/>
    <cellStyle name="20% - Accent6 4 6 4" xfId="29473" xr:uid="{7429AA5F-7163-42A0-A284-CF12DB00B3D1}"/>
    <cellStyle name="20% - Accent6 4 6 5" xfId="37920" xr:uid="{E12F3343-174E-4B30-85A2-C93762021DFA}"/>
    <cellStyle name="20% - Accent6 4 6 6" xfId="11726" xr:uid="{7327A83A-5BC4-4630-A049-61D8536F9BD9}"/>
    <cellStyle name="20% - Accent6 4 7" xfId="4551" xr:uid="{00000000-0005-0000-0000-0000AD030000}"/>
    <cellStyle name="20% - Accent6 4 7 2" xfId="23177" xr:uid="{051DC63A-FF43-417F-8053-95F6777369DE}"/>
    <cellStyle name="20% - Accent6 4 7 3" xfId="31624" xr:uid="{ACE6B3B1-AE43-4E04-83CB-02976FAE5B42}"/>
    <cellStyle name="20% - Accent6 4 7 4" xfId="40071" xr:uid="{D037DD4C-1B9C-4A34-9412-520710D4E5B4}"/>
    <cellStyle name="20% - Accent6 4 7 5" xfId="13877" xr:uid="{A254862B-83F0-4CD6-9BBC-5476967620E1}"/>
    <cellStyle name="20% - Accent6 4 8" xfId="8957" xr:uid="{03E1DA3A-6A3F-4C0D-9844-2D38E7BA13BC}"/>
    <cellStyle name="20% - Accent6 4 8 2" xfId="18281" xr:uid="{D90414E1-8AC4-469C-97F6-F97ACBD37DC4}"/>
    <cellStyle name="20% - Accent6 4 9" xfId="18960" xr:uid="{9DAFB970-E912-4DBE-9AFE-D57AA4B189DB}"/>
    <cellStyle name="20% - Accent6 5" xfId="610" xr:uid="{00000000-0005-0000-0000-0000AE030000}"/>
    <cellStyle name="20% - Accent6 5 2" xfId="2881" xr:uid="{00000000-0005-0000-0000-0000AF030000}"/>
    <cellStyle name="20% - Accent6 5 2 2" xfId="7103" xr:uid="{00000000-0005-0000-0000-0000B0030000}"/>
    <cellStyle name="20% - Accent6 5 2 2 2" xfId="25729" xr:uid="{1B7259B7-84F3-4A31-BAAA-19BCF8C24E0C}"/>
    <cellStyle name="20% - Accent6 5 2 2 3" xfId="34176" xr:uid="{0889A58C-F172-43F8-91AC-4508BB5CC983}"/>
    <cellStyle name="20% - Accent6 5 2 2 4" xfId="42623" xr:uid="{38751A83-01D7-44F3-ABED-14598D85EA23}"/>
    <cellStyle name="20% - Accent6 5 2 2 5" xfId="16429" xr:uid="{9B0B14F1-5ADD-440F-B4DB-CFF029EBBB75}"/>
    <cellStyle name="20% - Accent6 5 2 3" xfId="21512" xr:uid="{CD223311-3935-4E96-BF82-08FD31B803D3}"/>
    <cellStyle name="20% - Accent6 5 2 4" xfId="29959" xr:uid="{DB4184C5-97E8-4532-BF3B-F2DD47DA0191}"/>
    <cellStyle name="20% - Accent6 5 2 5" xfId="38406" xr:uid="{19F729DC-6E2C-4B4E-8E8F-0A86B9C6710B}"/>
    <cellStyle name="20% - Accent6 5 2 6" xfId="12212" xr:uid="{0192708E-E342-4919-AD2F-C527C7D2099D}"/>
    <cellStyle name="20% - Accent6 5 3" xfId="4958" xr:uid="{00000000-0005-0000-0000-0000B1030000}"/>
    <cellStyle name="20% - Accent6 5 3 2" xfId="23584" xr:uid="{7BD1057F-11EC-48EA-9213-EA1F9848451D}"/>
    <cellStyle name="20% - Accent6 5 3 3" xfId="32031" xr:uid="{E539D18C-5E85-4CD7-A2CE-63DF070D6BFF}"/>
    <cellStyle name="20% - Accent6 5 3 4" xfId="40478" xr:uid="{E7CA3F05-CFC7-4559-9F11-84038B8A965C}"/>
    <cellStyle name="20% - Accent6 5 3 5" xfId="14284" xr:uid="{D04FCF6E-7549-487D-A20C-259D680BD93F}"/>
    <cellStyle name="20% - Accent6 5 4" xfId="9191" xr:uid="{C812E2E5-5572-4E86-9CB6-C7C53792C044}"/>
    <cellStyle name="20% - Accent6 5 4 2" xfId="18509" xr:uid="{F4BD7033-9DB3-42A9-B6AA-4B86C6629B19}"/>
    <cellStyle name="20% - Accent6 5 5" xfId="19367" xr:uid="{9148B31A-6DF2-46B3-9F9E-C43852BEAD3B}"/>
    <cellStyle name="20% - Accent6 5 6" xfId="27814" xr:uid="{94EC7C07-D8A2-4BED-8BA0-575C9F690091}"/>
    <cellStyle name="20% - Accent6 5 7" xfId="36261" xr:uid="{BA892E65-A3F4-4C1A-A43D-B413ACDD9E2C}"/>
    <cellStyle name="20% - Accent6 5 8" xfId="10067" xr:uid="{C51A6579-CD0D-4956-9F98-018AA8097200}"/>
    <cellStyle name="20% - Accent6 6" xfId="1063" xr:uid="{00000000-0005-0000-0000-0000B2030000}"/>
    <cellStyle name="20% - Accent6 6 2" xfId="3294" xr:uid="{00000000-0005-0000-0000-0000B3030000}"/>
    <cellStyle name="20% - Accent6 6 2 2" xfId="7516" xr:uid="{00000000-0005-0000-0000-0000B4030000}"/>
    <cellStyle name="20% - Accent6 6 2 2 2" xfId="26142" xr:uid="{B67EB268-20A0-432B-9283-F1BDD958D9DD}"/>
    <cellStyle name="20% - Accent6 6 2 2 3" xfId="34589" xr:uid="{B63E4459-D362-44F7-8532-48E0B0BB65C1}"/>
    <cellStyle name="20% - Accent6 6 2 2 4" xfId="43036" xr:uid="{DF6DFEDE-170A-4921-9167-7F7DFFB5C768}"/>
    <cellStyle name="20% - Accent6 6 2 2 5" xfId="16842" xr:uid="{E9006BC6-6DDB-4CE1-9C40-8DE0B1E60A6C}"/>
    <cellStyle name="20% - Accent6 6 2 3" xfId="21925" xr:uid="{40CB67EE-FF51-4C37-B478-82284909FD41}"/>
    <cellStyle name="20% - Accent6 6 2 4" xfId="30372" xr:uid="{F6DB95BF-1B7F-4E64-8891-F35D8834C7A1}"/>
    <cellStyle name="20% - Accent6 6 2 5" xfId="38819" xr:uid="{D528DEDF-5894-41CA-9650-65867B98E0AA}"/>
    <cellStyle name="20% - Accent6 6 2 6" xfId="12625" xr:uid="{8947316A-B2A1-4568-ADCB-8E49F25A10EF}"/>
    <cellStyle name="20% - Accent6 6 3" xfId="5371" xr:uid="{00000000-0005-0000-0000-0000B5030000}"/>
    <cellStyle name="20% - Accent6 6 3 2" xfId="23997" xr:uid="{6422103D-AFA5-48A0-97C3-78503BD02ED0}"/>
    <cellStyle name="20% - Accent6 6 3 3" xfId="32444" xr:uid="{4186BA86-E799-4A98-9404-B0345A089BD4}"/>
    <cellStyle name="20% - Accent6 6 3 4" xfId="40891" xr:uid="{4966A832-AC76-4B6D-8193-83C689329116}"/>
    <cellStyle name="20% - Accent6 6 3 5" xfId="14697" xr:uid="{D8FE1512-A0AE-4376-A11B-B17C3207B4F1}"/>
    <cellStyle name="20% - Accent6 6 4" xfId="19780" xr:uid="{11D7A043-75E4-4B5E-BF6E-9055CC5CB315}"/>
    <cellStyle name="20% - Accent6 6 5" xfId="28227" xr:uid="{C9CE19C7-B448-49F6-B758-07C88BC4B768}"/>
    <cellStyle name="20% - Accent6 6 6" xfId="36674" xr:uid="{4960227C-FD1B-4BB1-A258-0C09F04D02C9}"/>
    <cellStyle name="20% - Accent6 6 7" xfId="10480" xr:uid="{A7F873EB-9175-44EF-9984-7FA478D0189C}"/>
    <cellStyle name="20% - Accent6 7" xfId="1477" xr:uid="{00000000-0005-0000-0000-0000B6030000}"/>
    <cellStyle name="20% - Accent6 7 2" xfId="3707" xr:uid="{00000000-0005-0000-0000-0000B7030000}"/>
    <cellStyle name="20% - Accent6 7 2 2" xfId="7929" xr:uid="{00000000-0005-0000-0000-0000B8030000}"/>
    <cellStyle name="20% - Accent6 7 2 2 2" xfId="26555" xr:uid="{1529AC37-CC34-48FF-8062-6E224D4B888A}"/>
    <cellStyle name="20% - Accent6 7 2 2 3" xfId="35002" xr:uid="{02306108-F2B5-4B72-84BD-C88800DB18C4}"/>
    <cellStyle name="20% - Accent6 7 2 2 4" xfId="43449" xr:uid="{63156288-56AC-4BAA-91CE-14A74A0E5D60}"/>
    <cellStyle name="20% - Accent6 7 2 2 5" xfId="17255" xr:uid="{0C2CF5DC-B335-4FE3-898A-17C1F9BF54C6}"/>
    <cellStyle name="20% - Accent6 7 2 3" xfId="22338" xr:uid="{1E50F438-5795-41E3-A651-45DC01A186C7}"/>
    <cellStyle name="20% - Accent6 7 2 4" xfId="30785" xr:uid="{13A0946F-E947-4F87-9D84-1B263C0D262C}"/>
    <cellStyle name="20% - Accent6 7 2 5" xfId="39232" xr:uid="{DBE16B2C-3316-4E20-939C-DE86E20A3267}"/>
    <cellStyle name="20% - Accent6 7 2 6" xfId="13038" xr:uid="{DFE4E8B6-C986-4AB4-A7E5-63968102A7F9}"/>
    <cellStyle name="20% - Accent6 7 3" xfId="5784" xr:uid="{00000000-0005-0000-0000-0000B9030000}"/>
    <cellStyle name="20% - Accent6 7 3 2" xfId="24410" xr:uid="{6506A94E-5705-4832-AC8B-960AC82EDC77}"/>
    <cellStyle name="20% - Accent6 7 3 3" xfId="32857" xr:uid="{393722CA-9342-489D-96D0-CE1020C174A9}"/>
    <cellStyle name="20% - Accent6 7 3 4" xfId="41304" xr:uid="{F19FF09B-A3C1-437D-85B0-8568E4B21B1F}"/>
    <cellStyle name="20% - Accent6 7 3 5" xfId="15110" xr:uid="{418EDD42-A144-48C2-86D9-DF9064F63DD3}"/>
    <cellStyle name="20% - Accent6 7 4" xfId="20193" xr:uid="{F758CE6C-9515-4DE4-9585-7A8E0D91635A}"/>
    <cellStyle name="20% - Accent6 7 5" xfId="28640" xr:uid="{56F455CC-4DEB-44FC-B7B6-E513F13A298F}"/>
    <cellStyle name="20% - Accent6 7 6" xfId="37087" xr:uid="{C5D6DFE3-3C9E-4D12-B2A9-8BF1D87D834D}"/>
    <cellStyle name="20% - Accent6 7 7" xfId="10893" xr:uid="{F71BE156-0378-46C7-8B7C-E4A6501A8B64}"/>
    <cellStyle name="20% - Accent6 8" xfId="1891" xr:uid="{00000000-0005-0000-0000-0000BA030000}"/>
    <cellStyle name="20% - Accent6 8 2" xfId="4120" xr:uid="{00000000-0005-0000-0000-0000BB030000}"/>
    <cellStyle name="20% - Accent6 8 2 2" xfId="8342" xr:uid="{00000000-0005-0000-0000-0000BC030000}"/>
    <cellStyle name="20% - Accent6 8 2 2 2" xfId="26968" xr:uid="{BF34A91F-BBE7-484A-B07F-5E08DE48892D}"/>
    <cellStyle name="20% - Accent6 8 2 2 3" xfId="35415" xr:uid="{4D6CE181-4FCA-4CB6-9A74-E781828EF58A}"/>
    <cellStyle name="20% - Accent6 8 2 2 4" xfId="43862" xr:uid="{D785B2EF-CD83-4C15-AE67-4B7C616DFA56}"/>
    <cellStyle name="20% - Accent6 8 2 2 5" xfId="17668" xr:uid="{B86BA100-F1BF-4416-82F9-06EF72F2FC16}"/>
    <cellStyle name="20% - Accent6 8 2 3" xfId="22751" xr:uid="{417B0D1A-81EF-4989-AABD-3F5C95C0101E}"/>
    <cellStyle name="20% - Accent6 8 2 4" xfId="31198" xr:uid="{7D63E0BB-7A0C-4650-90FB-B97FFC3D3545}"/>
    <cellStyle name="20% - Accent6 8 2 5" xfId="39645" xr:uid="{FFCDBE58-3E2E-4C1E-9BDE-DD1FF01BAF88}"/>
    <cellStyle name="20% - Accent6 8 2 6" xfId="13451" xr:uid="{B6A386E5-618C-4D12-BA27-56664DE85151}"/>
    <cellStyle name="20% - Accent6 8 3" xfId="6197" xr:uid="{00000000-0005-0000-0000-0000BD030000}"/>
    <cellStyle name="20% - Accent6 8 3 2" xfId="24823" xr:uid="{1D10E493-DEF4-4EF6-9DA1-5126C31C4EA5}"/>
    <cellStyle name="20% - Accent6 8 3 3" xfId="33270" xr:uid="{080597A7-F107-4F50-AC97-D625E0A85939}"/>
    <cellStyle name="20% - Accent6 8 3 4" xfId="41717" xr:uid="{42BC0898-A097-4CBA-8391-C7E488B529B1}"/>
    <cellStyle name="20% - Accent6 8 3 5" xfId="15523" xr:uid="{BB57F2B4-8D5D-4219-8366-2BB351218E16}"/>
    <cellStyle name="20% - Accent6 8 4" xfId="20606" xr:uid="{CB866E44-4F3B-4C0C-80CA-A81F5282CC0C}"/>
    <cellStyle name="20% - Accent6 8 5" xfId="29053" xr:uid="{5659FE86-4084-4BD5-BDDC-F0D1739F66A1}"/>
    <cellStyle name="20% - Accent6 8 6" xfId="37500" xr:uid="{FACAA61E-8E58-4B29-851E-48747A95B37B}"/>
    <cellStyle name="20% - Accent6 8 7" xfId="11306" xr:uid="{5A444A4B-6E8B-4111-8180-197D0E9501EE}"/>
    <cellStyle name="20% - Accent6 9" xfId="2304" xr:uid="{00000000-0005-0000-0000-0000BE030000}"/>
    <cellStyle name="20% - Accent6 9 2" xfId="6610" xr:uid="{00000000-0005-0000-0000-0000BF030000}"/>
    <cellStyle name="20% - Accent6 9 2 2" xfId="25236" xr:uid="{DF624780-2E7D-43BA-A17A-37A0F877BF94}"/>
    <cellStyle name="20% - Accent6 9 2 3" xfId="33683" xr:uid="{6F38116F-E4A0-460D-9E96-B7480084FE1A}"/>
    <cellStyle name="20% - Accent6 9 2 4" xfId="42130" xr:uid="{74E829AE-8698-4289-A5A0-B02B73D453D1}"/>
    <cellStyle name="20% - Accent6 9 2 5" xfId="15936" xr:uid="{1AE9F27A-5837-4167-898E-654100E4B98C}"/>
    <cellStyle name="20% - Accent6 9 3" xfId="21019" xr:uid="{616BB452-34B1-4671-973B-5A3788CAE2CC}"/>
    <cellStyle name="20% - Accent6 9 4" xfId="29466" xr:uid="{F2C14473-C71F-4ED8-82C9-CFEA8BD5D36B}"/>
    <cellStyle name="20% - Accent6 9 5" xfId="37913" xr:uid="{CB6315BF-68BA-404F-A243-7FE16424C104}"/>
    <cellStyle name="20% - Accent6 9 6" xfId="11719" xr:uid="{CE62C467-D641-4418-94D5-1248B941CE6C}"/>
    <cellStyle name="40% - Accent1" xfId="49" builtinId="31" customBuiltin="1"/>
    <cellStyle name="40% - Accent1 10" xfId="4552" xr:uid="{00000000-0005-0000-0000-0000C1030000}"/>
    <cellStyle name="40% - Accent1 10 2" xfId="23178" xr:uid="{DA50229E-2667-42BD-BDC6-1D9D7CC12359}"/>
    <cellStyle name="40% - Accent1 10 3" xfId="31625" xr:uid="{914DC36C-6114-4C0C-BF6E-931FA859B276}"/>
    <cellStyle name="40% - Accent1 10 4" xfId="40072" xr:uid="{DAC91CF7-342C-4115-A72B-C34EF90E3069}"/>
    <cellStyle name="40% - Accent1 10 5" xfId="13878" xr:uid="{BC740FCF-3531-4152-9E68-8C7259035383}"/>
    <cellStyle name="40% - Accent1 11" xfId="8759" xr:uid="{E0AA4078-00FF-4C00-81ED-1F048AC6C533}"/>
    <cellStyle name="40% - Accent1 11 2" xfId="18083" xr:uid="{409A6711-9677-4B76-9F90-88A1BAA5CDF7}"/>
    <cellStyle name="40% - Accent1 12" xfId="18961" xr:uid="{228C809B-8CFD-493E-A6FC-3C6BBDD363E5}"/>
    <cellStyle name="40% - Accent1 13" xfId="27408" xr:uid="{0089C8C5-A5E5-4734-9DF4-3AA3AC9878B3}"/>
    <cellStyle name="40% - Accent1 14" xfId="35855" xr:uid="{889E854C-B4D9-4689-84A4-F4E0E16F6AAE}"/>
    <cellStyle name="40% - Accent1 15" xfId="9661" xr:uid="{5FC92623-CCA5-4224-B9DA-0FD44E15A440}"/>
    <cellStyle name="40% - Accent1 2" xfId="50" xr:uid="{00000000-0005-0000-0000-0000C2030000}"/>
    <cellStyle name="40% - Accent1 2 10" xfId="8798" xr:uid="{82026451-631C-40CA-BC49-BE5DA2EA921A}"/>
    <cellStyle name="40% - Accent1 2 10 2" xfId="18122" xr:uid="{A4B5E953-D2DD-406E-9847-E4AFD63C3AC2}"/>
    <cellStyle name="40% - Accent1 2 11" xfId="18962" xr:uid="{981EB048-194F-49BA-A2D0-655E7660D2F0}"/>
    <cellStyle name="40% - Accent1 2 12" xfId="27409" xr:uid="{9870D534-4F0C-44C7-BCA6-A6213C870E16}"/>
    <cellStyle name="40% - Accent1 2 13" xfId="35856" xr:uid="{2B14924C-1C10-47AB-BB53-9FDFCBC22348}"/>
    <cellStyle name="40% - Accent1 2 14" xfId="9662" xr:uid="{02450CD5-C551-465D-92EB-ED0219B9BF98}"/>
    <cellStyle name="40% - Accent1 2 2" xfId="51" xr:uid="{00000000-0005-0000-0000-0000C3030000}"/>
    <cellStyle name="40% - Accent1 2 2 10" xfId="18963" xr:uid="{5CDB9A21-409C-4ADD-9038-DA17C1851A40}"/>
    <cellStyle name="40% - Accent1 2 2 11" xfId="27410" xr:uid="{1AE9A6F6-D891-4BAB-80B2-3CE7AD257EC1}"/>
    <cellStyle name="40% - Accent1 2 2 12" xfId="35857" xr:uid="{4D2FB109-CFA8-4D59-8404-83FD25983ABE}"/>
    <cellStyle name="40% - Accent1 2 2 13" xfId="9663" xr:uid="{A7E68D00-F98A-4776-BDF8-E51A1DAF6B76}"/>
    <cellStyle name="40% - Accent1 2 2 2" xfId="52" xr:uid="{00000000-0005-0000-0000-0000C4030000}"/>
    <cellStyle name="40% - Accent1 2 2 2 10" xfId="27411" xr:uid="{5567281A-33B2-481A-8B19-3574DE1C8722}"/>
    <cellStyle name="40% - Accent1 2 2 2 11" xfId="35858" xr:uid="{90C68D8F-926C-4C9E-AEC5-383A1382FA38}"/>
    <cellStyle name="40% - Accent1 2 2 2 12" xfId="9664" xr:uid="{712ED575-0B52-4A89-90BE-DA688708CB97}"/>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2 2 2" xfId="25740" xr:uid="{FF1CCC2F-9BF0-46B9-83E6-35F8B1B5498B}"/>
    <cellStyle name="40% - Accent1 2 2 2 2 2 2 3" xfId="34187" xr:uid="{AC7A520E-7CC4-4447-AC0C-AEF39DCC7D75}"/>
    <cellStyle name="40% - Accent1 2 2 2 2 2 2 4" xfId="42634" xr:uid="{D6A9C6A3-4C70-46D7-9BF1-3C9A1F6DFB6F}"/>
    <cellStyle name="40% - Accent1 2 2 2 2 2 2 5" xfId="16440" xr:uid="{88FF834B-D021-4A6F-8C3C-F475324E20DB}"/>
    <cellStyle name="40% - Accent1 2 2 2 2 2 3" xfId="21523" xr:uid="{682CC02A-8C04-4EB9-97BC-377921A280D0}"/>
    <cellStyle name="40% - Accent1 2 2 2 2 2 4" xfId="29970" xr:uid="{41F60D39-D3B1-4E08-8642-8A101C2A0477}"/>
    <cellStyle name="40% - Accent1 2 2 2 2 2 5" xfId="38417" xr:uid="{425EB8B3-6485-4C81-B8E8-C2F7DFA22135}"/>
    <cellStyle name="40% - Accent1 2 2 2 2 2 6" xfId="12223" xr:uid="{C3538D5D-0336-4C77-AEC3-E81788E3D31C}"/>
    <cellStyle name="40% - Accent1 2 2 2 2 3" xfId="4969" xr:uid="{00000000-0005-0000-0000-0000C8030000}"/>
    <cellStyle name="40% - Accent1 2 2 2 2 3 2" xfId="23595" xr:uid="{2067F522-654A-4EB2-8923-82CF4679F332}"/>
    <cellStyle name="40% - Accent1 2 2 2 2 3 3" xfId="32042" xr:uid="{E1A5481C-21B4-4E86-9FD4-B949F94122AA}"/>
    <cellStyle name="40% - Accent1 2 2 2 2 3 4" xfId="40489" xr:uid="{FAB3A946-3503-4402-BCE3-95F8B573A9D1}"/>
    <cellStyle name="40% - Accent1 2 2 2 2 3 5" xfId="14295" xr:uid="{B25087B2-25CB-4627-A580-C1D41B842736}"/>
    <cellStyle name="40% - Accent1 2 2 2 2 4" xfId="9533" xr:uid="{757B5AC4-115E-4B90-B4EA-505C31F9B178}"/>
    <cellStyle name="40% - Accent1 2 2 2 2 4 2" xfId="18849" xr:uid="{4D5FA285-A897-4CEF-A6BC-6895B13264AB}"/>
    <cellStyle name="40% - Accent1 2 2 2 2 5" xfId="19378" xr:uid="{49E2FE41-ED5E-4B8A-994B-000DECCC29DF}"/>
    <cellStyle name="40% - Accent1 2 2 2 2 6" xfId="27825" xr:uid="{078784C8-5EE1-426A-B032-DAAFB2060876}"/>
    <cellStyle name="40% - Accent1 2 2 2 2 7" xfId="36272" xr:uid="{CB80ACDB-B74D-417C-B391-C50FD8EF96B4}"/>
    <cellStyle name="40% - Accent1 2 2 2 2 8" xfId="10078" xr:uid="{8ADB05A6-949F-4606-8B64-1B17EBD1403E}"/>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2 2 2" xfId="26153" xr:uid="{4A274BC5-7DC9-40C5-8218-B21528F6D5E3}"/>
    <cellStyle name="40% - Accent1 2 2 2 3 2 2 3" xfId="34600" xr:uid="{3FC3D8F7-1BEB-415F-9DA8-5ABF25503C86}"/>
    <cellStyle name="40% - Accent1 2 2 2 3 2 2 4" xfId="43047" xr:uid="{0F841866-2F4D-4D39-A8D1-C62663A49DEA}"/>
    <cellStyle name="40% - Accent1 2 2 2 3 2 2 5" xfId="16853" xr:uid="{25A9A47B-0F32-4FC8-B911-9222A25BA3B1}"/>
    <cellStyle name="40% - Accent1 2 2 2 3 2 3" xfId="21936" xr:uid="{1546B751-F7F6-4629-BB14-FDAE159FD0A2}"/>
    <cellStyle name="40% - Accent1 2 2 2 3 2 4" xfId="30383" xr:uid="{B0D3A0C7-5C45-4CD1-80F1-53A3C4ACB512}"/>
    <cellStyle name="40% - Accent1 2 2 2 3 2 5" xfId="38830" xr:uid="{90D2BBBA-FED4-4B90-BA1E-F992EDCAE0F8}"/>
    <cellStyle name="40% - Accent1 2 2 2 3 2 6" xfId="12636" xr:uid="{AAAC1947-F754-4CE1-B482-8A1CC1BB54AD}"/>
    <cellStyle name="40% - Accent1 2 2 2 3 3" xfId="5382" xr:uid="{00000000-0005-0000-0000-0000CC030000}"/>
    <cellStyle name="40% - Accent1 2 2 2 3 3 2" xfId="24008" xr:uid="{2FAC889F-884C-44A4-BCC4-8B97348358A7}"/>
    <cellStyle name="40% - Accent1 2 2 2 3 3 3" xfId="32455" xr:uid="{1C07A17F-04F9-4DDF-86E9-CB305E270B8C}"/>
    <cellStyle name="40% - Accent1 2 2 2 3 3 4" xfId="40902" xr:uid="{1F597AD1-95D7-4BF8-804A-4CAD2CB188DC}"/>
    <cellStyle name="40% - Accent1 2 2 2 3 3 5" xfId="14708" xr:uid="{C1D4B405-4D68-4843-A667-3F0B43DB2BBF}"/>
    <cellStyle name="40% - Accent1 2 2 2 3 4" xfId="19791" xr:uid="{A008FC79-F44F-4DD6-B1BB-1214246D47FB}"/>
    <cellStyle name="40% - Accent1 2 2 2 3 5" xfId="28238" xr:uid="{2FF61F5D-B33B-4D50-BE81-6BDCD8C7F7BE}"/>
    <cellStyle name="40% - Accent1 2 2 2 3 6" xfId="36685" xr:uid="{40F676CA-6AAF-4B69-825D-6C16009EB0C0}"/>
    <cellStyle name="40% - Accent1 2 2 2 3 7" xfId="10491" xr:uid="{BF1A52B4-E4A1-4E76-8619-846D807090AD}"/>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2 2 2" xfId="26566" xr:uid="{2B83FEE0-BB20-4F12-BE42-95075304D617}"/>
    <cellStyle name="40% - Accent1 2 2 2 4 2 2 3" xfId="35013" xr:uid="{F3DAF500-7E6F-4415-9AA2-F0B38E76413E}"/>
    <cellStyle name="40% - Accent1 2 2 2 4 2 2 4" xfId="43460" xr:uid="{0E3646CC-0FC9-436F-951D-0CEAEBF0270A}"/>
    <cellStyle name="40% - Accent1 2 2 2 4 2 2 5" xfId="17266" xr:uid="{2E92DD4E-D5AA-4A4A-8885-80FB2103AA09}"/>
    <cellStyle name="40% - Accent1 2 2 2 4 2 3" xfId="22349" xr:uid="{2CEFAF18-6F3C-4CA2-AF6B-F36FD4422847}"/>
    <cellStyle name="40% - Accent1 2 2 2 4 2 4" xfId="30796" xr:uid="{E138E2F4-AA26-400F-91DD-51DF355F750B}"/>
    <cellStyle name="40% - Accent1 2 2 2 4 2 5" xfId="39243" xr:uid="{75F37A93-519E-4119-8B4E-E5A6960A61C1}"/>
    <cellStyle name="40% - Accent1 2 2 2 4 2 6" xfId="13049" xr:uid="{35CCC3C5-2029-4E9C-8E1B-FC22C29F8450}"/>
    <cellStyle name="40% - Accent1 2 2 2 4 3" xfId="5795" xr:uid="{00000000-0005-0000-0000-0000D0030000}"/>
    <cellStyle name="40% - Accent1 2 2 2 4 3 2" xfId="24421" xr:uid="{25A02E71-2234-4BE2-8605-16A3CD60CDF6}"/>
    <cellStyle name="40% - Accent1 2 2 2 4 3 3" xfId="32868" xr:uid="{2BEA89BD-5C04-474B-960E-A2611AB9F6DA}"/>
    <cellStyle name="40% - Accent1 2 2 2 4 3 4" xfId="41315" xr:uid="{02009DE5-D148-4B1E-9041-143C51391728}"/>
    <cellStyle name="40% - Accent1 2 2 2 4 3 5" xfId="15121" xr:uid="{B4716B6A-449F-48FA-873A-B717A705793B}"/>
    <cellStyle name="40% - Accent1 2 2 2 4 4" xfId="20204" xr:uid="{64169499-9D4D-4098-AF78-F947A75710DF}"/>
    <cellStyle name="40% - Accent1 2 2 2 4 5" xfId="28651" xr:uid="{1303CC39-CA0C-45BB-B3B1-7E76E7AC0C98}"/>
    <cellStyle name="40% - Accent1 2 2 2 4 6" xfId="37098" xr:uid="{1A15A59C-A9DB-40A5-A8C1-379DF91D6665}"/>
    <cellStyle name="40% - Accent1 2 2 2 4 7" xfId="10904" xr:uid="{47957A3A-4692-4E2F-987B-BE89439053F6}"/>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2 2 2" xfId="26979" xr:uid="{6DAF57E8-7012-4DD0-9350-89D2ED7C395D}"/>
    <cellStyle name="40% - Accent1 2 2 2 5 2 2 3" xfId="35426" xr:uid="{B966BF42-62DD-4994-8F2C-39C7AF672F12}"/>
    <cellStyle name="40% - Accent1 2 2 2 5 2 2 4" xfId="43873" xr:uid="{E81C5FF9-D30D-4DD7-AD4F-D6D2D7B23E88}"/>
    <cellStyle name="40% - Accent1 2 2 2 5 2 2 5" xfId="17679" xr:uid="{F9530CFA-1682-40CF-A0E2-1D48220BC8A7}"/>
    <cellStyle name="40% - Accent1 2 2 2 5 2 3" xfId="22762" xr:uid="{6E12A696-A0A3-455D-A0EA-655BA56EDB2D}"/>
    <cellStyle name="40% - Accent1 2 2 2 5 2 4" xfId="31209" xr:uid="{25831E33-1D42-4737-B26F-0580BA84E5D8}"/>
    <cellStyle name="40% - Accent1 2 2 2 5 2 5" xfId="39656" xr:uid="{9356DD36-4D8E-44F8-B026-B3F2575354D0}"/>
    <cellStyle name="40% - Accent1 2 2 2 5 2 6" xfId="13462" xr:uid="{5E8500CB-EE1D-4E02-AE17-0DA601CBBC69}"/>
    <cellStyle name="40% - Accent1 2 2 2 5 3" xfId="6208" xr:uid="{00000000-0005-0000-0000-0000D4030000}"/>
    <cellStyle name="40% - Accent1 2 2 2 5 3 2" xfId="24834" xr:uid="{5BDE2431-4230-46E3-A769-9EA6A65200DF}"/>
    <cellStyle name="40% - Accent1 2 2 2 5 3 3" xfId="33281" xr:uid="{0925CF38-78B2-491F-8A06-C43EF5D37E15}"/>
    <cellStyle name="40% - Accent1 2 2 2 5 3 4" xfId="41728" xr:uid="{8AA81145-A939-4B6A-8C1D-4992CAA249BD}"/>
    <cellStyle name="40% - Accent1 2 2 2 5 3 5" xfId="15534" xr:uid="{69F4F62A-DDD4-46B8-8AF5-975ED9DF126F}"/>
    <cellStyle name="40% - Accent1 2 2 2 5 4" xfId="20617" xr:uid="{ABD217D9-38FF-41AF-B340-3AD2B6BF3BEB}"/>
    <cellStyle name="40% - Accent1 2 2 2 5 5" xfId="29064" xr:uid="{657D1C42-541D-4860-A63D-00B890185ED6}"/>
    <cellStyle name="40% - Accent1 2 2 2 5 6" xfId="37511" xr:uid="{EA4BB1D2-6D0B-44EA-8DAF-C74F87F0C621}"/>
    <cellStyle name="40% - Accent1 2 2 2 5 7" xfId="11317" xr:uid="{16AA7C8D-63B0-489D-9850-5A440E23C0B0}"/>
    <cellStyle name="40% - Accent1 2 2 2 6" xfId="2315" xr:uid="{00000000-0005-0000-0000-0000D5030000}"/>
    <cellStyle name="40% - Accent1 2 2 2 6 2" xfId="6621" xr:uid="{00000000-0005-0000-0000-0000D6030000}"/>
    <cellStyle name="40% - Accent1 2 2 2 6 2 2" xfId="25247" xr:uid="{6F0D9D7C-5978-4EBF-8666-BA08C20F6C21}"/>
    <cellStyle name="40% - Accent1 2 2 2 6 2 3" xfId="33694" xr:uid="{8B860939-9268-4B70-8DC1-E709FEBD9824}"/>
    <cellStyle name="40% - Accent1 2 2 2 6 2 4" xfId="42141" xr:uid="{D3E4C124-2F4F-4CA7-B4BF-16ECD027D60B}"/>
    <cellStyle name="40% - Accent1 2 2 2 6 2 5" xfId="15947" xr:uid="{80F2ADCF-15EB-4E92-BA86-D7398861C4AD}"/>
    <cellStyle name="40% - Accent1 2 2 2 6 3" xfId="21030" xr:uid="{648083CF-953B-4073-9F72-836ED0FA4885}"/>
    <cellStyle name="40% - Accent1 2 2 2 6 4" xfId="29477" xr:uid="{F763127E-14A4-4B00-B0B1-54FDC9FBC80A}"/>
    <cellStyle name="40% - Accent1 2 2 2 6 5" xfId="37924" xr:uid="{41E34B6A-9CC6-47F1-9DED-E75928124D5D}"/>
    <cellStyle name="40% - Accent1 2 2 2 6 6" xfId="11730" xr:uid="{D79EBB24-52DB-41BD-8F7D-A042009CE1F5}"/>
    <cellStyle name="40% - Accent1 2 2 2 7" xfId="4555" xr:uid="{00000000-0005-0000-0000-0000D7030000}"/>
    <cellStyle name="40% - Accent1 2 2 2 7 2" xfId="23181" xr:uid="{A44B614D-C7E5-417D-8AB2-623D9F735FC3}"/>
    <cellStyle name="40% - Accent1 2 2 2 7 3" xfId="31628" xr:uid="{88A52F6D-B676-4726-B67A-77A278A2442F}"/>
    <cellStyle name="40% - Accent1 2 2 2 7 4" xfId="40075" xr:uid="{8BC4229A-FC66-41E6-8263-249BB65B05C4}"/>
    <cellStyle name="40% - Accent1 2 2 2 7 5" xfId="13881" xr:uid="{71E426F2-888A-453B-B072-47DF2EAE514A}"/>
    <cellStyle name="40% - Accent1 2 2 2 8" xfId="9108" xr:uid="{1189B5E8-DD3C-4F9A-ACD3-DB853C0AC60B}"/>
    <cellStyle name="40% - Accent1 2 2 2 8 2" xfId="18432" xr:uid="{E97BAF93-0ED7-4C66-BF53-19B60CDFD26A}"/>
    <cellStyle name="40% - Accent1 2 2 2 9" xfId="18964" xr:uid="{CB51A1C5-72BF-4D46-8B52-75F881BB7B68}"/>
    <cellStyle name="40% - Accent1 2 2 3" xfId="620" xr:uid="{00000000-0005-0000-0000-0000D8030000}"/>
    <cellStyle name="40% - Accent1 2 2 3 2" xfId="2891" xr:uid="{00000000-0005-0000-0000-0000D9030000}"/>
    <cellStyle name="40% - Accent1 2 2 3 2 2" xfId="7113" xr:uid="{00000000-0005-0000-0000-0000DA030000}"/>
    <cellStyle name="40% - Accent1 2 2 3 2 2 2" xfId="25739" xr:uid="{20F70844-FCE4-4521-B373-626F5A483FBF}"/>
    <cellStyle name="40% - Accent1 2 2 3 2 2 3" xfId="34186" xr:uid="{C516DF8F-E88D-4DCB-B99D-33B550CFA9CF}"/>
    <cellStyle name="40% - Accent1 2 2 3 2 2 4" xfId="42633" xr:uid="{57D46438-D2EA-491D-B6AC-3D76C25E30B9}"/>
    <cellStyle name="40% - Accent1 2 2 3 2 2 5" xfId="16439" xr:uid="{EED43BA9-C794-4EA4-88A2-0A5D79FD52C6}"/>
    <cellStyle name="40% - Accent1 2 2 3 2 3" xfId="21522" xr:uid="{9E441D77-5296-4032-9FEC-FFCCDCBFB7C6}"/>
    <cellStyle name="40% - Accent1 2 2 3 2 4" xfId="29969" xr:uid="{902594D6-C9EB-4863-A6F8-FEB4E9D0633C}"/>
    <cellStyle name="40% - Accent1 2 2 3 2 5" xfId="38416" xr:uid="{4A03D212-3BA1-4D93-8F5B-10DC8E3D829A}"/>
    <cellStyle name="40% - Accent1 2 2 3 2 6" xfId="12222" xr:uid="{3C718DA3-8CDB-4686-893F-55B51646DAC0}"/>
    <cellStyle name="40% - Accent1 2 2 3 3" xfId="4968" xr:uid="{00000000-0005-0000-0000-0000DB030000}"/>
    <cellStyle name="40% - Accent1 2 2 3 3 2" xfId="23594" xr:uid="{AF6A30D2-524E-494C-8F3F-8B15EDA8644A}"/>
    <cellStyle name="40% - Accent1 2 2 3 3 3" xfId="32041" xr:uid="{320C6BC6-5402-4089-97DD-F102415F3DAB}"/>
    <cellStyle name="40% - Accent1 2 2 3 3 4" xfId="40488" xr:uid="{B438E4E1-55C5-4375-9985-FDDFCD360EBF}"/>
    <cellStyle name="40% - Accent1 2 2 3 3 5" xfId="14294" xr:uid="{B52FE39A-8807-4AEB-8AE2-EA7E171E5668}"/>
    <cellStyle name="40% - Accent1 2 2 3 4" xfId="9326" xr:uid="{6D693950-F4D3-4A82-8C01-49E2379281D4}"/>
    <cellStyle name="40% - Accent1 2 2 3 4 2" xfId="18642" xr:uid="{C32C7EE2-BA63-4CDD-B0E0-C008956E5638}"/>
    <cellStyle name="40% - Accent1 2 2 3 5" xfId="19377" xr:uid="{FFEEF6B6-9C75-42FB-AF89-F6AAC8B832CA}"/>
    <cellStyle name="40% - Accent1 2 2 3 6" xfId="27824" xr:uid="{77B016A0-EA6B-49BA-BC57-FE5DABB63444}"/>
    <cellStyle name="40% - Accent1 2 2 3 7" xfId="36271" xr:uid="{47203DF7-2AB4-4B0A-B719-C0747C95B5D6}"/>
    <cellStyle name="40% - Accent1 2 2 3 8" xfId="10077" xr:uid="{FACF275E-4DF5-43E0-9384-41AC8EE88C20}"/>
    <cellStyle name="40% - Accent1 2 2 4" xfId="1073" xr:uid="{00000000-0005-0000-0000-0000DC030000}"/>
    <cellStyle name="40% - Accent1 2 2 4 2" xfId="3304" xr:uid="{00000000-0005-0000-0000-0000DD030000}"/>
    <cellStyle name="40% - Accent1 2 2 4 2 2" xfId="7526" xr:uid="{00000000-0005-0000-0000-0000DE030000}"/>
    <cellStyle name="40% - Accent1 2 2 4 2 2 2" xfId="26152" xr:uid="{AAACE62C-1F3E-4B20-BCA6-DA9F2092054A}"/>
    <cellStyle name="40% - Accent1 2 2 4 2 2 3" xfId="34599" xr:uid="{4299D316-CC2E-4837-BBF2-AB9BCD730016}"/>
    <cellStyle name="40% - Accent1 2 2 4 2 2 4" xfId="43046" xr:uid="{427437D5-0502-45AE-A56C-B6A53447E835}"/>
    <cellStyle name="40% - Accent1 2 2 4 2 2 5" xfId="16852" xr:uid="{C3646F56-4E32-4D66-8A03-B14C1672DEE6}"/>
    <cellStyle name="40% - Accent1 2 2 4 2 3" xfId="21935" xr:uid="{BCCEA535-BCC3-4500-A63F-46C6677407EA}"/>
    <cellStyle name="40% - Accent1 2 2 4 2 4" xfId="30382" xr:uid="{BB238FE6-5C6D-4E1A-8EBF-291DF8B2E957}"/>
    <cellStyle name="40% - Accent1 2 2 4 2 5" xfId="38829" xr:uid="{095E7C60-3E27-4341-B53C-0A410624A4F5}"/>
    <cellStyle name="40% - Accent1 2 2 4 2 6" xfId="12635" xr:uid="{349B7407-ABAE-4472-A567-7DBF5850D4AC}"/>
    <cellStyle name="40% - Accent1 2 2 4 3" xfId="5381" xr:uid="{00000000-0005-0000-0000-0000DF030000}"/>
    <cellStyle name="40% - Accent1 2 2 4 3 2" xfId="24007" xr:uid="{F955A986-B685-4E6F-A928-C963BA9864E8}"/>
    <cellStyle name="40% - Accent1 2 2 4 3 3" xfId="32454" xr:uid="{C7095DCE-7952-4A0D-A4C1-34EC3642A1AA}"/>
    <cellStyle name="40% - Accent1 2 2 4 3 4" xfId="40901" xr:uid="{B08A5E7C-DAB6-4017-B030-11687A74C53B}"/>
    <cellStyle name="40% - Accent1 2 2 4 3 5" xfId="14707" xr:uid="{4DF11944-F4CF-4ABE-BB6E-7142D3751892}"/>
    <cellStyle name="40% - Accent1 2 2 4 4" xfId="19790" xr:uid="{8766433E-20D0-45AE-A1B0-F68568B69EA5}"/>
    <cellStyle name="40% - Accent1 2 2 4 5" xfId="28237" xr:uid="{BD965A8D-4324-432B-9D07-17DF5462AEFB}"/>
    <cellStyle name="40% - Accent1 2 2 4 6" xfId="36684" xr:uid="{2AB50354-5B2F-4341-A398-AB386F5CBF86}"/>
    <cellStyle name="40% - Accent1 2 2 4 7" xfId="10490" xr:uid="{3235D21D-2314-4E28-80B2-CC095E7D46E0}"/>
    <cellStyle name="40% - Accent1 2 2 5" xfId="1487" xr:uid="{00000000-0005-0000-0000-0000E0030000}"/>
    <cellStyle name="40% - Accent1 2 2 5 2" xfId="3717" xr:uid="{00000000-0005-0000-0000-0000E1030000}"/>
    <cellStyle name="40% - Accent1 2 2 5 2 2" xfId="7939" xr:uid="{00000000-0005-0000-0000-0000E2030000}"/>
    <cellStyle name="40% - Accent1 2 2 5 2 2 2" xfId="26565" xr:uid="{06559164-35C6-4F72-93CF-7A3EECBBAEF7}"/>
    <cellStyle name="40% - Accent1 2 2 5 2 2 3" xfId="35012" xr:uid="{622A4329-5D64-4AF3-B87B-185DF53E0E87}"/>
    <cellStyle name="40% - Accent1 2 2 5 2 2 4" xfId="43459" xr:uid="{F706847B-6A9E-4309-9903-4B9A6CFFD100}"/>
    <cellStyle name="40% - Accent1 2 2 5 2 2 5" xfId="17265" xr:uid="{102BB96F-83EB-45BE-8984-7C4F6DD6C518}"/>
    <cellStyle name="40% - Accent1 2 2 5 2 3" xfId="22348" xr:uid="{B50393B8-443F-47AD-8300-0A21CC6CE97F}"/>
    <cellStyle name="40% - Accent1 2 2 5 2 4" xfId="30795" xr:uid="{77595B08-2049-4CD5-AA87-ACDF41166207}"/>
    <cellStyle name="40% - Accent1 2 2 5 2 5" xfId="39242" xr:uid="{3A81F9D7-2ED6-45A4-A025-A1D50799D8D0}"/>
    <cellStyle name="40% - Accent1 2 2 5 2 6" xfId="13048" xr:uid="{B536A806-DE36-474F-871A-0F77BBD771C4}"/>
    <cellStyle name="40% - Accent1 2 2 5 3" xfId="5794" xr:uid="{00000000-0005-0000-0000-0000E3030000}"/>
    <cellStyle name="40% - Accent1 2 2 5 3 2" xfId="24420" xr:uid="{CEB31B92-4ABF-46D9-868C-23761ACE362D}"/>
    <cellStyle name="40% - Accent1 2 2 5 3 3" xfId="32867" xr:uid="{9606C5AA-D7A6-4782-B61A-76CD74BD1D84}"/>
    <cellStyle name="40% - Accent1 2 2 5 3 4" xfId="41314" xr:uid="{AAA4B65E-9F94-43ED-891A-7301B3C5C789}"/>
    <cellStyle name="40% - Accent1 2 2 5 3 5" xfId="15120" xr:uid="{98ADBDEF-25DF-4CF1-B95F-D9D24A261052}"/>
    <cellStyle name="40% - Accent1 2 2 5 4" xfId="20203" xr:uid="{9BF9BBDB-CC3A-4304-8568-ED484C55C5C8}"/>
    <cellStyle name="40% - Accent1 2 2 5 5" xfId="28650" xr:uid="{258273C2-EF4F-46B8-8359-73CEF80295C8}"/>
    <cellStyle name="40% - Accent1 2 2 5 6" xfId="37097" xr:uid="{9D8BD258-73B6-428A-997C-43532440CE6B}"/>
    <cellStyle name="40% - Accent1 2 2 5 7" xfId="10903" xr:uid="{5720D1EB-7FF0-446F-BBFF-29734557C879}"/>
    <cellStyle name="40% - Accent1 2 2 6" xfId="1901" xr:uid="{00000000-0005-0000-0000-0000E4030000}"/>
    <cellStyle name="40% - Accent1 2 2 6 2" xfId="4130" xr:uid="{00000000-0005-0000-0000-0000E5030000}"/>
    <cellStyle name="40% - Accent1 2 2 6 2 2" xfId="8352" xr:uid="{00000000-0005-0000-0000-0000E6030000}"/>
    <cellStyle name="40% - Accent1 2 2 6 2 2 2" xfId="26978" xr:uid="{8ABDA07A-7E10-4D3F-AACB-EF2EED936AA8}"/>
    <cellStyle name="40% - Accent1 2 2 6 2 2 3" xfId="35425" xr:uid="{763D1A28-7FEF-47D6-95AC-1EA97D3EFC26}"/>
    <cellStyle name="40% - Accent1 2 2 6 2 2 4" xfId="43872" xr:uid="{76DA23CF-8B67-48AB-9A16-4975240EDB42}"/>
    <cellStyle name="40% - Accent1 2 2 6 2 2 5" xfId="17678" xr:uid="{563A77D7-64E2-4EF5-A885-25393FB09A57}"/>
    <cellStyle name="40% - Accent1 2 2 6 2 3" xfId="22761" xr:uid="{77E2137A-1CB0-4B38-A9CD-92B58D207CCE}"/>
    <cellStyle name="40% - Accent1 2 2 6 2 4" xfId="31208" xr:uid="{90609AF5-FD01-4700-8760-90F911741312}"/>
    <cellStyle name="40% - Accent1 2 2 6 2 5" xfId="39655" xr:uid="{B5BE0F07-D146-4246-8A8D-D5727EECA506}"/>
    <cellStyle name="40% - Accent1 2 2 6 2 6" xfId="13461" xr:uid="{E174A5A9-C3BD-4162-AF6A-B587D1D1749E}"/>
    <cellStyle name="40% - Accent1 2 2 6 3" xfId="6207" xr:uid="{00000000-0005-0000-0000-0000E7030000}"/>
    <cellStyle name="40% - Accent1 2 2 6 3 2" xfId="24833" xr:uid="{422F78FC-5DDB-4145-8ADA-427A55976A88}"/>
    <cellStyle name="40% - Accent1 2 2 6 3 3" xfId="33280" xr:uid="{FFFF28D1-CDC4-455D-8AC8-732D7E909944}"/>
    <cellStyle name="40% - Accent1 2 2 6 3 4" xfId="41727" xr:uid="{4A635042-0F68-4DD5-A744-09C995E74362}"/>
    <cellStyle name="40% - Accent1 2 2 6 3 5" xfId="15533" xr:uid="{CB5B4680-F8B6-45AB-80C5-1CA850B82B43}"/>
    <cellStyle name="40% - Accent1 2 2 6 4" xfId="20616" xr:uid="{5D840BEC-3AC4-44B5-AD90-D0AFFE3754B1}"/>
    <cellStyle name="40% - Accent1 2 2 6 5" xfId="29063" xr:uid="{C3D6A088-6A95-4C8B-8303-99DB014D6382}"/>
    <cellStyle name="40% - Accent1 2 2 6 6" xfId="37510" xr:uid="{F58AEA9B-6EB2-4E6C-9F44-A326D898CA95}"/>
    <cellStyle name="40% - Accent1 2 2 6 7" xfId="11316" xr:uid="{26854AAB-E5DB-4792-B9B7-B6F1F56476CA}"/>
    <cellStyle name="40% - Accent1 2 2 7" xfId="2314" xr:uid="{00000000-0005-0000-0000-0000E8030000}"/>
    <cellStyle name="40% - Accent1 2 2 7 2" xfId="6620" xr:uid="{00000000-0005-0000-0000-0000E9030000}"/>
    <cellStyle name="40% - Accent1 2 2 7 2 2" xfId="25246" xr:uid="{AD253405-2B13-4A2D-96D6-967765293A4F}"/>
    <cellStyle name="40% - Accent1 2 2 7 2 3" xfId="33693" xr:uid="{AF5DBAD5-C6C9-4880-8831-7ED5A208A70F}"/>
    <cellStyle name="40% - Accent1 2 2 7 2 4" xfId="42140" xr:uid="{BF16FB39-D840-4044-A5D2-8A38FE2B24A4}"/>
    <cellStyle name="40% - Accent1 2 2 7 2 5" xfId="15946" xr:uid="{E43E2FFE-BC63-4CF1-BAEC-A904B31F6362}"/>
    <cellStyle name="40% - Accent1 2 2 7 3" xfId="21029" xr:uid="{2E6BC53F-3733-413B-BB00-DF719CF1012D}"/>
    <cellStyle name="40% - Accent1 2 2 7 4" xfId="29476" xr:uid="{A69D22E4-32B2-49F2-8291-49FAABD7974B}"/>
    <cellStyle name="40% - Accent1 2 2 7 5" xfId="37923" xr:uid="{6F2A237D-A6FF-477C-93E6-9BE3ED468869}"/>
    <cellStyle name="40% - Accent1 2 2 7 6" xfId="11729" xr:uid="{663A8B90-1616-40E6-BE4F-FBB6C939D5BF}"/>
    <cellStyle name="40% - Accent1 2 2 8" xfId="4554" xr:uid="{00000000-0005-0000-0000-0000EA030000}"/>
    <cellStyle name="40% - Accent1 2 2 8 2" xfId="23180" xr:uid="{8687077C-1081-4384-9A14-2F9139C8571A}"/>
    <cellStyle name="40% - Accent1 2 2 8 3" xfId="31627" xr:uid="{0DA8F584-F452-44D0-8077-501A2612AF20}"/>
    <cellStyle name="40% - Accent1 2 2 8 4" xfId="40074" xr:uid="{59CE629B-0F38-41F4-B876-8B8E10A4983A}"/>
    <cellStyle name="40% - Accent1 2 2 8 5" xfId="13880" xr:uid="{949419B6-BF9C-4FA5-BC9D-E6EAF6759218}"/>
    <cellStyle name="40% - Accent1 2 2 9" xfId="8901" xr:uid="{10130317-AF31-4351-8201-FD8BD447EA3C}"/>
    <cellStyle name="40% - Accent1 2 2 9 2" xfId="18225" xr:uid="{E3C1AD2B-6C2F-47E9-9E6C-9A6F9D242F00}"/>
    <cellStyle name="40% - Accent1 2 3" xfId="53" xr:uid="{00000000-0005-0000-0000-0000EB030000}"/>
    <cellStyle name="40% - Accent1 2 3 10" xfId="27412" xr:uid="{BB12791E-68E4-443B-80C6-5789866EC05C}"/>
    <cellStyle name="40% - Accent1 2 3 11" xfId="35859" xr:uid="{0EAD2144-EC7C-4CDA-8E8C-B0A46A52DBC7}"/>
    <cellStyle name="40% - Accent1 2 3 12" xfId="9665" xr:uid="{59729657-66E8-4ACD-9FED-72BC5D804A9B}"/>
    <cellStyle name="40% - Accent1 2 3 2" xfId="622" xr:uid="{00000000-0005-0000-0000-0000EC030000}"/>
    <cellStyle name="40% - Accent1 2 3 2 2" xfId="2893" xr:uid="{00000000-0005-0000-0000-0000ED030000}"/>
    <cellStyle name="40% - Accent1 2 3 2 2 2" xfId="7115" xr:uid="{00000000-0005-0000-0000-0000EE030000}"/>
    <cellStyle name="40% - Accent1 2 3 2 2 2 2" xfId="25741" xr:uid="{2410787B-5F11-49F0-B895-23B9853CA6DE}"/>
    <cellStyle name="40% - Accent1 2 3 2 2 2 3" xfId="34188" xr:uid="{80505DE7-A4DB-4ADB-8CD6-8F739BBCC883}"/>
    <cellStyle name="40% - Accent1 2 3 2 2 2 4" xfId="42635" xr:uid="{D805AEB6-3011-4D26-9987-856810660167}"/>
    <cellStyle name="40% - Accent1 2 3 2 2 2 5" xfId="16441" xr:uid="{8AC77A2B-CBFB-45C8-AB35-2BE5D2363FA0}"/>
    <cellStyle name="40% - Accent1 2 3 2 2 3" xfId="21524" xr:uid="{FAF2F9E5-F93C-4323-84D5-98576B64A05E}"/>
    <cellStyle name="40% - Accent1 2 3 2 2 4" xfId="29971" xr:uid="{CC364672-3910-4E7F-BAEF-2DAC7B7B27F5}"/>
    <cellStyle name="40% - Accent1 2 3 2 2 5" xfId="38418" xr:uid="{F57795F6-6E84-4E5F-99F0-F1D299327F81}"/>
    <cellStyle name="40% - Accent1 2 3 2 2 6" xfId="12224" xr:uid="{29ED3161-DF45-44DE-9F13-B14233309E62}"/>
    <cellStyle name="40% - Accent1 2 3 2 3" xfId="4970" xr:uid="{00000000-0005-0000-0000-0000EF030000}"/>
    <cellStyle name="40% - Accent1 2 3 2 3 2" xfId="23596" xr:uid="{89A2529E-BB67-4788-99DF-BF5A0DE83D4F}"/>
    <cellStyle name="40% - Accent1 2 3 2 3 3" xfId="32043" xr:uid="{991A3D4F-5841-4480-B753-826FCDD999FE}"/>
    <cellStyle name="40% - Accent1 2 3 2 3 4" xfId="40490" xr:uid="{365194D8-04B6-461C-9BFD-F80ADE84E249}"/>
    <cellStyle name="40% - Accent1 2 3 2 3 5" xfId="14296" xr:uid="{F2B0988B-9AAB-4BC4-9594-2D154FF8D183}"/>
    <cellStyle name="40% - Accent1 2 3 2 4" xfId="9430" xr:uid="{C79D1FB2-141C-4301-8F37-B3B9643C0550}"/>
    <cellStyle name="40% - Accent1 2 3 2 4 2" xfId="18746" xr:uid="{539C2750-6B86-418D-9D9E-BB07E32A2BF0}"/>
    <cellStyle name="40% - Accent1 2 3 2 5" xfId="19379" xr:uid="{12B6CBC8-F544-40F1-8868-3D073F85664E}"/>
    <cellStyle name="40% - Accent1 2 3 2 6" xfId="27826" xr:uid="{4CE5153C-4F28-4340-98A8-8FAFBAD3866D}"/>
    <cellStyle name="40% - Accent1 2 3 2 7" xfId="36273" xr:uid="{F1063076-6B07-4756-B4C8-24C1EFA4157D}"/>
    <cellStyle name="40% - Accent1 2 3 2 8" xfId="10079" xr:uid="{458AA97E-E079-411B-A4EE-93FAEB681710}"/>
    <cellStyle name="40% - Accent1 2 3 3" xfId="1075" xr:uid="{00000000-0005-0000-0000-0000F0030000}"/>
    <cellStyle name="40% - Accent1 2 3 3 2" xfId="3306" xr:uid="{00000000-0005-0000-0000-0000F1030000}"/>
    <cellStyle name="40% - Accent1 2 3 3 2 2" xfId="7528" xr:uid="{00000000-0005-0000-0000-0000F2030000}"/>
    <cellStyle name="40% - Accent1 2 3 3 2 2 2" xfId="26154" xr:uid="{5002627E-DF97-434A-949D-8FED0EE201B7}"/>
    <cellStyle name="40% - Accent1 2 3 3 2 2 3" xfId="34601" xr:uid="{01E8248E-9BAF-4408-9B9C-2C177B7F8710}"/>
    <cellStyle name="40% - Accent1 2 3 3 2 2 4" xfId="43048" xr:uid="{105AAA31-757C-44EA-8121-732F5F5256F6}"/>
    <cellStyle name="40% - Accent1 2 3 3 2 2 5" xfId="16854" xr:uid="{78B5DF79-F228-4933-8C7C-19516B767009}"/>
    <cellStyle name="40% - Accent1 2 3 3 2 3" xfId="21937" xr:uid="{1B94DEB1-5A62-4E86-B3C2-068AA772F284}"/>
    <cellStyle name="40% - Accent1 2 3 3 2 4" xfId="30384" xr:uid="{038D1A03-3981-4958-A60E-7CA27E67E48F}"/>
    <cellStyle name="40% - Accent1 2 3 3 2 5" xfId="38831" xr:uid="{4334B6BA-7FDE-48A5-98BC-F8EE8BB57E5A}"/>
    <cellStyle name="40% - Accent1 2 3 3 2 6" xfId="12637" xr:uid="{9F1D76D2-CCC1-4755-9C18-70392DB6BCEE}"/>
    <cellStyle name="40% - Accent1 2 3 3 3" xfId="5383" xr:uid="{00000000-0005-0000-0000-0000F3030000}"/>
    <cellStyle name="40% - Accent1 2 3 3 3 2" xfId="24009" xr:uid="{E24A89F4-6B2B-45BC-A46B-48C64AB2EE2E}"/>
    <cellStyle name="40% - Accent1 2 3 3 3 3" xfId="32456" xr:uid="{AD69EE78-AAED-4A93-8701-9688DA4E3624}"/>
    <cellStyle name="40% - Accent1 2 3 3 3 4" xfId="40903" xr:uid="{38E28C82-4B19-4F92-BFF7-6BA0E2A93308}"/>
    <cellStyle name="40% - Accent1 2 3 3 3 5" xfId="14709" xr:uid="{E1AA6CB6-EA5D-4C11-81F0-6A3B3E026318}"/>
    <cellStyle name="40% - Accent1 2 3 3 4" xfId="19792" xr:uid="{757E0FD4-9CDF-4361-A6E2-C701BF895B4C}"/>
    <cellStyle name="40% - Accent1 2 3 3 5" xfId="28239" xr:uid="{6D20B73C-6B05-4764-95E6-F85C7B8FB1AD}"/>
    <cellStyle name="40% - Accent1 2 3 3 6" xfId="36686" xr:uid="{1311D87D-951B-4AEC-853F-5F60DF6304ED}"/>
    <cellStyle name="40% - Accent1 2 3 3 7" xfId="10492" xr:uid="{0BF1AF4B-324E-4DE9-8994-30E562729470}"/>
    <cellStyle name="40% - Accent1 2 3 4" xfId="1489" xr:uid="{00000000-0005-0000-0000-0000F4030000}"/>
    <cellStyle name="40% - Accent1 2 3 4 2" xfId="3719" xr:uid="{00000000-0005-0000-0000-0000F5030000}"/>
    <cellStyle name="40% - Accent1 2 3 4 2 2" xfId="7941" xr:uid="{00000000-0005-0000-0000-0000F6030000}"/>
    <cellStyle name="40% - Accent1 2 3 4 2 2 2" xfId="26567" xr:uid="{05973378-CFB7-410B-AC32-94DA642C8597}"/>
    <cellStyle name="40% - Accent1 2 3 4 2 2 3" xfId="35014" xr:uid="{621CFB5B-6EA6-448F-BE56-C3EED83ED4A4}"/>
    <cellStyle name="40% - Accent1 2 3 4 2 2 4" xfId="43461" xr:uid="{8D38F905-48FC-4314-A3A4-EF089729AD1E}"/>
    <cellStyle name="40% - Accent1 2 3 4 2 2 5" xfId="17267" xr:uid="{CDB0FC1B-FC2B-405F-802D-EFF6ED242C6F}"/>
    <cellStyle name="40% - Accent1 2 3 4 2 3" xfId="22350" xr:uid="{A7332DCC-FEBC-45AC-BCF6-78CA91C2F8D5}"/>
    <cellStyle name="40% - Accent1 2 3 4 2 4" xfId="30797" xr:uid="{F13EEB39-19F7-45A7-80F0-EE6ED598CE5B}"/>
    <cellStyle name="40% - Accent1 2 3 4 2 5" xfId="39244" xr:uid="{C3C23BAA-CB6E-4434-8057-FBAF3CAA1EB8}"/>
    <cellStyle name="40% - Accent1 2 3 4 2 6" xfId="13050" xr:uid="{C5758D1D-9488-4AD4-B9FB-E8CBFE3A4957}"/>
    <cellStyle name="40% - Accent1 2 3 4 3" xfId="5796" xr:uid="{00000000-0005-0000-0000-0000F7030000}"/>
    <cellStyle name="40% - Accent1 2 3 4 3 2" xfId="24422" xr:uid="{2A13ADFA-3F24-4413-850A-A164FFD60C69}"/>
    <cellStyle name="40% - Accent1 2 3 4 3 3" xfId="32869" xr:uid="{827FFD56-0F06-46AD-8240-B3F65281D285}"/>
    <cellStyle name="40% - Accent1 2 3 4 3 4" xfId="41316" xr:uid="{F1C8A5B3-9244-4B07-A65A-B46F5CE87573}"/>
    <cellStyle name="40% - Accent1 2 3 4 3 5" xfId="15122" xr:uid="{74013ADF-954D-4380-9EE1-6E90776A2503}"/>
    <cellStyle name="40% - Accent1 2 3 4 4" xfId="20205" xr:uid="{C3D88C6F-5676-4007-9180-F6E5EFD77CA8}"/>
    <cellStyle name="40% - Accent1 2 3 4 5" xfId="28652" xr:uid="{59A406AD-4BC3-41D1-B1F4-75BA62181734}"/>
    <cellStyle name="40% - Accent1 2 3 4 6" xfId="37099" xr:uid="{DC589632-B790-4E4E-89D4-A43BCB906FB8}"/>
    <cellStyle name="40% - Accent1 2 3 4 7" xfId="10905" xr:uid="{E636425A-E03E-4AF3-BC54-E75078BC0EB4}"/>
    <cellStyle name="40% - Accent1 2 3 5" xfId="1903" xr:uid="{00000000-0005-0000-0000-0000F8030000}"/>
    <cellStyle name="40% - Accent1 2 3 5 2" xfId="4132" xr:uid="{00000000-0005-0000-0000-0000F9030000}"/>
    <cellStyle name="40% - Accent1 2 3 5 2 2" xfId="8354" xr:uid="{00000000-0005-0000-0000-0000FA030000}"/>
    <cellStyle name="40% - Accent1 2 3 5 2 2 2" xfId="26980" xr:uid="{99ADE3FC-BA80-4DBA-9E25-BBCC6ED618BC}"/>
    <cellStyle name="40% - Accent1 2 3 5 2 2 3" xfId="35427" xr:uid="{0B63EC89-95D3-45DC-B7FB-241E2FECB5DB}"/>
    <cellStyle name="40% - Accent1 2 3 5 2 2 4" xfId="43874" xr:uid="{3CF2F8BD-D3C6-4260-B7F2-2C260EB6168B}"/>
    <cellStyle name="40% - Accent1 2 3 5 2 2 5" xfId="17680" xr:uid="{01A018D5-4AB4-4CD7-AABA-25B8DB402616}"/>
    <cellStyle name="40% - Accent1 2 3 5 2 3" xfId="22763" xr:uid="{75D3A3DB-16B9-49F4-A72D-F1C97023156F}"/>
    <cellStyle name="40% - Accent1 2 3 5 2 4" xfId="31210" xr:uid="{6344B95B-473F-48DA-83E1-D5C9A86D2CDB}"/>
    <cellStyle name="40% - Accent1 2 3 5 2 5" xfId="39657" xr:uid="{B98A2C40-BF72-4384-B3F8-6B830F17E97B}"/>
    <cellStyle name="40% - Accent1 2 3 5 2 6" xfId="13463" xr:uid="{01D48121-D7EF-495F-996F-21D6BD74EA3F}"/>
    <cellStyle name="40% - Accent1 2 3 5 3" xfId="6209" xr:uid="{00000000-0005-0000-0000-0000FB030000}"/>
    <cellStyle name="40% - Accent1 2 3 5 3 2" xfId="24835" xr:uid="{61127E31-A553-45B8-ACB3-3C47A8DCAE8E}"/>
    <cellStyle name="40% - Accent1 2 3 5 3 3" xfId="33282" xr:uid="{638E2DD0-01AD-4AF4-9F56-0D12369C71D7}"/>
    <cellStyle name="40% - Accent1 2 3 5 3 4" xfId="41729" xr:uid="{78E5ED6D-487B-4402-A713-68294C6874A9}"/>
    <cellStyle name="40% - Accent1 2 3 5 3 5" xfId="15535" xr:uid="{4CCF12D4-D692-44E8-8FB6-C32E34B09019}"/>
    <cellStyle name="40% - Accent1 2 3 5 4" xfId="20618" xr:uid="{180312C2-C928-4BC2-9FAB-B89959DF8555}"/>
    <cellStyle name="40% - Accent1 2 3 5 5" xfId="29065" xr:uid="{05F9F7A9-C3DE-426E-B837-5DE5F531BFB1}"/>
    <cellStyle name="40% - Accent1 2 3 5 6" xfId="37512" xr:uid="{59D8B462-21C7-4AFC-8CC3-EA90F7F4445C}"/>
    <cellStyle name="40% - Accent1 2 3 5 7" xfId="11318" xr:uid="{43A9C07C-4060-4033-8C9D-8803F4B48F91}"/>
    <cellStyle name="40% - Accent1 2 3 6" xfId="2316" xr:uid="{00000000-0005-0000-0000-0000FC030000}"/>
    <cellStyle name="40% - Accent1 2 3 6 2" xfId="6622" xr:uid="{00000000-0005-0000-0000-0000FD030000}"/>
    <cellStyle name="40% - Accent1 2 3 6 2 2" xfId="25248" xr:uid="{B235C1EA-49A4-48DD-8794-3E2A55C10C66}"/>
    <cellStyle name="40% - Accent1 2 3 6 2 3" xfId="33695" xr:uid="{5F4E2726-3084-4EAC-9FAF-0DD2F77D4679}"/>
    <cellStyle name="40% - Accent1 2 3 6 2 4" xfId="42142" xr:uid="{03F22E09-6B67-40AC-80E8-61BE9EFB7FDE}"/>
    <cellStyle name="40% - Accent1 2 3 6 2 5" xfId="15948" xr:uid="{8E3D0A3A-9492-4363-85B6-C84058494B79}"/>
    <cellStyle name="40% - Accent1 2 3 6 3" xfId="21031" xr:uid="{0928B7AE-7331-4449-94B0-2CD8B63303CF}"/>
    <cellStyle name="40% - Accent1 2 3 6 4" xfId="29478" xr:uid="{DD4E300B-63C8-445C-8FC8-630183D1C9A6}"/>
    <cellStyle name="40% - Accent1 2 3 6 5" xfId="37925" xr:uid="{65E70C74-1467-4BF5-9DE9-9836B859C4F4}"/>
    <cellStyle name="40% - Accent1 2 3 6 6" xfId="11731" xr:uid="{B451D4BC-D074-44A1-A27E-CD1173B40AA8}"/>
    <cellStyle name="40% - Accent1 2 3 7" xfId="4556" xr:uid="{00000000-0005-0000-0000-0000FE030000}"/>
    <cellStyle name="40% - Accent1 2 3 7 2" xfId="23182" xr:uid="{EF1E11E2-8C69-4714-A0E7-E765A9977E5D}"/>
    <cellStyle name="40% - Accent1 2 3 7 3" xfId="31629" xr:uid="{87A8BD55-DDC8-4455-B60A-8E1FF9FA57B7}"/>
    <cellStyle name="40% - Accent1 2 3 7 4" xfId="40076" xr:uid="{7EBAE2A2-61DC-4A84-8C09-06EBA87D63AA}"/>
    <cellStyle name="40% - Accent1 2 3 7 5" xfId="13882" xr:uid="{A966FBC5-D892-4146-8A27-3E6E623C1B98}"/>
    <cellStyle name="40% - Accent1 2 3 8" xfId="9005" xr:uid="{83AF69B9-664F-4E19-B721-7989C2FEBC0C}"/>
    <cellStyle name="40% - Accent1 2 3 8 2" xfId="18329" xr:uid="{E4214B8F-01DC-4054-A1F6-1CD71B8A69A7}"/>
    <cellStyle name="40% - Accent1 2 3 9" xfId="18965" xr:uid="{87C1A5CD-6469-4BF5-8C76-A04EE0C9D553}"/>
    <cellStyle name="40% - Accent1 2 4" xfId="619" xr:uid="{00000000-0005-0000-0000-0000FF030000}"/>
    <cellStyle name="40% - Accent1 2 4 2" xfId="2890" xr:uid="{00000000-0005-0000-0000-000000040000}"/>
    <cellStyle name="40% - Accent1 2 4 2 2" xfId="7112" xr:uid="{00000000-0005-0000-0000-000001040000}"/>
    <cellStyle name="40% - Accent1 2 4 2 2 2" xfId="25738" xr:uid="{188F55B7-E5E8-4698-AFD0-F8EC63B2EE0F}"/>
    <cellStyle name="40% - Accent1 2 4 2 2 3" xfId="34185" xr:uid="{958544CE-90FC-4671-8CA4-916609662ACE}"/>
    <cellStyle name="40% - Accent1 2 4 2 2 4" xfId="42632" xr:uid="{06180121-3D55-4A38-B468-71DBCB154E72}"/>
    <cellStyle name="40% - Accent1 2 4 2 2 5" xfId="16438" xr:uid="{CF0F5D67-6A83-45BC-AD62-54DC3EE37FBC}"/>
    <cellStyle name="40% - Accent1 2 4 2 3" xfId="21521" xr:uid="{65620778-1580-46FC-807B-DB79DE94A7E9}"/>
    <cellStyle name="40% - Accent1 2 4 2 4" xfId="29968" xr:uid="{F24B5C72-8BE7-4B3C-A092-389B33DFE867}"/>
    <cellStyle name="40% - Accent1 2 4 2 5" xfId="38415" xr:uid="{A6C50555-EAEC-453F-BDA6-A3D328939BDE}"/>
    <cellStyle name="40% - Accent1 2 4 2 6" xfId="12221" xr:uid="{082AE6A5-CE2D-49F5-BBEA-A7F6D5312C6C}"/>
    <cellStyle name="40% - Accent1 2 4 3" xfId="4967" xr:uid="{00000000-0005-0000-0000-000002040000}"/>
    <cellStyle name="40% - Accent1 2 4 3 2" xfId="23593" xr:uid="{12E607E3-D622-4A21-B177-5AF113295B0F}"/>
    <cellStyle name="40% - Accent1 2 4 3 3" xfId="32040" xr:uid="{6E72D12C-7ECB-4608-9CC7-0F02FA50E20C}"/>
    <cellStyle name="40% - Accent1 2 4 3 4" xfId="40487" xr:uid="{B640C7BE-C17B-4339-90FB-3C77619FDC3D}"/>
    <cellStyle name="40% - Accent1 2 4 3 5" xfId="14293" xr:uid="{AA7DCA2C-EFB2-4286-9994-B902122B6B2E}"/>
    <cellStyle name="40% - Accent1 2 4 4" xfId="9222" xr:uid="{A6B83122-AC98-4E58-AA4D-EC5ECC38FC6B}"/>
    <cellStyle name="40% - Accent1 2 4 4 2" xfId="18539" xr:uid="{B74F0F3D-0749-4336-9381-413DCF330D8A}"/>
    <cellStyle name="40% - Accent1 2 4 5" xfId="19376" xr:uid="{4824E3E0-E380-40D0-B7B2-6368207F707A}"/>
    <cellStyle name="40% - Accent1 2 4 6" xfId="27823" xr:uid="{20F74B7C-6E0C-4E2E-80A7-6A58B20C87EE}"/>
    <cellStyle name="40% - Accent1 2 4 7" xfId="36270" xr:uid="{0220AE00-B63B-4ACE-998F-5944E6327A66}"/>
    <cellStyle name="40% - Accent1 2 4 8" xfId="10076" xr:uid="{1091BB09-792A-456D-8206-0E89A2440BF6}"/>
    <cellStyle name="40% - Accent1 2 5" xfId="1072" xr:uid="{00000000-0005-0000-0000-000003040000}"/>
    <cellStyle name="40% - Accent1 2 5 2" xfId="3303" xr:uid="{00000000-0005-0000-0000-000004040000}"/>
    <cellStyle name="40% - Accent1 2 5 2 2" xfId="7525" xr:uid="{00000000-0005-0000-0000-000005040000}"/>
    <cellStyle name="40% - Accent1 2 5 2 2 2" xfId="26151" xr:uid="{D34F694E-E6EB-4FD3-8353-6A6336E5410F}"/>
    <cellStyle name="40% - Accent1 2 5 2 2 3" xfId="34598" xr:uid="{6E75662A-2169-4C65-B447-F33CFD5D3632}"/>
    <cellStyle name="40% - Accent1 2 5 2 2 4" xfId="43045" xr:uid="{C37A0836-FC49-48C8-BC66-F2E0B32AC210}"/>
    <cellStyle name="40% - Accent1 2 5 2 2 5" xfId="16851" xr:uid="{A9EF899E-960F-494F-A307-802707F8055D}"/>
    <cellStyle name="40% - Accent1 2 5 2 3" xfId="21934" xr:uid="{28DAD62D-8606-48F4-94B9-D59F0E1F168C}"/>
    <cellStyle name="40% - Accent1 2 5 2 4" xfId="30381" xr:uid="{A4480E19-114A-488B-9374-51B9D71499F3}"/>
    <cellStyle name="40% - Accent1 2 5 2 5" xfId="38828" xr:uid="{8925B381-3986-4C0B-A320-0FA86C728C9C}"/>
    <cellStyle name="40% - Accent1 2 5 2 6" xfId="12634" xr:uid="{8B161E7E-009C-40DD-9F2F-E8F21B331E00}"/>
    <cellStyle name="40% - Accent1 2 5 3" xfId="5380" xr:uid="{00000000-0005-0000-0000-000006040000}"/>
    <cellStyle name="40% - Accent1 2 5 3 2" xfId="24006" xr:uid="{28AC44BE-6FA6-429B-B119-0769FC79A842}"/>
    <cellStyle name="40% - Accent1 2 5 3 3" xfId="32453" xr:uid="{AF0496C4-8FAB-419E-8614-C57E06AAA8A8}"/>
    <cellStyle name="40% - Accent1 2 5 3 4" xfId="40900" xr:uid="{C4D92611-8E35-4D81-AC54-A3E5E2A22F53}"/>
    <cellStyle name="40% - Accent1 2 5 3 5" xfId="14706" xr:uid="{A604E8CA-C398-4F32-9E72-40178481E08F}"/>
    <cellStyle name="40% - Accent1 2 5 4" xfId="19789" xr:uid="{11D02E73-3BD2-4C39-B7F0-1533D41FB432}"/>
    <cellStyle name="40% - Accent1 2 5 5" xfId="28236" xr:uid="{D8BD8D6A-6B3E-4399-BC44-1FC26601F43C}"/>
    <cellStyle name="40% - Accent1 2 5 6" xfId="36683" xr:uid="{481E9D6F-ECA1-4AFB-94E3-D937B6F511A0}"/>
    <cellStyle name="40% - Accent1 2 5 7" xfId="10489" xr:uid="{F1CADDCF-225A-4BDB-B50C-9E456890D741}"/>
    <cellStyle name="40% - Accent1 2 6" xfId="1486" xr:uid="{00000000-0005-0000-0000-000007040000}"/>
    <cellStyle name="40% - Accent1 2 6 2" xfId="3716" xr:uid="{00000000-0005-0000-0000-000008040000}"/>
    <cellStyle name="40% - Accent1 2 6 2 2" xfId="7938" xr:uid="{00000000-0005-0000-0000-000009040000}"/>
    <cellStyle name="40% - Accent1 2 6 2 2 2" xfId="26564" xr:uid="{BE931595-D0C3-47C5-99A8-7017CDC995A3}"/>
    <cellStyle name="40% - Accent1 2 6 2 2 3" xfId="35011" xr:uid="{CFC57DD7-CB1B-4DDC-9423-653666BF604D}"/>
    <cellStyle name="40% - Accent1 2 6 2 2 4" xfId="43458" xr:uid="{E7772B8F-D95B-46DB-B0C2-8B572BD6E62B}"/>
    <cellStyle name="40% - Accent1 2 6 2 2 5" xfId="17264" xr:uid="{966F4F22-5C91-4EAD-9AF1-E2AEB1F5B665}"/>
    <cellStyle name="40% - Accent1 2 6 2 3" xfId="22347" xr:uid="{93E10DC2-AA87-42E2-B747-8B65C3CC2389}"/>
    <cellStyle name="40% - Accent1 2 6 2 4" xfId="30794" xr:uid="{EEAFD647-3376-40BF-B5DE-5B64701E3519}"/>
    <cellStyle name="40% - Accent1 2 6 2 5" xfId="39241" xr:uid="{51CFE6AC-8F7D-448C-BDBE-5F82FC39922D}"/>
    <cellStyle name="40% - Accent1 2 6 2 6" xfId="13047" xr:uid="{3772F0E2-E4B0-4263-BEA0-B54C2F048FFB}"/>
    <cellStyle name="40% - Accent1 2 6 3" xfId="5793" xr:uid="{00000000-0005-0000-0000-00000A040000}"/>
    <cellStyle name="40% - Accent1 2 6 3 2" xfId="24419" xr:uid="{1AC0C072-C382-47E9-8C55-5867574BEBED}"/>
    <cellStyle name="40% - Accent1 2 6 3 3" xfId="32866" xr:uid="{1B179461-6AD3-480D-B148-C86BF5AF6214}"/>
    <cellStyle name="40% - Accent1 2 6 3 4" xfId="41313" xr:uid="{45A5DC9A-5548-494F-A85B-70909EA484CF}"/>
    <cellStyle name="40% - Accent1 2 6 3 5" xfId="15119" xr:uid="{D898C79A-F83E-422F-9ED7-750204FC90A8}"/>
    <cellStyle name="40% - Accent1 2 6 4" xfId="20202" xr:uid="{545330CF-DAD7-4F65-9F63-166BB8B660B9}"/>
    <cellStyle name="40% - Accent1 2 6 5" xfId="28649" xr:uid="{CBCD9A3A-AF49-40DA-84BF-F6CB4E0E8631}"/>
    <cellStyle name="40% - Accent1 2 6 6" xfId="37096" xr:uid="{1E8E7BA3-6252-4FDF-ACF6-FBC868257F10}"/>
    <cellStyle name="40% - Accent1 2 6 7" xfId="10902" xr:uid="{5FC20411-4027-4890-A412-C01C0E7A98BF}"/>
    <cellStyle name="40% - Accent1 2 7" xfId="1900" xr:uid="{00000000-0005-0000-0000-00000B040000}"/>
    <cellStyle name="40% - Accent1 2 7 2" xfId="4129" xr:uid="{00000000-0005-0000-0000-00000C040000}"/>
    <cellStyle name="40% - Accent1 2 7 2 2" xfId="8351" xr:uid="{00000000-0005-0000-0000-00000D040000}"/>
    <cellStyle name="40% - Accent1 2 7 2 2 2" xfId="26977" xr:uid="{07D26A13-9734-4936-BE39-BA103FAF664B}"/>
    <cellStyle name="40% - Accent1 2 7 2 2 3" xfId="35424" xr:uid="{508CCFFE-8AF5-4EFC-8E4E-8C74652BA2B4}"/>
    <cellStyle name="40% - Accent1 2 7 2 2 4" xfId="43871" xr:uid="{40282153-E2A6-40CF-BF62-3D993546775C}"/>
    <cellStyle name="40% - Accent1 2 7 2 2 5" xfId="17677" xr:uid="{D88F2695-9464-499E-9411-219D6D63A0DD}"/>
    <cellStyle name="40% - Accent1 2 7 2 3" xfId="22760" xr:uid="{0C13E5B2-3B45-463E-84BB-4FA1AAF92595}"/>
    <cellStyle name="40% - Accent1 2 7 2 4" xfId="31207" xr:uid="{B4A6612A-757F-4C08-8CB6-E60DCF3D46F8}"/>
    <cellStyle name="40% - Accent1 2 7 2 5" xfId="39654" xr:uid="{BFCE67B1-3959-43F8-B887-F2F330FE7336}"/>
    <cellStyle name="40% - Accent1 2 7 2 6" xfId="13460" xr:uid="{F645F6C0-A954-4E03-BB84-89DE4EEAF5EB}"/>
    <cellStyle name="40% - Accent1 2 7 3" xfId="6206" xr:uid="{00000000-0005-0000-0000-00000E040000}"/>
    <cellStyle name="40% - Accent1 2 7 3 2" xfId="24832" xr:uid="{B6ECCC8F-2D33-437D-9D21-A0BCD0690B5C}"/>
    <cellStyle name="40% - Accent1 2 7 3 3" xfId="33279" xr:uid="{85D82837-660C-4668-94D5-C359909C23D2}"/>
    <cellStyle name="40% - Accent1 2 7 3 4" xfId="41726" xr:uid="{0C2A27D6-CD3A-4E3A-9AF8-D7DFCC3CB193}"/>
    <cellStyle name="40% - Accent1 2 7 3 5" xfId="15532" xr:uid="{C15CFFE0-699A-4B1C-91B9-9B34AFDE933B}"/>
    <cellStyle name="40% - Accent1 2 7 4" xfId="20615" xr:uid="{9C5909DF-0735-4927-90CD-9C39258B5B2D}"/>
    <cellStyle name="40% - Accent1 2 7 5" xfId="29062" xr:uid="{49A751DD-C9AC-4D74-AB92-938FF5AB89F3}"/>
    <cellStyle name="40% - Accent1 2 7 6" xfId="37509" xr:uid="{9C7881C1-C974-41CC-9331-DD166A7512A6}"/>
    <cellStyle name="40% - Accent1 2 7 7" xfId="11315" xr:uid="{577E0CC5-9C8D-4134-B00C-9A6883E8BF2B}"/>
    <cellStyle name="40% - Accent1 2 8" xfId="2313" xr:uid="{00000000-0005-0000-0000-00000F040000}"/>
    <cellStyle name="40% - Accent1 2 8 2" xfId="6619" xr:uid="{00000000-0005-0000-0000-000010040000}"/>
    <cellStyle name="40% - Accent1 2 8 2 2" xfId="25245" xr:uid="{1A21F426-8353-415B-A44D-B5CD1BBBD686}"/>
    <cellStyle name="40% - Accent1 2 8 2 3" xfId="33692" xr:uid="{44CCA5C3-449C-44BE-82BB-52E7060F28D7}"/>
    <cellStyle name="40% - Accent1 2 8 2 4" xfId="42139" xr:uid="{EE3CDC3B-F5AE-443D-A65D-CDA9627AE0AC}"/>
    <cellStyle name="40% - Accent1 2 8 2 5" xfId="15945" xr:uid="{A0F63B70-7447-49F7-957A-06FF5F2467C0}"/>
    <cellStyle name="40% - Accent1 2 8 3" xfId="21028" xr:uid="{8A744494-18CE-4DED-841B-86660BC3C944}"/>
    <cellStyle name="40% - Accent1 2 8 4" xfId="29475" xr:uid="{F7B4DFF0-F2E6-4FC2-AA23-1997148A5EE2}"/>
    <cellStyle name="40% - Accent1 2 8 5" xfId="37922" xr:uid="{44E29B52-E883-4C59-AFEC-170077AA535E}"/>
    <cellStyle name="40% - Accent1 2 8 6" xfId="11728" xr:uid="{B971079C-85FF-42BC-9CD4-B9F739F5CE06}"/>
    <cellStyle name="40% - Accent1 2 9" xfId="4553" xr:uid="{00000000-0005-0000-0000-000011040000}"/>
    <cellStyle name="40% - Accent1 2 9 2" xfId="23179" xr:uid="{6CCB1742-5A35-4731-B2AA-83D40D98A6D7}"/>
    <cellStyle name="40% - Accent1 2 9 3" xfId="31626" xr:uid="{B9A91E09-2AE5-4AEA-BE4D-6B327A449D4C}"/>
    <cellStyle name="40% - Accent1 2 9 4" xfId="40073" xr:uid="{0A8891AB-6D3F-4EC2-8C3A-8E272895DA2D}"/>
    <cellStyle name="40% - Accent1 2 9 5" xfId="13879" xr:uid="{E90482C9-5A6C-4B1D-8D46-2623BDCC4ACE}"/>
    <cellStyle name="40% - Accent1 3" xfId="54" xr:uid="{00000000-0005-0000-0000-000012040000}"/>
    <cellStyle name="40% - Accent1 3 10" xfId="18966" xr:uid="{BEED7FB9-E883-4687-9187-5AFBCE176960}"/>
    <cellStyle name="40% - Accent1 3 11" xfId="27413" xr:uid="{8464149C-A711-420C-AB4E-EC1560BFECDB}"/>
    <cellStyle name="40% - Accent1 3 12" xfId="35860" xr:uid="{3A69A282-3099-434D-85F7-276B3E874937}"/>
    <cellStyle name="40% - Accent1 3 13" xfId="9666" xr:uid="{142A4B5C-F9AB-4C02-BC05-EB7B18C5D44B}"/>
    <cellStyle name="40% - Accent1 3 2" xfId="55" xr:uid="{00000000-0005-0000-0000-000013040000}"/>
    <cellStyle name="40% - Accent1 3 2 10" xfId="27414" xr:uid="{7C6057BA-9398-4357-9B35-AA74385D47AA}"/>
    <cellStyle name="40% - Accent1 3 2 11" xfId="35861" xr:uid="{C9C72E5A-126F-45B4-ACD6-4819E2B3A82F}"/>
    <cellStyle name="40% - Accent1 3 2 12" xfId="9667" xr:uid="{B5F5D851-B293-4799-9AD4-B63BF860162C}"/>
    <cellStyle name="40% - Accent1 3 2 2" xfId="624" xr:uid="{00000000-0005-0000-0000-000014040000}"/>
    <cellStyle name="40% - Accent1 3 2 2 2" xfId="2895" xr:uid="{00000000-0005-0000-0000-000015040000}"/>
    <cellStyle name="40% - Accent1 3 2 2 2 2" xfId="7117" xr:uid="{00000000-0005-0000-0000-000016040000}"/>
    <cellStyle name="40% - Accent1 3 2 2 2 2 2" xfId="25743" xr:uid="{79AA49EE-7002-467F-B7C8-7D61BBC27CFC}"/>
    <cellStyle name="40% - Accent1 3 2 2 2 2 3" xfId="34190" xr:uid="{74318410-4ED7-413B-8438-A3F3CACC7ABD}"/>
    <cellStyle name="40% - Accent1 3 2 2 2 2 4" xfId="42637" xr:uid="{938DB990-7430-4CCA-A189-865C10ED19E5}"/>
    <cellStyle name="40% - Accent1 3 2 2 2 2 5" xfId="16443" xr:uid="{6CCAA83A-9253-4EA6-ABD5-7B2748054E2B}"/>
    <cellStyle name="40% - Accent1 3 2 2 2 3" xfId="21526" xr:uid="{24ECF9C4-9AF1-48C7-9E31-38BA417CF354}"/>
    <cellStyle name="40% - Accent1 3 2 2 2 4" xfId="29973" xr:uid="{0EAEA312-2682-40CB-B8E1-618CA57FB664}"/>
    <cellStyle name="40% - Accent1 3 2 2 2 5" xfId="38420" xr:uid="{9C30D56C-F6BD-4B55-A47D-0126A04A1F13}"/>
    <cellStyle name="40% - Accent1 3 2 2 2 6" xfId="12226" xr:uid="{5C671C9D-BFE5-4487-8F8C-00280653F675}"/>
    <cellStyle name="40% - Accent1 3 2 2 3" xfId="4972" xr:uid="{00000000-0005-0000-0000-000017040000}"/>
    <cellStyle name="40% - Accent1 3 2 2 3 2" xfId="23598" xr:uid="{0C3182C4-716B-4475-9838-DA528477DFBD}"/>
    <cellStyle name="40% - Accent1 3 2 2 3 3" xfId="32045" xr:uid="{F060A508-E0FD-45BA-8D26-298E619BC1E6}"/>
    <cellStyle name="40% - Accent1 3 2 2 3 4" xfId="40492" xr:uid="{9947BCAD-5A1B-4B32-9A69-E4179913815A}"/>
    <cellStyle name="40% - Accent1 3 2 2 3 5" xfId="14298" xr:uid="{BB2BE380-14A8-457C-B8E1-9ADC12D73340}"/>
    <cellStyle name="40% - Accent1 3 2 2 4" xfId="9494" xr:uid="{49092FA9-F337-44E8-98C8-15711B1C1558}"/>
    <cellStyle name="40% - Accent1 3 2 2 4 2" xfId="18810" xr:uid="{BFC3533D-4D0F-484B-BD50-29FEA6A3B4AA}"/>
    <cellStyle name="40% - Accent1 3 2 2 5" xfId="19381" xr:uid="{552D92C4-509B-4492-AC9E-08A5B8EEE9B5}"/>
    <cellStyle name="40% - Accent1 3 2 2 6" xfId="27828" xr:uid="{E9A25DCA-25FD-43CA-829A-4428EA9F68C6}"/>
    <cellStyle name="40% - Accent1 3 2 2 7" xfId="36275" xr:uid="{4569A303-DE14-4ED9-9537-657EC39C6F80}"/>
    <cellStyle name="40% - Accent1 3 2 2 8" xfId="10081" xr:uid="{2AF11365-9F7D-44E4-A7D7-C1FE781AB359}"/>
    <cellStyle name="40% - Accent1 3 2 3" xfId="1077" xr:uid="{00000000-0005-0000-0000-000018040000}"/>
    <cellStyle name="40% - Accent1 3 2 3 2" xfId="3308" xr:uid="{00000000-0005-0000-0000-000019040000}"/>
    <cellStyle name="40% - Accent1 3 2 3 2 2" xfId="7530" xr:uid="{00000000-0005-0000-0000-00001A040000}"/>
    <cellStyle name="40% - Accent1 3 2 3 2 2 2" xfId="26156" xr:uid="{2CFA50CD-C5FC-4B36-AB81-556AB343E72E}"/>
    <cellStyle name="40% - Accent1 3 2 3 2 2 3" xfId="34603" xr:uid="{86F740C2-7274-4015-A017-4BEBD56DDA43}"/>
    <cellStyle name="40% - Accent1 3 2 3 2 2 4" xfId="43050" xr:uid="{3D787064-AB4E-4C87-853E-F8E872B8F547}"/>
    <cellStyle name="40% - Accent1 3 2 3 2 2 5" xfId="16856" xr:uid="{E52D6134-A291-40C6-8A26-EE3F2E987C7E}"/>
    <cellStyle name="40% - Accent1 3 2 3 2 3" xfId="21939" xr:uid="{B64DF35A-D00F-4ADD-8F6C-085C41F938A4}"/>
    <cellStyle name="40% - Accent1 3 2 3 2 4" xfId="30386" xr:uid="{F9DF4B3E-1964-4E6D-85EA-1DC98DAD8B77}"/>
    <cellStyle name="40% - Accent1 3 2 3 2 5" xfId="38833" xr:uid="{DA733090-6564-44D6-834E-12429A2D45C7}"/>
    <cellStyle name="40% - Accent1 3 2 3 2 6" xfId="12639" xr:uid="{92D9DE44-B86F-46F3-8945-9084026AF65F}"/>
    <cellStyle name="40% - Accent1 3 2 3 3" xfId="5385" xr:uid="{00000000-0005-0000-0000-00001B040000}"/>
    <cellStyle name="40% - Accent1 3 2 3 3 2" xfId="24011" xr:uid="{47FD679A-55CF-4F28-99F0-49A83F72453F}"/>
    <cellStyle name="40% - Accent1 3 2 3 3 3" xfId="32458" xr:uid="{DA8557D3-D9B2-4EF1-BC59-3E6875E130C1}"/>
    <cellStyle name="40% - Accent1 3 2 3 3 4" xfId="40905" xr:uid="{0EDD9ACC-0BA0-468E-B3D1-50AC3E851031}"/>
    <cellStyle name="40% - Accent1 3 2 3 3 5" xfId="14711" xr:uid="{4D302FCE-9608-49E4-B623-53CB6E41FA57}"/>
    <cellStyle name="40% - Accent1 3 2 3 4" xfId="19794" xr:uid="{C0AB4E17-B8B0-4F06-AA70-765A510AC0D5}"/>
    <cellStyle name="40% - Accent1 3 2 3 5" xfId="28241" xr:uid="{054FBF2C-426A-4C2D-8FBB-2CAAEE3251A8}"/>
    <cellStyle name="40% - Accent1 3 2 3 6" xfId="36688" xr:uid="{B44DB3CF-89A7-43CD-B5CD-A049ECE3D77B}"/>
    <cellStyle name="40% - Accent1 3 2 3 7" xfId="10494" xr:uid="{BB4D4DA8-2FD5-427C-9EE9-C8AC44215190}"/>
    <cellStyle name="40% - Accent1 3 2 4" xfId="1491" xr:uid="{00000000-0005-0000-0000-00001C040000}"/>
    <cellStyle name="40% - Accent1 3 2 4 2" xfId="3721" xr:uid="{00000000-0005-0000-0000-00001D040000}"/>
    <cellStyle name="40% - Accent1 3 2 4 2 2" xfId="7943" xr:uid="{00000000-0005-0000-0000-00001E040000}"/>
    <cellStyle name="40% - Accent1 3 2 4 2 2 2" xfId="26569" xr:uid="{9689E314-C167-43D4-A5F6-22534AFF7BDE}"/>
    <cellStyle name="40% - Accent1 3 2 4 2 2 3" xfId="35016" xr:uid="{76EE50CC-4BB3-4C9B-BCA8-2C1D51C2093A}"/>
    <cellStyle name="40% - Accent1 3 2 4 2 2 4" xfId="43463" xr:uid="{7DBD17EE-700C-4077-A418-EE27B8BBFC10}"/>
    <cellStyle name="40% - Accent1 3 2 4 2 2 5" xfId="17269" xr:uid="{48404E15-FE60-45D4-B84C-23257F0C528A}"/>
    <cellStyle name="40% - Accent1 3 2 4 2 3" xfId="22352" xr:uid="{224C4017-07A1-4E22-87A2-C90D1516A1A3}"/>
    <cellStyle name="40% - Accent1 3 2 4 2 4" xfId="30799" xr:uid="{ED6CF5B3-59CB-4F8C-904F-0650058315A3}"/>
    <cellStyle name="40% - Accent1 3 2 4 2 5" xfId="39246" xr:uid="{DE4CF77F-29AC-4D85-A131-820C79480490}"/>
    <cellStyle name="40% - Accent1 3 2 4 2 6" xfId="13052" xr:uid="{C838A4A4-A66D-4610-B842-9587D7FC781E}"/>
    <cellStyle name="40% - Accent1 3 2 4 3" xfId="5798" xr:uid="{00000000-0005-0000-0000-00001F040000}"/>
    <cellStyle name="40% - Accent1 3 2 4 3 2" xfId="24424" xr:uid="{E99A1CA0-D8DC-4215-AC66-FA7D47A9C61D}"/>
    <cellStyle name="40% - Accent1 3 2 4 3 3" xfId="32871" xr:uid="{D5EAB700-69D7-410B-AD04-E69645B77574}"/>
    <cellStyle name="40% - Accent1 3 2 4 3 4" xfId="41318" xr:uid="{17CCA9A2-6AD7-415F-A926-0FC7199E5EC9}"/>
    <cellStyle name="40% - Accent1 3 2 4 3 5" xfId="15124" xr:uid="{4D1DB734-00C9-48FE-8C5D-568B3CAAE1CF}"/>
    <cellStyle name="40% - Accent1 3 2 4 4" xfId="20207" xr:uid="{8602F443-D9A0-4B22-AF2F-AF4936D585D6}"/>
    <cellStyle name="40% - Accent1 3 2 4 5" xfId="28654" xr:uid="{995E963B-12BA-4EAF-B072-D890D338A374}"/>
    <cellStyle name="40% - Accent1 3 2 4 6" xfId="37101" xr:uid="{89C2DC00-B0C1-4C6D-91A2-BB6FF48362E5}"/>
    <cellStyle name="40% - Accent1 3 2 4 7" xfId="10907" xr:uid="{45175EF2-CD0C-497A-87F1-9189ACD41122}"/>
    <cellStyle name="40% - Accent1 3 2 5" xfId="1905" xr:uid="{00000000-0005-0000-0000-000020040000}"/>
    <cellStyle name="40% - Accent1 3 2 5 2" xfId="4134" xr:uid="{00000000-0005-0000-0000-000021040000}"/>
    <cellStyle name="40% - Accent1 3 2 5 2 2" xfId="8356" xr:uid="{00000000-0005-0000-0000-000022040000}"/>
    <cellStyle name="40% - Accent1 3 2 5 2 2 2" xfId="26982" xr:uid="{60A0095B-A8B3-47F1-8822-B147E9A6DA2A}"/>
    <cellStyle name="40% - Accent1 3 2 5 2 2 3" xfId="35429" xr:uid="{006B114F-593C-43F0-B48B-7D1DF40B96A3}"/>
    <cellStyle name="40% - Accent1 3 2 5 2 2 4" xfId="43876" xr:uid="{32D59EE5-B609-4A80-83F2-D0F465279881}"/>
    <cellStyle name="40% - Accent1 3 2 5 2 2 5" xfId="17682" xr:uid="{C60B7C7F-D80F-41A8-A66A-6E31A94DFCE3}"/>
    <cellStyle name="40% - Accent1 3 2 5 2 3" xfId="22765" xr:uid="{E151BE8D-63F4-4AD3-A9A5-A2FC24530324}"/>
    <cellStyle name="40% - Accent1 3 2 5 2 4" xfId="31212" xr:uid="{11B74348-9631-42DD-9E26-220A9603C43E}"/>
    <cellStyle name="40% - Accent1 3 2 5 2 5" xfId="39659" xr:uid="{DC06F818-3CC1-4EC6-8484-CF43F3A4F177}"/>
    <cellStyle name="40% - Accent1 3 2 5 2 6" xfId="13465" xr:uid="{1AE6DEC6-CB69-425F-9DCF-0788C75E6D22}"/>
    <cellStyle name="40% - Accent1 3 2 5 3" xfId="6211" xr:uid="{00000000-0005-0000-0000-000023040000}"/>
    <cellStyle name="40% - Accent1 3 2 5 3 2" xfId="24837" xr:uid="{61C7E08B-7546-47CC-BA28-7ADD6EECA7B2}"/>
    <cellStyle name="40% - Accent1 3 2 5 3 3" xfId="33284" xr:uid="{CD2B04B2-D5BF-4E20-9573-EDA645ECDD9C}"/>
    <cellStyle name="40% - Accent1 3 2 5 3 4" xfId="41731" xr:uid="{12187B79-9D93-4812-BB4D-14B6E7D8D44B}"/>
    <cellStyle name="40% - Accent1 3 2 5 3 5" xfId="15537" xr:uid="{FF08B41F-598B-4ADB-808E-A26BB15C6B6B}"/>
    <cellStyle name="40% - Accent1 3 2 5 4" xfId="20620" xr:uid="{FC6D89F0-2BBD-43C8-A076-8498DC5EDB60}"/>
    <cellStyle name="40% - Accent1 3 2 5 5" xfId="29067" xr:uid="{5E040B33-2777-4008-9191-5328EAD3569F}"/>
    <cellStyle name="40% - Accent1 3 2 5 6" xfId="37514" xr:uid="{6A9B540E-34F8-4CCD-8D6C-AE42D8A40A35}"/>
    <cellStyle name="40% - Accent1 3 2 5 7" xfId="11320" xr:uid="{6A03FAF4-D69E-4D60-8E40-68822B14CA1D}"/>
    <cellStyle name="40% - Accent1 3 2 6" xfId="2318" xr:uid="{00000000-0005-0000-0000-000024040000}"/>
    <cellStyle name="40% - Accent1 3 2 6 2" xfId="6624" xr:uid="{00000000-0005-0000-0000-000025040000}"/>
    <cellStyle name="40% - Accent1 3 2 6 2 2" xfId="25250" xr:uid="{CFD86000-4975-41F5-92FA-CC1F881F6EEA}"/>
    <cellStyle name="40% - Accent1 3 2 6 2 3" xfId="33697" xr:uid="{FBD372AB-9535-4CA0-8BFD-D76E9A11223B}"/>
    <cellStyle name="40% - Accent1 3 2 6 2 4" xfId="42144" xr:uid="{BED49AD7-EC30-48AA-9A20-690F0AAE30D0}"/>
    <cellStyle name="40% - Accent1 3 2 6 2 5" xfId="15950" xr:uid="{D0396BA5-52B3-44E7-A5DA-C4E568DE172B}"/>
    <cellStyle name="40% - Accent1 3 2 6 3" xfId="21033" xr:uid="{7A153A88-F169-4AC7-946D-8BC92B9774F9}"/>
    <cellStyle name="40% - Accent1 3 2 6 4" xfId="29480" xr:uid="{29EBBE9C-B864-4037-B082-AECA132A4769}"/>
    <cellStyle name="40% - Accent1 3 2 6 5" xfId="37927" xr:uid="{931EDB55-B12C-461A-9C4F-C1FE771D4E40}"/>
    <cellStyle name="40% - Accent1 3 2 6 6" xfId="11733" xr:uid="{3054F5C6-F9C1-4431-9456-535AC4D36ED4}"/>
    <cellStyle name="40% - Accent1 3 2 7" xfId="4558" xr:uid="{00000000-0005-0000-0000-000026040000}"/>
    <cellStyle name="40% - Accent1 3 2 7 2" xfId="23184" xr:uid="{7F048D63-A16E-471E-A43B-53027A0B4101}"/>
    <cellStyle name="40% - Accent1 3 2 7 3" xfId="31631" xr:uid="{954C0397-484D-4349-AEE2-EA61B52BF5D6}"/>
    <cellStyle name="40% - Accent1 3 2 7 4" xfId="40078" xr:uid="{07B6BBDA-0DF6-4EB6-938E-50548622AF15}"/>
    <cellStyle name="40% - Accent1 3 2 7 5" xfId="13884" xr:uid="{C145014A-974F-4D26-97BE-D4D2F93E18C1}"/>
    <cellStyle name="40% - Accent1 3 2 8" xfId="9069" xr:uid="{F3D9FD63-8946-4492-B81A-42936E8B246D}"/>
    <cellStyle name="40% - Accent1 3 2 8 2" xfId="18393" xr:uid="{5BE51532-CC59-445B-9BF1-CD8E35D6037B}"/>
    <cellStyle name="40% - Accent1 3 2 9" xfId="18967" xr:uid="{DDED1232-D82A-474C-B939-3119F7C64D59}"/>
    <cellStyle name="40% - Accent1 3 3" xfId="623" xr:uid="{00000000-0005-0000-0000-000027040000}"/>
    <cellStyle name="40% - Accent1 3 3 2" xfId="2894" xr:uid="{00000000-0005-0000-0000-000028040000}"/>
    <cellStyle name="40% - Accent1 3 3 2 2" xfId="7116" xr:uid="{00000000-0005-0000-0000-000029040000}"/>
    <cellStyle name="40% - Accent1 3 3 2 2 2" xfId="25742" xr:uid="{D97DE93E-CE8D-4EBA-A9ED-FBB7B5576FE3}"/>
    <cellStyle name="40% - Accent1 3 3 2 2 3" xfId="34189" xr:uid="{7D9DCEF1-75F6-4020-AC4F-15ABCE3E7999}"/>
    <cellStyle name="40% - Accent1 3 3 2 2 4" xfId="42636" xr:uid="{3210D2C1-E2BC-4EFF-A8A4-F6CBEF7C9E14}"/>
    <cellStyle name="40% - Accent1 3 3 2 2 5" xfId="16442" xr:uid="{17542603-E4F9-48CA-B4B7-E88AE479DE9D}"/>
    <cellStyle name="40% - Accent1 3 3 2 3" xfId="21525" xr:uid="{536178E4-4A66-4807-870E-A158C9132EA5}"/>
    <cellStyle name="40% - Accent1 3 3 2 4" xfId="29972" xr:uid="{082B252C-2670-4589-BCA2-04F56A2E55F4}"/>
    <cellStyle name="40% - Accent1 3 3 2 5" xfId="38419" xr:uid="{C3E8E86A-1D3D-4930-BAD9-A2842F0B9F4B}"/>
    <cellStyle name="40% - Accent1 3 3 2 6" xfId="12225" xr:uid="{2FD15161-8B19-47C8-B87C-1A48123FA4DF}"/>
    <cellStyle name="40% - Accent1 3 3 3" xfId="4971" xr:uid="{00000000-0005-0000-0000-00002A040000}"/>
    <cellStyle name="40% - Accent1 3 3 3 2" xfId="23597" xr:uid="{454DBE6A-D311-46F5-AD81-FC5057C36B10}"/>
    <cellStyle name="40% - Accent1 3 3 3 3" xfId="32044" xr:uid="{BD9E5B12-83DB-4D05-9DB9-A0A1A431796A}"/>
    <cellStyle name="40% - Accent1 3 3 3 4" xfId="40491" xr:uid="{A0006919-499E-4192-B013-2FC6A056B9D0}"/>
    <cellStyle name="40% - Accent1 3 3 3 5" xfId="14297" xr:uid="{B293FB5A-8C57-4042-B823-21E6B10AF096}"/>
    <cellStyle name="40% - Accent1 3 3 4" xfId="9287" xr:uid="{8C21B573-3D31-49DA-ACD8-D3EC7CC3A858}"/>
    <cellStyle name="40% - Accent1 3 3 4 2" xfId="18603" xr:uid="{F7920DBB-2C62-4E96-A377-83CA37F6BAFC}"/>
    <cellStyle name="40% - Accent1 3 3 5" xfId="19380" xr:uid="{D77BD991-1236-4827-A356-57148336D2C0}"/>
    <cellStyle name="40% - Accent1 3 3 6" xfId="27827" xr:uid="{31DC2117-57AA-4D27-9FCF-3424D9939AEB}"/>
    <cellStyle name="40% - Accent1 3 3 7" xfId="36274" xr:uid="{165694BE-66FB-4205-87A4-34442D9DFE13}"/>
    <cellStyle name="40% - Accent1 3 3 8" xfId="10080" xr:uid="{3D134393-069D-48B7-8FAC-2DFD2DF382F6}"/>
    <cellStyle name="40% - Accent1 3 4" xfId="1076" xr:uid="{00000000-0005-0000-0000-00002B040000}"/>
    <cellStyle name="40% - Accent1 3 4 2" xfId="3307" xr:uid="{00000000-0005-0000-0000-00002C040000}"/>
    <cellStyle name="40% - Accent1 3 4 2 2" xfId="7529" xr:uid="{00000000-0005-0000-0000-00002D040000}"/>
    <cellStyle name="40% - Accent1 3 4 2 2 2" xfId="26155" xr:uid="{90790FE1-9F23-40F6-A6D5-6A1BB1DE3B85}"/>
    <cellStyle name="40% - Accent1 3 4 2 2 3" xfId="34602" xr:uid="{09AD3BB2-8691-4092-A176-62EEE6097356}"/>
    <cellStyle name="40% - Accent1 3 4 2 2 4" xfId="43049" xr:uid="{8A720C18-79FF-47D6-97CB-D29AA745FB38}"/>
    <cellStyle name="40% - Accent1 3 4 2 2 5" xfId="16855" xr:uid="{20F4552A-1CF2-4C3E-994A-C7206DF5C265}"/>
    <cellStyle name="40% - Accent1 3 4 2 3" xfId="21938" xr:uid="{A9710915-139F-4639-A8EB-2B6B4FEE6C2F}"/>
    <cellStyle name="40% - Accent1 3 4 2 4" xfId="30385" xr:uid="{E11ACDE1-E122-45E7-B6E4-88E1EA87BCBB}"/>
    <cellStyle name="40% - Accent1 3 4 2 5" xfId="38832" xr:uid="{37F277C5-7292-4F9C-9D8C-09134D6C6885}"/>
    <cellStyle name="40% - Accent1 3 4 2 6" xfId="12638" xr:uid="{890EE600-295E-4FA8-825F-E33202C8D9B4}"/>
    <cellStyle name="40% - Accent1 3 4 3" xfId="5384" xr:uid="{00000000-0005-0000-0000-00002E040000}"/>
    <cellStyle name="40% - Accent1 3 4 3 2" xfId="24010" xr:uid="{5576F17A-281C-49EC-9B5E-22A62DF4DAA2}"/>
    <cellStyle name="40% - Accent1 3 4 3 3" xfId="32457" xr:uid="{A6F64446-7559-4E38-A7F3-6D8D9AF4F8F0}"/>
    <cellStyle name="40% - Accent1 3 4 3 4" xfId="40904" xr:uid="{047033EE-ADF2-4994-A0AD-8990230474C3}"/>
    <cellStyle name="40% - Accent1 3 4 3 5" xfId="14710" xr:uid="{F83F1438-5500-44F8-A70E-E8ED306BBE82}"/>
    <cellStyle name="40% - Accent1 3 4 4" xfId="19793" xr:uid="{BC2C0222-F845-49A0-9A9B-49C217C0EB64}"/>
    <cellStyle name="40% - Accent1 3 4 5" xfId="28240" xr:uid="{0BD5B103-1A34-4E8E-B2FB-A7994FDD332D}"/>
    <cellStyle name="40% - Accent1 3 4 6" xfId="36687" xr:uid="{6C64A61A-7912-4061-9AA7-43D13BFD8067}"/>
    <cellStyle name="40% - Accent1 3 4 7" xfId="10493" xr:uid="{D744989A-4372-403C-BE09-0D0638170EEC}"/>
    <cellStyle name="40% - Accent1 3 5" xfId="1490" xr:uid="{00000000-0005-0000-0000-00002F040000}"/>
    <cellStyle name="40% - Accent1 3 5 2" xfId="3720" xr:uid="{00000000-0005-0000-0000-000030040000}"/>
    <cellStyle name="40% - Accent1 3 5 2 2" xfId="7942" xr:uid="{00000000-0005-0000-0000-000031040000}"/>
    <cellStyle name="40% - Accent1 3 5 2 2 2" xfId="26568" xr:uid="{818F7840-5F91-4450-85CF-082B31BC330F}"/>
    <cellStyle name="40% - Accent1 3 5 2 2 3" xfId="35015" xr:uid="{44623055-DC71-459A-BCC6-ED0A05C455A2}"/>
    <cellStyle name="40% - Accent1 3 5 2 2 4" xfId="43462" xr:uid="{86FEFDF5-73F7-45E8-A02C-4173708E9983}"/>
    <cellStyle name="40% - Accent1 3 5 2 2 5" xfId="17268" xr:uid="{AD93CA0D-B3F9-40D8-9AEF-552AB85CD10F}"/>
    <cellStyle name="40% - Accent1 3 5 2 3" xfId="22351" xr:uid="{996C8F6E-509A-4DC5-9A40-87A121E77DEF}"/>
    <cellStyle name="40% - Accent1 3 5 2 4" xfId="30798" xr:uid="{C1027F12-9B82-434C-9D38-87F1430F5DA7}"/>
    <cellStyle name="40% - Accent1 3 5 2 5" xfId="39245" xr:uid="{4ACDFC83-1BDD-4E10-BF9A-4E1D7E419946}"/>
    <cellStyle name="40% - Accent1 3 5 2 6" xfId="13051" xr:uid="{4DE6E8C1-8182-4ECE-B0D6-9FD6B449654D}"/>
    <cellStyle name="40% - Accent1 3 5 3" xfId="5797" xr:uid="{00000000-0005-0000-0000-000032040000}"/>
    <cellStyle name="40% - Accent1 3 5 3 2" xfId="24423" xr:uid="{7D0AE5EC-FC7E-4409-88A7-FA8B53DA7978}"/>
    <cellStyle name="40% - Accent1 3 5 3 3" xfId="32870" xr:uid="{4961D9BE-54EA-4356-9058-8068AF216A53}"/>
    <cellStyle name="40% - Accent1 3 5 3 4" xfId="41317" xr:uid="{7C464214-D4B3-46FD-9ECF-BD1D7B688913}"/>
    <cellStyle name="40% - Accent1 3 5 3 5" xfId="15123" xr:uid="{6189C701-3FE9-4492-8CF0-04B8CB1EFAC7}"/>
    <cellStyle name="40% - Accent1 3 5 4" xfId="20206" xr:uid="{57E31B0C-A928-4414-A024-8DFE3F831CCD}"/>
    <cellStyle name="40% - Accent1 3 5 5" xfId="28653" xr:uid="{D835917D-4448-4691-9BF7-C333C7805EBC}"/>
    <cellStyle name="40% - Accent1 3 5 6" xfId="37100" xr:uid="{AF1F98D7-82A1-4D83-8A59-4C7BEAEB233C}"/>
    <cellStyle name="40% - Accent1 3 5 7" xfId="10906" xr:uid="{3B4D27CB-54F5-4174-BE10-9CFC6487ECE0}"/>
    <cellStyle name="40% - Accent1 3 6" xfId="1904" xr:uid="{00000000-0005-0000-0000-000033040000}"/>
    <cellStyle name="40% - Accent1 3 6 2" xfId="4133" xr:uid="{00000000-0005-0000-0000-000034040000}"/>
    <cellStyle name="40% - Accent1 3 6 2 2" xfId="8355" xr:uid="{00000000-0005-0000-0000-000035040000}"/>
    <cellStyle name="40% - Accent1 3 6 2 2 2" xfId="26981" xr:uid="{1195BAC6-405D-48B1-957B-60EDA4146077}"/>
    <cellStyle name="40% - Accent1 3 6 2 2 3" xfId="35428" xr:uid="{87D90137-23E8-46E4-8642-24BE1AD7DE9D}"/>
    <cellStyle name="40% - Accent1 3 6 2 2 4" xfId="43875" xr:uid="{5244265C-BE86-4DB1-8F01-ECC22064E10D}"/>
    <cellStyle name="40% - Accent1 3 6 2 2 5" xfId="17681" xr:uid="{DA0228B4-C94F-40A3-A3C3-0482AD234DFE}"/>
    <cellStyle name="40% - Accent1 3 6 2 3" xfId="22764" xr:uid="{0C5F6010-BF7D-43EA-9629-1FC701D23BFD}"/>
    <cellStyle name="40% - Accent1 3 6 2 4" xfId="31211" xr:uid="{2877D646-0C42-48BA-BF61-D8849B02678E}"/>
    <cellStyle name="40% - Accent1 3 6 2 5" xfId="39658" xr:uid="{AE72014B-88BC-45F5-B9AF-BCE3F656DFA8}"/>
    <cellStyle name="40% - Accent1 3 6 2 6" xfId="13464" xr:uid="{DD8F03FC-F577-4E4A-9DC3-9C80D6F23231}"/>
    <cellStyle name="40% - Accent1 3 6 3" xfId="6210" xr:uid="{00000000-0005-0000-0000-000036040000}"/>
    <cellStyle name="40% - Accent1 3 6 3 2" xfId="24836" xr:uid="{2666AFE1-39C0-452C-87DC-DE19DA90110C}"/>
    <cellStyle name="40% - Accent1 3 6 3 3" xfId="33283" xr:uid="{30EABADD-8F40-4333-BABC-6959F4BC1286}"/>
    <cellStyle name="40% - Accent1 3 6 3 4" xfId="41730" xr:uid="{898AA4AC-529C-4295-9DF6-2FF86E912454}"/>
    <cellStyle name="40% - Accent1 3 6 3 5" xfId="15536" xr:uid="{1AFDBA9B-C09C-426E-B212-EAFCB6E7818F}"/>
    <cellStyle name="40% - Accent1 3 6 4" xfId="20619" xr:uid="{0969165E-D9CE-4508-9F52-793F6B5BCD02}"/>
    <cellStyle name="40% - Accent1 3 6 5" xfId="29066" xr:uid="{58998091-2092-415B-9EEC-D491FA723CDD}"/>
    <cellStyle name="40% - Accent1 3 6 6" xfId="37513" xr:uid="{82C8AB30-7B86-473A-B1A1-554A8D9679B8}"/>
    <cellStyle name="40% - Accent1 3 6 7" xfId="11319" xr:uid="{F04ED4F9-3FE1-48EC-B03E-21A449157EEB}"/>
    <cellStyle name="40% - Accent1 3 7" xfId="2317" xr:uid="{00000000-0005-0000-0000-000037040000}"/>
    <cellStyle name="40% - Accent1 3 7 2" xfId="6623" xr:uid="{00000000-0005-0000-0000-000038040000}"/>
    <cellStyle name="40% - Accent1 3 7 2 2" xfId="25249" xr:uid="{C2E50D52-78B1-4C97-94E6-C91E7DB276D5}"/>
    <cellStyle name="40% - Accent1 3 7 2 3" xfId="33696" xr:uid="{2AB6E2F4-A1AF-4877-AEDF-46D471AA322D}"/>
    <cellStyle name="40% - Accent1 3 7 2 4" xfId="42143" xr:uid="{F4DAB9AC-42CE-4E3D-99D7-1A69F90A448A}"/>
    <cellStyle name="40% - Accent1 3 7 2 5" xfId="15949" xr:uid="{677DF7EA-E464-4693-B507-15B76DBD039F}"/>
    <cellStyle name="40% - Accent1 3 7 3" xfId="21032" xr:uid="{DF16E1E2-1578-4E9B-8E32-69AEFE8C4A72}"/>
    <cellStyle name="40% - Accent1 3 7 4" xfId="29479" xr:uid="{EAA53A15-6E6C-4744-B568-A2ED5118FC88}"/>
    <cellStyle name="40% - Accent1 3 7 5" xfId="37926" xr:uid="{25FE3F4D-5D67-451F-BD97-B547C6CE565B}"/>
    <cellStyle name="40% - Accent1 3 7 6" xfId="11732" xr:uid="{F854531D-90CB-453A-92B6-54CBCC10751D}"/>
    <cellStyle name="40% - Accent1 3 8" xfId="4557" xr:uid="{00000000-0005-0000-0000-000039040000}"/>
    <cellStyle name="40% - Accent1 3 8 2" xfId="23183" xr:uid="{69EC55EE-A48D-4CC2-AF0A-75DBE68AC1D4}"/>
    <cellStyle name="40% - Accent1 3 8 3" xfId="31630" xr:uid="{765A2B0F-C73B-4713-8E76-0FC8BF4BD1AA}"/>
    <cellStyle name="40% - Accent1 3 8 4" xfId="40077" xr:uid="{0A6157A9-09D2-426A-A7F2-F7CD24FE91F1}"/>
    <cellStyle name="40% - Accent1 3 8 5" xfId="13883" xr:uid="{CD4395D6-4EE9-4489-B232-387AC6C011BA}"/>
    <cellStyle name="40% - Accent1 3 9" xfId="8862" xr:uid="{2CC30516-31CA-485E-88BE-FCC7F9756A95}"/>
    <cellStyle name="40% - Accent1 3 9 2" xfId="18186" xr:uid="{D99AD0E1-0ECC-4472-8A0D-686508856CCF}"/>
    <cellStyle name="40% - Accent1 4" xfId="56" xr:uid="{00000000-0005-0000-0000-00003A040000}"/>
    <cellStyle name="40% - Accent1 4 10" xfId="27415" xr:uid="{759F2A8F-0474-4AB7-A26A-30ADE0E1FAB6}"/>
    <cellStyle name="40% - Accent1 4 11" xfId="35862" xr:uid="{07417C6C-C8EC-499A-A087-5E2AB8EBEAC8}"/>
    <cellStyle name="40% - Accent1 4 12" xfId="9668" xr:uid="{DCAE0110-7AB0-465F-9819-2F8AA4A9725B}"/>
    <cellStyle name="40% - Accent1 4 2" xfId="625" xr:uid="{00000000-0005-0000-0000-00003B040000}"/>
    <cellStyle name="40% - Accent1 4 2 2" xfId="2896" xr:uid="{00000000-0005-0000-0000-00003C040000}"/>
    <cellStyle name="40% - Accent1 4 2 2 2" xfId="7118" xr:uid="{00000000-0005-0000-0000-00003D040000}"/>
    <cellStyle name="40% - Accent1 4 2 2 2 2" xfId="25744" xr:uid="{A93685A3-8FEC-4459-9454-95D873167592}"/>
    <cellStyle name="40% - Accent1 4 2 2 2 3" xfId="34191" xr:uid="{F4A84437-B4F0-4563-B93B-F70931BB67DA}"/>
    <cellStyle name="40% - Accent1 4 2 2 2 4" xfId="42638" xr:uid="{0C9E360F-9B8B-412C-B855-328B53F9C063}"/>
    <cellStyle name="40% - Accent1 4 2 2 2 5" xfId="16444" xr:uid="{46EE2153-FFEB-4715-963A-33C4C760FEEF}"/>
    <cellStyle name="40% - Accent1 4 2 2 3" xfId="21527" xr:uid="{B5C2EBD0-907D-41B3-BD0F-DF68219D6A36}"/>
    <cellStyle name="40% - Accent1 4 2 2 4" xfId="29974" xr:uid="{23C72371-43EC-4C8F-B4AE-97CF0DF4D6DC}"/>
    <cellStyle name="40% - Accent1 4 2 2 5" xfId="38421" xr:uid="{527E9987-2833-4B07-88D5-EACCAB9EBD92}"/>
    <cellStyle name="40% - Accent1 4 2 2 6" xfId="12227" xr:uid="{359219F6-9B72-47FF-9F40-DCC8297BFE3C}"/>
    <cellStyle name="40% - Accent1 4 2 3" xfId="4973" xr:uid="{00000000-0005-0000-0000-00003E040000}"/>
    <cellStyle name="40% - Accent1 4 2 3 2" xfId="23599" xr:uid="{14788E3D-35F2-457F-AEE1-FDABC0CDC43D}"/>
    <cellStyle name="40% - Accent1 4 2 3 3" xfId="32046" xr:uid="{90F4124C-A6F8-4FC6-BF9E-061383C132BA}"/>
    <cellStyle name="40% - Accent1 4 2 3 4" xfId="40493" xr:uid="{D660A50D-17DC-4D9D-8BEE-0FA43469A93F}"/>
    <cellStyle name="40% - Accent1 4 2 3 5" xfId="14299" xr:uid="{F7D9BFAE-C0CC-4DE9-96CA-5737B069B6DC}"/>
    <cellStyle name="40% - Accent1 4 2 4" xfId="9373" xr:uid="{3BC949C7-8F86-44EA-9F10-CF277586B131}"/>
    <cellStyle name="40% - Accent1 4 2 4 2" xfId="18689" xr:uid="{6D4D062E-AC83-497D-9DFD-F5D3681BF0E4}"/>
    <cellStyle name="40% - Accent1 4 2 5" xfId="19382" xr:uid="{2D31F990-1094-452C-993C-791C2335DBAF}"/>
    <cellStyle name="40% - Accent1 4 2 6" xfId="27829" xr:uid="{F0E6EC91-BA34-4EB2-99E6-A019C782A927}"/>
    <cellStyle name="40% - Accent1 4 2 7" xfId="36276" xr:uid="{8218ED24-915A-41BC-A368-9339392B2C2A}"/>
    <cellStyle name="40% - Accent1 4 2 8" xfId="10082" xr:uid="{868D8EA5-CE55-4DA5-A4A5-C43000F53AD6}"/>
    <cellStyle name="40% - Accent1 4 3" xfId="1078" xr:uid="{00000000-0005-0000-0000-00003F040000}"/>
    <cellStyle name="40% - Accent1 4 3 2" xfId="3309" xr:uid="{00000000-0005-0000-0000-000040040000}"/>
    <cellStyle name="40% - Accent1 4 3 2 2" xfId="7531" xr:uid="{00000000-0005-0000-0000-000041040000}"/>
    <cellStyle name="40% - Accent1 4 3 2 2 2" xfId="26157" xr:uid="{FC2B6D39-BA7D-4DF2-A5AD-05BDA4B420AA}"/>
    <cellStyle name="40% - Accent1 4 3 2 2 3" xfId="34604" xr:uid="{0895B4FB-649E-4F7F-A611-ADBC9CC15D8E}"/>
    <cellStyle name="40% - Accent1 4 3 2 2 4" xfId="43051" xr:uid="{33E93D62-640D-4A0D-9EAB-454A87E47BFE}"/>
    <cellStyle name="40% - Accent1 4 3 2 2 5" xfId="16857" xr:uid="{AE4CD652-AD45-4845-8C49-4C1D87605CC7}"/>
    <cellStyle name="40% - Accent1 4 3 2 3" xfId="21940" xr:uid="{DC7369C0-5901-4EF1-B16C-268805E83078}"/>
    <cellStyle name="40% - Accent1 4 3 2 4" xfId="30387" xr:uid="{4A5D070F-1374-45A4-B924-14926AF095DD}"/>
    <cellStyle name="40% - Accent1 4 3 2 5" xfId="38834" xr:uid="{7DD817B6-8E81-4D6D-B404-EE317D013977}"/>
    <cellStyle name="40% - Accent1 4 3 2 6" xfId="12640" xr:uid="{547604DF-036C-450C-B7F0-E06CE89684C4}"/>
    <cellStyle name="40% - Accent1 4 3 3" xfId="5386" xr:uid="{00000000-0005-0000-0000-000042040000}"/>
    <cellStyle name="40% - Accent1 4 3 3 2" xfId="24012" xr:uid="{40F83B96-6D6C-421B-B00F-BCA2DA87B7D0}"/>
    <cellStyle name="40% - Accent1 4 3 3 3" xfId="32459" xr:uid="{C270DBDA-E85E-449C-992C-CA55D64A7489}"/>
    <cellStyle name="40% - Accent1 4 3 3 4" xfId="40906" xr:uid="{821847AA-8060-4B16-BA6B-4E1AC15080EF}"/>
    <cellStyle name="40% - Accent1 4 3 3 5" xfId="14712" xr:uid="{CDBB7631-9C2D-4AF0-B60F-282FBFF5BF00}"/>
    <cellStyle name="40% - Accent1 4 3 4" xfId="19795" xr:uid="{1605FC0D-896A-45C5-BBCA-FF5763E631D2}"/>
    <cellStyle name="40% - Accent1 4 3 5" xfId="28242" xr:uid="{24557678-9B49-4E7A-B7EE-E688513B1DEB}"/>
    <cellStyle name="40% - Accent1 4 3 6" xfId="36689" xr:uid="{7D4DE2EB-79A4-4253-BC8A-340420038AC3}"/>
    <cellStyle name="40% - Accent1 4 3 7" xfId="10495" xr:uid="{3130E98C-F81E-41CC-AAA9-B6EDCB1C4D3F}"/>
    <cellStyle name="40% - Accent1 4 4" xfId="1492" xr:uid="{00000000-0005-0000-0000-000043040000}"/>
    <cellStyle name="40% - Accent1 4 4 2" xfId="3722" xr:uid="{00000000-0005-0000-0000-000044040000}"/>
    <cellStyle name="40% - Accent1 4 4 2 2" xfId="7944" xr:uid="{00000000-0005-0000-0000-000045040000}"/>
    <cellStyle name="40% - Accent1 4 4 2 2 2" xfId="26570" xr:uid="{63FC3290-3D1F-4C0F-BF2F-DF696082D483}"/>
    <cellStyle name="40% - Accent1 4 4 2 2 3" xfId="35017" xr:uid="{2698867E-A289-41C1-A321-E4291DB77286}"/>
    <cellStyle name="40% - Accent1 4 4 2 2 4" xfId="43464" xr:uid="{EF51055C-176D-4E0B-9AD6-4A0AAD1D4C8C}"/>
    <cellStyle name="40% - Accent1 4 4 2 2 5" xfId="17270" xr:uid="{DBF69A67-768D-41CF-9D3C-28E22E0D15C1}"/>
    <cellStyle name="40% - Accent1 4 4 2 3" xfId="22353" xr:uid="{4526C1C1-FEE1-4703-96FC-098C7E6AD381}"/>
    <cellStyle name="40% - Accent1 4 4 2 4" xfId="30800" xr:uid="{A6A520B3-5EAF-41AA-9EB8-2AB039A27474}"/>
    <cellStyle name="40% - Accent1 4 4 2 5" xfId="39247" xr:uid="{EE1846F2-0DD8-4B64-8FF9-F8B58DD6A1A9}"/>
    <cellStyle name="40% - Accent1 4 4 2 6" xfId="13053" xr:uid="{A81FB249-519A-4B66-BF0E-CBD6AEC9D8D9}"/>
    <cellStyle name="40% - Accent1 4 4 3" xfId="5799" xr:uid="{00000000-0005-0000-0000-000046040000}"/>
    <cellStyle name="40% - Accent1 4 4 3 2" xfId="24425" xr:uid="{E143579E-B519-4BDE-BFBB-8747922B127C}"/>
    <cellStyle name="40% - Accent1 4 4 3 3" xfId="32872" xr:uid="{39B9D9E3-80E7-4A4E-A678-7FB873441CFE}"/>
    <cellStyle name="40% - Accent1 4 4 3 4" xfId="41319" xr:uid="{AA196BA9-FA9E-4805-B805-7F4AAF8B1E0F}"/>
    <cellStyle name="40% - Accent1 4 4 3 5" xfId="15125" xr:uid="{6AFA99A0-C6A9-47AA-AA56-FFF8898F72C8}"/>
    <cellStyle name="40% - Accent1 4 4 4" xfId="20208" xr:uid="{1EC3D86A-F2FF-47F5-95C3-C0CEB8C8C7C0}"/>
    <cellStyle name="40% - Accent1 4 4 5" xfId="28655" xr:uid="{42D86153-060B-496D-8414-1E0B0DC28CC9}"/>
    <cellStyle name="40% - Accent1 4 4 6" xfId="37102" xr:uid="{A70D9DF6-32D2-452D-B1B3-7C6ACA396BEF}"/>
    <cellStyle name="40% - Accent1 4 4 7" xfId="10908" xr:uid="{4C4A972B-F70F-4222-A7F1-A01565886B15}"/>
    <cellStyle name="40% - Accent1 4 5" xfId="1906" xr:uid="{00000000-0005-0000-0000-000047040000}"/>
    <cellStyle name="40% - Accent1 4 5 2" xfId="4135" xr:uid="{00000000-0005-0000-0000-000048040000}"/>
    <cellStyle name="40% - Accent1 4 5 2 2" xfId="8357" xr:uid="{00000000-0005-0000-0000-000049040000}"/>
    <cellStyle name="40% - Accent1 4 5 2 2 2" xfId="26983" xr:uid="{3DF793CA-6AB2-4072-A93E-01D2DCD0A10F}"/>
    <cellStyle name="40% - Accent1 4 5 2 2 3" xfId="35430" xr:uid="{ADB0C072-DDAB-4FA5-88E5-3CBBB796D2D9}"/>
    <cellStyle name="40% - Accent1 4 5 2 2 4" xfId="43877" xr:uid="{B3827F29-90DA-4191-9618-B4BF68C3C2DC}"/>
    <cellStyle name="40% - Accent1 4 5 2 2 5" xfId="17683" xr:uid="{26AF56DA-A681-46F8-A587-75FBF3E41FA6}"/>
    <cellStyle name="40% - Accent1 4 5 2 3" xfId="22766" xr:uid="{B6B5D40B-9386-40F1-BF79-69275658E5F8}"/>
    <cellStyle name="40% - Accent1 4 5 2 4" xfId="31213" xr:uid="{91B4FBD7-00B6-44F4-A763-7592E8F68875}"/>
    <cellStyle name="40% - Accent1 4 5 2 5" xfId="39660" xr:uid="{09061988-1E39-44E2-947F-9312154284C9}"/>
    <cellStyle name="40% - Accent1 4 5 2 6" xfId="13466" xr:uid="{3BFAC46F-2792-4848-BE7F-3299CC4C6904}"/>
    <cellStyle name="40% - Accent1 4 5 3" xfId="6212" xr:uid="{00000000-0005-0000-0000-00004A040000}"/>
    <cellStyle name="40% - Accent1 4 5 3 2" xfId="24838" xr:uid="{44CE3443-44DC-4018-88A0-166774E00683}"/>
    <cellStyle name="40% - Accent1 4 5 3 3" xfId="33285" xr:uid="{EA468DED-0677-49AE-B259-3CEE1BD3B8E0}"/>
    <cellStyle name="40% - Accent1 4 5 3 4" xfId="41732" xr:uid="{CC3E324D-0A78-438F-AC2F-72F8A8B10F7D}"/>
    <cellStyle name="40% - Accent1 4 5 3 5" xfId="15538" xr:uid="{B61930F5-1AD0-4514-BE3B-F78D1C586341}"/>
    <cellStyle name="40% - Accent1 4 5 4" xfId="20621" xr:uid="{45749D59-3124-48AC-8454-32E67147F88F}"/>
    <cellStyle name="40% - Accent1 4 5 5" xfId="29068" xr:uid="{18A64A1A-30D6-455D-9803-9630E0AE9D3F}"/>
    <cellStyle name="40% - Accent1 4 5 6" xfId="37515" xr:uid="{0ABB41BA-E4C9-4844-ABE0-3323D221B6F9}"/>
    <cellStyle name="40% - Accent1 4 5 7" xfId="11321" xr:uid="{A715520C-F502-4B9E-AA27-AF4218D9B6E3}"/>
    <cellStyle name="40% - Accent1 4 6" xfId="2319" xr:uid="{00000000-0005-0000-0000-00004B040000}"/>
    <cellStyle name="40% - Accent1 4 6 2" xfId="6625" xr:uid="{00000000-0005-0000-0000-00004C040000}"/>
    <cellStyle name="40% - Accent1 4 6 2 2" xfId="25251" xr:uid="{5177C4C2-0AC6-4CB0-8917-DE3743B1E6F3}"/>
    <cellStyle name="40% - Accent1 4 6 2 3" xfId="33698" xr:uid="{7F62FEF0-B683-4A06-8B42-ECCE6FBA72C8}"/>
    <cellStyle name="40% - Accent1 4 6 2 4" xfId="42145" xr:uid="{E5825E50-F83C-4098-8A8A-A0330BFB2D79}"/>
    <cellStyle name="40% - Accent1 4 6 2 5" xfId="15951" xr:uid="{4404D75F-70EA-4B87-9CE7-E623FEF9BBAD}"/>
    <cellStyle name="40% - Accent1 4 6 3" xfId="21034" xr:uid="{4C372835-F039-43F0-B27A-55311CE0A221}"/>
    <cellStyle name="40% - Accent1 4 6 4" xfId="29481" xr:uid="{16C77DF0-40C9-46E4-9DBB-EA23B13930A8}"/>
    <cellStyle name="40% - Accent1 4 6 5" xfId="37928" xr:uid="{607FD1E4-EE55-4645-84C7-3665DFE57E00}"/>
    <cellStyle name="40% - Accent1 4 6 6" xfId="11734" xr:uid="{0E9CA446-D641-4F2E-833C-463D65351C31}"/>
    <cellStyle name="40% - Accent1 4 7" xfId="4559" xr:uid="{00000000-0005-0000-0000-00004D040000}"/>
    <cellStyle name="40% - Accent1 4 7 2" xfId="23185" xr:uid="{A99C760E-FC64-4BF8-87CC-075CF88F55D5}"/>
    <cellStyle name="40% - Accent1 4 7 3" xfId="31632" xr:uid="{1D37AFE5-0C23-4F1F-B8F5-D80BFAEB3ECB}"/>
    <cellStyle name="40% - Accent1 4 7 4" xfId="40079" xr:uid="{99E9CB0D-2988-4B69-8239-0FB982E8B291}"/>
    <cellStyle name="40% - Accent1 4 7 5" xfId="13885" xr:uid="{831DCE2B-5F90-4330-8571-8E44DCFAB401}"/>
    <cellStyle name="40% - Accent1 4 8" xfId="8948" xr:uid="{7BCBB449-71B8-4468-A700-0125C7659C3D}"/>
    <cellStyle name="40% - Accent1 4 8 2" xfId="18272" xr:uid="{054327EB-39D9-4388-ADA5-3997CB2C50F3}"/>
    <cellStyle name="40% - Accent1 4 9" xfId="18968" xr:uid="{59B3C056-521B-4B03-8D3F-2A196A719BA5}"/>
    <cellStyle name="40% - Accent1 5" xfId="618" xr:uid="{00000000-0005-0000-0000-00004E040000}"/>
    <cellStyle name="40% - Accent1 5 2" xfId="2889" xr:uid="{00000000-0005-0000-0000-00004F040000}"/>
    <cellStyle name="40% - Accent1 5 2 2" xfId="7111" xr:uid="{00000000-0005-0000-0000-000050040000}"/>
    <cellStyle name="40% - Accent1 5 2 2 2" xfId="25737" xr:uid="{E0502CCF-C73B-4D23-8431-DB8BCFA514B5}"/>
    <cellStyle name="40% - Accent1 5 2 2 3" xfId="34184" xr:uid="{5AE05414-5C7C-4FF3-AC4F-95C4354689C6}"/>
    <cellStyle name="40% - Accent1 5 2 2 4" xfId="42631" xr:uid="{3B24C7F1-88C3-4A9D-8B94-783A6CA1BD56}"/>
    <cellStyle name="40% - Accent1 5 2 2 5" xfId="16437" xr:uid="{CFA33106-C123-4EC7-BA2D-C6BDC94119D7}"/>
    <cellStyle name="40% - Accent1 5 2 3" xfId="21520" xr:uid="{CE039429-E392-434B-B09E-E6E59C5A5DA7}"/>
    <cellStyle name="40% - Accent1 5 2 4" xfId="29967" xr:uid="{999C1BD5-B260-45B2-A01A-04BC65E00894}"/>
    <cellStyle name="40% - Accent1 5 2 5" xfId="38414" xr:uid="{F07C03A9-2771-4DF2-A67B-53916B6E663E}"/>
    <cellStyle name="40% - Accent1 5 2 6" xfId="12220" xr:uid="{72FBB4ED-B5AE-49DA-B34F-5CA1EFB7F9B3}"/>
    <cellStyle name="40% - Accent1 5 3" xfId="4966" xr:uid="{00000000-0005-0000-0000-000051040000}"/>
    <cellStyle name="40% - Accent1 5 3 2" xfId="23592" xr:uid="{1E915AF0-80FF-4A1C-9D0D-F22A159E3702}"/>
    <cellStyle name="40% - Accent1 5 3 3" xfId="32039" xr:uid="{D1968913-F69C-49B0-AF90-137AC8A65CFF}"/>
    <cellStyle name="40% - Accent1 5 3 4" xfId="40486" xr:uid="{C8C32D8D-3FCD-419A-9657-5BFC864299DD}"/>
    <cellStyle name="40% - Accent1 5 3 5" xfId="14292" xr:uid="{3D0F9292-147B-44C3-84DA-C769BEC2F578}"/>
    <cellStyle name="40% - Accent1 5 4" xfId="9181" xr:uid="{332DA761-F1AA-4FF3-9BBB-9ECEE19D2DFF}"/>
    <cellStyle name="40% - Accent1 5 4 2" xfId="18500" xr:uid="{2F8A35FA-769C-4331-BB3A-174E106DE43B}"/>
    <cellStyle name="40% - Accent1 5 5" xfId="19375" xr:uid="{3A79A514-507E-488F-8C38-3963217A02A8}"/>
    <cellStyle name="40% - Accent1 5 6" xfId="27822" xr:uid="{4E37AEA5-85D1-4A92-BA1F-F12D47D79D82}"/>
    <cellStyle name="40% - Accent1 5 7" xfId="36269" xr:uid="{8014A46E-4537-4421-9103-2CD33A0AB507}"/>
    <cellStyle name="40% - Accent1 5 8" xfId="10075" xr:uid="{266FB30F-C9B0-4BDA-8ADC-47D6E6BBC31E}"/>
    <cellStyle name="40% - Accent1 6" xfId="1071" xr:uid="{00000000-0005-0000-0000-000052040000}"/>
    <cellStyle name="40% - Accent1 6 2" xfId="3302" xr:uid="{00000000-0005-0000-0000-000053040000}"/>
    <cellStyle name="40% - Accent1 6 2 2" xfId="7524" xr:uid="{00000000-0005-0000-0000-000054040000}"/>
    <cellStyle name="40% - Accent1 6 2 2 2" xfId="26150" xr:uid="{661D32B7-2820-4F1D-A46C-90C96625E2C2}"/>
    <cellStyle name="40% - Accent1 6 2 2 3" xfId="34597" xr:uid="{202CAB16-9807-404B-A94A-101F3E0A75C2}"/>
    <cellStyle name="40% - Accent1 6 2 2 4" xfId="43044" xr:uid="{9E3F911A-2485-45D9-8F9F-06AC5211F5C6}"/>
    <cellStyle name="40% - Accent1 6 2 2 5" xfId="16850" xr:uid="{C7E74221-E060-42E7-AC32-C2DA43FB7066}"/>
    <cellStyle name="40% - Accent1 6 2 3" xfId="21933" xr:uid="{0E65055C-C333-43B4-9F01-C2F5B31AD8DB}"/>
    <cellStyle name="40% - Accent1 6 2 4" xfId="30380" xr:uid="{120E8513-2082-4821-9B90-BB18ABD1ED19}"/>
    <cellStyle name="40% - Accent1 6 2 5" xfId="38827" xr:uid="{C56EC900-58BA-4A0B-983A-3031742637DC}"/>
    <cellStyle name="40% - Accent1 6 2 6" xfId="12633" xr:uid="{DE0A2AD5-CDB0-45FE-BAE9-60705DBB3A29}"/>
    <cellStyle name="40% - Accent1 6 3" xfId="5379" xr:uid="{00000000-0005-0000-0000-000055040000}"/>
    <cellStyle name="40% - Accent1 6 3 2" xfId="24005" xr:uid="{F449627B-BD9C-4F3F-885C-D51A5DACD8C3}"/>
    <cellStyle name="40% - Accent1 6 3 3" xfId="32452" xr:uid="{067AAD58-9FA4-4F62-8C6D-8E167BF76353}"/>
    <cellStyle name="40% - Accent1 6 3 4" xfId="40899" xr:uid="{270E9C04-86EE-4FF8-B6F3-6BDD8AE6EFE3}"/>
    <cellStyle name="40% - Accent1 6 3 5" xfId="14705" xr:uid="{86001E4C-801F-420D-81BC-407F5DDDA997}"/>
    <cellStyle name="40% - Accent1 6 4" xfId="19788" xr:uid="{3B264812-8B0F-460B-882F-07C452856998}"/>
    <cellStyle name="40% - Accent1 6 5" xfId="28235" xr:uid="{F233460F-58C5-4BC7-B61B-757B99360522}"/>
    <cellStyle name="40% - Accent1 6 6" xfId="36682" xr:uid="{CFCFE1BE-82D3-4400-BDC4-B08F860C3C13}"/>
    <cellStyle name="40% - Accent1 6 7" xfId="10488" xr:uid="{AD4C4A05-9A6E-4E63-A7FB-33365185BE53}"/>
    <cellStyle name="40% - Accent1 7" xfId="1485" xr:uid="{00000000-0005-0000-0000-000056040000}"/>
    <cellStyle name="40% - Accent1 7 2" xfId="3715" xr:uid="{00000000-0005-0000-0000-000057040000}"/>
    <cellStyle name="40% - Accent1 7 2 2" xfId="7937" xr:uid="{00000000-0005-0000-0000-000058040000}"/>
    <cellStyle name="40% - Accent1 7 2 2 2" xfId="26563" xr:uid="{5171F89F-FFB0-4389-8513-7E9C8283B77A}"/>
    <cellStyle name="40% - Accent1 7 2 2 3" xfId="35010" xr:uid="{9F0962CE-F123-4433-8E12-46CCE8B8EC4A}"/>
    <cellStyle name="40% - Accent1 7 2 2 4" xfId="43457" xr:uid="{28EB14E7-0CD0-4FEE-BE01-125A6E4C516F}"/>
    <cellStyle name="40% - Accent1 7 2 2 5" xfId="17263" xr:uid="{0BD8A57C-2974-4629-A1F5-A0508F7EB775}"/>
    <cellStyle name="40% - Accent1 7 2 3" xfId="22346" xr:uid="{71932D67-1DDD-467F-80C9-40B9EECF7C5F}"/>
    <cellStyle name="40% - Accent1 7 2 4" xfId="30793" xr:uid="{6C4762AA-D77A-466E-BA20-15EF05A791C5}"/>
    <cellStyle name="40% - Accent1 7 2 5" xfId="39240" xr:uid="{B77DCA2C-4857-4FE2-8C4B-5314974779E4}"/>
    <cellStyle name="40% - Accent1 7 2 6" xfId="13046" xr:uid="{DF6AA686-F367-4A27-A0A8-B6183EE0189F}"/>
    <cellStyle name="40% - Accent1 7 3" xfId="5792" xr:uid="{00000000-0005-0000-0000-000059040000}"/>
    <cellStyle name="40% - Accent1 7 3 2" xfId="24418" xr:uid="{2EBA21FB-C798-4CD0-B3C0-B9E838429684}"/>
    <cellStyle name="40% - Accent1 7 3 3" xfId="32865" xr:uid="{662EFB8F-9C32-42FD-A494-88FE382320D6}"/>
    <cellStyle name="40% - Accent1 7 3 4" xfId="41312" xr:uid="{A7F3A875-3441-4AC5-B22F-85AFC4C57DE8}"/>
    <cellStyle name="40% - Accent1 7 3 5" xfId="15118" xr:uid="{3B24BC46-B796-4B2E-9B74-734136E1EE6B}"/>
    <cellStyle name="40% - Accent1 7 4" xfId="20201" xr:uid="{9BD65C7F-C6A7-47EA-B06E-ED1C1B714578}"/>
    <cellStyle name="40% - Accent1 7 5" xfId="28648" xr:uid="{6290F0E3-1E48-47C1-9A87-D8683CE5EF3E}"/>
    <cellStyle name="40% - Accent1 7 6" xfId="37095" xr:uid="{C9840DEF-1317-4A59-8751-8BDD5B3DA102}"/>
    <cellStyle name="40% - Accent1 7 7" xfId="10901" xr:uid="{E35924CE-6B2A-492F-9D07-E538C6F3AE37}"/>
    <cellStyle name="40% - Accent1 8" xfId="1899" xr:uid="{00000000-0005-0000-0000-00005A040000}"/>
    <cellStyle name="40% - Accent1 8 2" xfId="4128" xr:uid="{00000000-0005-0000-0000-00005B040000}"/>
    <cellStyle name="40% - Accent1 8 2 2" xfId="8350" xr:uid="{00000000-0005-0000-0000-00005C040000}"/>
    <cellStyle name="40% - Accent1 8 2 2 2" xfId="26976" xr:uid="{970FFDDA-74A6-4193-8BD6-D1AE0C7360A7}"/>
    <cellStyle name="40% - Accent1 8 2 2 3" xfId="35423" xr:uid="{3352392C-B2B3-44E4-9F19-78E7F970DEC9}"/>
    <cellStyle name="40% - Accent1 8 2 2 4" xfId="43870" xr:uid="{1E0926DC-8C1B-4C2B-8AA4-12DA9BFB7A93}"/>
    <cellStyle name="40% - Accent1 8 2 2 5" xfId="17676" xr:uid="{BE241B36-179F-4ECF-9A62-1972B128428A}"/>
    <cellStyle name="40% - Accent1 8 2 3" xfId="22759" xr:uid="{FF80911D-3BA3-4811-A99B-B2AF3797361E}"/>
    <cellStyle name="40% - Accent1 8 2 4" xfId="31206" xr:uid="{E748A4CA-95BC-44DB-8353-29C8B1302D2F}"/>
    <cellStyle name="40% - Accent1 8 2 5" xfId="39653" xr:uid="{8D1E1E43-71FA-4A74-A221-D784E8D911EF}"/>
    <cellStyle name="40% - Accent1 8 2 6" xfId="13459" xr:uid="{5EFDB001-9501-446C-9FCE-873A54D3E182}"/>
    <cellStyle name="40% - Accent1 8 3" xfId="6205" xr:uid="{00000000-0005-0000-0000-00005D040000}"/>
    <cellStyle name="40% - Accent1 8 3 2" xfId="24831" xr:uid="{7DD9D2E3-EAD5-44E4-B482-A8705E68F67E}"/>
    <cellStyle name="40% - Accent1 8 3 3" xfId="33278" xr:uid="{09D0ED38-19D2-44B3-B0BA-162B83CA279E}"/>
    <cellStyle name="40% - Accent1 8 3 4" xfId="41725" xr:uid="{DD1D25F8-F77A-4597-B17C-593B23ABA168}"/>
    <cellStyle name="40% - Accent1 8 3 5" xfId="15531" xr:uid="{910A79A2-C452-47AE-A864-5F3C6137CFBC}"/>
    <cellStyle name="40% - Accent1 8 4" xfId="20614" xr:uid="{0C3DE5F2-6751-4B4E-80A0-5E7911F7E7E2}"/>
    <cellStyle name="40% - Accent1 8 5" xfId="29061" xr:uid="{8CFF2A18-3DA5-499D-83F6-1C35833E8F8C}"/>
    <cellStyle name="40% - Accent1 8 6" xfId="37508" xr:uid="{ADA51A65-26C7-416D-BFF0-784A9DA089A5}"/>
    <cellStyle name="40% - Accent1 8 7" xfId="11314" xr:uid="{BBE19E41-0ABC-48D1-84FC-66A4AB3717DF}"/>
    <cellStyle name="40% - Accent1 9" xfId="2312" xr:uid="{00000000-0005-0000-0000-00005E040000}"/>
    <cellStyle name="40% - Accent1 9 2" xfId="6618" xr:uid="{00000000-0005-0000-0000-00005F040000}"/>
    <cellStyle name="40% - Accent1 9 2 2" xfId="25244" xr:uid="{208D44EE-3774-480D-8A20-2A33D00C2D7F}"/>
    <cellStyle name="40% - Accent1 9 2 3" xfId="33691" xr:uid="{F67E83C2-E2E8-4457-AAB4-980411EC2587}"/>
    <cellStyle name="40% - Accent1 9 2 4" xfId="42138" xr:uid="{08AD7370-A20A-458D-9187-B30992CE82C0}"/>
    <cellStyle name="40% - Accent1 9 2 5" xfId="15944" xr:uid="{48664505-ACF5-49A5-91B1-1D97018D2447}"/>
    <cellStyle name="40% - Accent1 9 3" xfId="21027" xr:uid="{99BD9FCB-4872-4374-92B3-6AA6D07E6519}"/>
    <cellStyle name="40% - Accent1 9 4" xfId="29474" xr:uid="{5C512815-ABF1-4854-A346-480CA775C197}"/>
    <cellStyle name="40% - Accent1 9 5" xfId="37921" xr:uid="{C5B74F27-0AC9-476E-846D-CC06CE1F46EE}"/>
    <cellStyle name="40% - Accent1 9 6" xfId="11727" xr:uid="{815B1940-2538-408F-A725-515A5296A69F}"/>
    <cellStyle name="40% - Accent2" xfId="57" builtinId="35" customBuiltin="1"/>
    <cellStyle name="40% - Accent2 10" xfId="4560" xr:uid="{00000000-0005-0000-0000-000061040000}"/>
    <cellStyle name="40% - Accent2 10 2" xfId="23186" xr:uid="{8C07584D-BD91-41A5-8F5F-105AC489D3F6}"/>
    <cellStyle name="40% - Accent2 10 3" xfId="31633" xr:uid="{69D8FE4D-50A3-4F42-B668-AB8C18414C61}"/>
    <cellStyle name="40% - Accent2 10 4" xfId="40080" xr:uid="{6AEB62C6-3AF4-46D6-A884-809D2FA015CA}"/>
    <cellStyle name="40% - Accent2 10 5" xfId="13886" xr:uid="{2EB71102-AA1C-4D00-B2A2-6D01235A1D11}"/>
    <cellStyle name="40% - Accent2 11" xfId="8761" xr:uid="{8631D9D1-53DA-4958-8F7C-AD68B7B91D61}"/>
    <cellStyle name="40% - Accent2 11 2" xfId="18085" xr:uid="{E4F99295-3F9D-46D3-9BCF-02F2A2DF99A7}"/>
    <cellStyle name="40% - Accent2 12" xfId="18969" xr:uid="{6E9C174D-347B-4B8A-A8B5-F96207481A81}"/>
    <cellStyle name="40% - Accent2 13" xfId="27416" xr:uid="{BAE52E0A-D808-4975-BE97-D0230A968E49}"/>
    <cellStyle name="40% - Accent2 14" xfId="35863" xr:uid="{B30899F5-97D1-42C0-BD76-F9E1C69A4FBD}"/>
    <cellStyle name="40% - Accent2 15" xfId="9669" xr:uid="{A7D83019-A1F1-41D0-89C3-1E2A9A06E51D}"/>
    <cellStyle name="40% - Accent2 2" xfId="58" xr:uid="{00000000-0005-0000-0000-000062040000}"/>
    <cellStyle name="40% - Accent2 2 10" xfId="8799" xr:uid="{E3EEC046-6E76-44A5-8D1B-64621A8F0AC5}"/>
    <cellStyle name="40% - Accent2 2 10 2" xfId="18123" xr:uid="{22F857EE-929F-45C3-B31A-D8B86FD2CC8A}"/>
    <cellStyle name="40% - Accent2 2 11" xfId="18970" xr:uid="{BF52E637-1A93-4C04-964F-B0F4C6171BB5}"/>
    <cellStyle name="40% - Accent2 2 12" xfId="27417" xr:uid="{5B684B0F-193D-48D1-A5E5-7D5B43E47402}"/>
    <cellStyle name="40% - Accent2 2 13" xfId="35864" xr:uid="{5506B52E-E53F-420C-9C7B-87622489B26D}"/>
    <cellStyle name="40% - Accent2 2 14" xfId="9670" xr:uid="{909F0560-A6ED-4C67-BB59-2C0FD8E197E8}"/>
    <cellStyle name="40% - Accent2 2 2" xfId="59" xr:uid="{00000000-0005-0000-0000-000063040000}"/>
    <cellStyle name="40% - Accent2 2 2 10" xfId="18971" xr:uid="{686AFD10-06DF-4F34-B7C1-123F5207EB11}"/>
    <cellStyle name="40% - Accent2 2 2 11" xfId="27418" xr:uid="{C24190AA-14FA-4945-8B6A-E3ACDFC72B72}"/>
    <cellStyle name="40% - Accent2 2 2 12" xfId="35865" xr:uid="{3B4F3767-7F3E-45CA-AB29-0FF9C4E20C01}"/>
    <cellStyle name="40% - Accent2 2 2 13" xfId="9671" xr:uid="{AB1FD5A0-AABD-4859-A5D4-C3F6BC653E90}"/>
    <cellStyle name="40% - Accent2 2 2 2" xfId="60" xr:uid="{00000000-0005-0000-0000-000064040000}"/>
    <cellStyle name="40% - Accent2 2 2 2 10" xfId="27419" xr:uid="{09F7A95A-7381-4FF6-94FB-9FFCB83039AC}"/>
    <cellStyle name="40% - Accent2 2 2 2 11" xfId="35866" xr:uid="{77E2D977-0EB2-41A9-B7F1-2863C79BA983}"/>
    <cellStyle name="40% - Accent2 2 2 2 12" xfId="9672" xr:uid="{B2A4260F-FAFE-4498-83B4-3066CC1B8298}"/>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2 2 2" xfId="25748" xr:uid="{3B17159D-1AAD-4E73-8761-3EFCF7B57CCB}"/>
    <cellStyle name="40% - Accent2 2 2 2 2 2 2 3" xfId="34195" xr:uid="{0C900738-F7EA-475E-A9A9-2A70CD2EF93B}"/>
    <cellStyle name="40% - Accent2 2 2 2 2 2 2 4" xfId="42642" xr:uid="{0CDB5F28-2BBC-4624-880D-64E943A9F463}"/>
    <cellStyle name="40% - Accent2 2 2 2 2 2 2 5" xfId="16448" xr:uid="{7E613793-7CE1-4CFF-B823-E2C1F42B24A7}"/>
    <cellStyle name="40% - Accent2 2 2 2 2 2 3" xfId="21531" xr:uid="{532385E9-7C2F-4C9E-8A3F-0761EFB25E8F}"/>
    <cellStyle name="40% - Accent2 2 2 2 2 2 4" xfId="29978" xr:uid="{A10C2A45-595C-4306-8C9B-21633D74F41D}"/>
    <cellStyle name="40% - Accent2 2 2 2 2 2 5" xfId="38425" xr:uid="{1298FCED-DF3A-413E-8386-2247BA9EC1B6}"/>
    <cellStyle name="40% - Accent2 2 2 2 2 2 6" xfId="12231" xr:uid="{F642A006-A1FC-438B-845F-ED811EE9BDF4}"/>
    <cellStyle name="40% - Accent2 2 2 2 2 3" xfId="4977" xr:uid="{00000000-0005-0000-0000-000068040000}"/>
    <cellStyle name="40% - Accent2 2 2 2 2 3 2" xfId="23603" xr:uid="{DD2626B4-3C64-4AD6-AED3-17953E3D43C6}"/>
    <cellStyle name="40% - Accent2 2 2 2 2 3 3" xfId="32050" xr:uid="{F879D956-EBBF-4B57-BBB2-1F78FF17981B}"/>
    <cellStyle name="40% - Accent2 2 2 2 2 3 4" xfId="40497" xr:uid="{089E730B-B627-4FE2-9571-C2B452B1970A}"/>
    <cellStyle name="40% - Accent2 2 2 2 2 3 5" xfId="14303" xr:uid="{9A1D0085-B0C0-4C2F-9530-5606988B787B}"/>
    <cellStyle name="40% - Accent2 2 2 2 2 4" xfId="9534" xr:uid="{9F53A086-33FC-422E-9DFF-72D04AC43949}"/>
    <cellStyle name="40% - Accent2 2 2 2 2 4 2" xfId="18850" xr:uid="{5CBC9D65-837B-41CC-9E2B-2EAFCD058D58}"/>
    <cellStyle name="40% - Accent2 2 2 2 2 5" xfId="19386" xr:uid="{38E60D05-E475-420D-8411-8E243D9A4431}"/>
    <cellStyle name="40% - Accent2 2 2 2 2 6" xfId="27833" xr:uid="{DCC17EB3-FA4A-4926-8E2B-34D39085A103}"/>
    <cellStyle name="40% - Accent2 2 2 2 2 7" xfId="36280" xr:uid="{B41EA8D4-F7D5-4AD3-90A7-6E4B321FD95C}"/>
    <cellStyle name="40% - Accent2 2 2 2 2 8" xfId="10086" xr:uid="{FC02EAC6-D247-48C5-A9E0-B75D104BB367}"/>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2 2 2" xfId="26161" xr:uid="{08A71EC7-B7CB-4B41-80AB-086DA8DF6BA2}"/>
    <cellStyle name="40% - Accent2 2 2 2 3 2 2 3" xfId="34608" xr:uid="{076FFA78-A3E9-4A6B-86B7-FC5A9158B43A}"/>
    <cellStyle name="40% - Accent2 2 2 2 3 2 2 4" xfId="43055" xr:uid="{43321099-41E7-4631-8BA2-EEAC050FF8D3}"/>
    <cellStyle name="40% - Accent2 2 2 2 3 2 2 5" xfId="16861" xr:uid="{8E5AB154-7C28-4554-86D0-B97953C1CC28}"/>
    <cellStyle name="40% - Accent2 2 2 2 3 2 3" xfId="21944" xr:uid="{B8CE64CF-4E71-4A2E-BEE8-5050C3E0C4E7}"/>
    <cellStyle name="40% - Accent2 2 2 2 3 2 4" xfId="30391" xr:uid="{7FC1B91C-1EC7-42F5-8358-656F39995B7E}"/>
    <cellStyle name="40% - Accent2 2 2 2 3 2 5" xfId="38838" xr:uid="{80689B5E-C980-4C2B-B1C9-0E61CA36B84A}"/>
    <cellStyle name="40% - Accent2 2 2 2 3 2 6" xfId="12644" xr:uid="{E2849A93-9212-425B-9A9A-D4EC7B7DC4E6}"/>
    <cellStyle name="40% - Accent2 2 2 2 3 3" xfId="5390" xr:uid="{00000000-0005-0000-0000-00006C040000}"/>
    <cellStyle name="40% - Accent2 2 2 2 3 3 2" xfId="24016" xr:uid="{09953CE9-CAB9-4A70-B1AB-E158FC25771F}"/>
    <cellStyle name="40% - Accent2 2 2 2 3 3 3" xfId="32463" xr:uid="{0D248A43-9428-498E-A758-559F6927B746}"/>
    <cellStyle name="40% - Accent2 2 2 2 3 3 4" xfId="40910" xr:uid="{30AB912E-E202-43E2-9D51-BFA15A7B89D1}"/>
    <cellStyle name="40% - Accent2 2 2 2 3 3 5" xfId="14716" xr:uid="{87009F97-ACF9-4A4C-9124-4F51DBFB6249}"/>
    <cellStyle name="40% - Accent2 2 2 2 3 4" xfId="19799" xr:uid="{4950429B-2B42-44DE-A5E6-1B3AD3D31099}"/>
    <cellStyle name="40% - Accent2 2 2 2 3 5" xfId="28246" xr:uid="{69F48AD8-C87F-4167-8391-8F5D3C7581A1}"/>
    <cellStyle name="40% - Accent2 2 2 2 3 6" xfId="36693" xr:uid="{3A4420E1-15CF-4CA5-BD29-ECA252D0A28F}"/>
    <cellStyle name="40% - Accent2 2 2 2 3 7" xfId="10499" xr:uid="{21D05BA2-28E8-41CE-A289-FD9107DF2D79}"/>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2 2 2" xfId="26574" xr:uid="{42425C4C-E371-4453-B7EA-D760E1B7DC11}"/>
    <cellStyle name="40% - Accent2 2 2 2 4 2 2 3" xfId="35021" xr:uid="{09A8DC9F-40E8-4E43-BD1D-CC7FBF3CBD89}"/>
    <cellStyle name="40% - Accent2 2 2 2 4 2 2 4" xfId="43468" xr:uid="{65642A57-6F02-41E5-967E-2ADC9FA033AF}"/>
    <cellStyle name="40% - Accent2 2 2 2 4 2 2 5" xfId="17274" xr:uid="{41C063DF-72E8-4CAC-A1FE-890ADDF2361F}"/>
    <cellStyle name="40% - Accent2 2 2 2 4 2 3" xfId="22357" xr:uid="{17EF7FCD-2D8F-4F26-969E-186E2C32BD4C}"/>
    <cellStyle name="40% - Accent2 2 2 2 4 2 4" xfId="30804" xr:uid="{66945F4E-D801-463D-A8B5-310D719FB050}"/>
    <cellStyle name="40% - Accent2 2 2 2 4 2 5" xfId="39251" xr:uid="{CFD3CEBF-7AF4-4CEA-AF1B-9232CAA64936}"/>
    <cellStyle name="40% - Accent2 2 2 2 4 2 6" xfId="13057" xr:uid="{1009D03F-8B12-4898-8F89-753069E37F69}"/>
    <cellStyle name="40% - Accent2 2 2 2 4 3" xfId="5803" xr:uid="{00000000-0005-0000-0000-000070040000}"/>
    <cellStyle name="40% - Accent2 2 2 2 4 3 2" xfId="24429" xr:uid="{C7C0CEDD-F8FE-45EA-BB14-C51DE638A0AD}"/>
    <cellStyle name="40% - Accent2 2 2 2 4 3 3" xfId="32876" xr:uid="{49012B0F-6B23-40FE-9AE7-EF25194B2FC8}"/>
    <cellStyle name="40% - Accent2 2 2 2 4 3 4" xfId="41323" xr:uid="{2034E969-A44A-40C5-BDC4-29A587F9C171}"/>
    <cellStyle name="40% - Accent2 2 2 2 4 3 5" xfId="15129" xr:uid="{5C9F8D1F-C784-4E82-BB9A-39BA9E97B7F0}"/>
    <cellStyle name="40% - Accent2 2 2 2 4 4" xfId="20212" xr:uid="{297F43D5-CCBE-423B-B9C7-08B813C9CB80}"/>
    <cellStyle name="40% - Accent2 2 2 2 4 5" xfId="28659" xr:uid="{8A395406-80ED-4775-AE32-982F6473BBDB}"/>
    <cellStyle name="40% - Accent2 2 2 2 4 6" xfId="37106" xr:uid="{570EAEFD-25D9-44AC-A377-D5BE29BD651E}"/>
    <cellStyle name="40% - Accent2 2 2 2 4 7" xfId="10912" xr:uid="{2E1A6905-AAD6-4525-B2EF-CA73C3A551A7}"/>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2 2 2" xfId="26987" xr:uid="{1A18A755-4A25-47D8-97F5-88E59685FA4A}"/>
    <cellStyle name="40% - Accent2 2 2 2 5 2 2 3" xfId="35434" xr:uid="{E502C10F-CD7F-4217-AA2D-E7F2D80CE42D}"/>
    <cellStyle name="40% - Accent2 2 2 2 5 2 2 4" xfId="43881" xr:uid="{6CDA0D9C-4890-4AE7-A769-7E729362F313}"/>
    <cellStyle name="40% - Accent2 2 2 2 5 2 2 5" xfId="17687" xr:uid="{2A02F00C-2F9C-4EC9-B016-7FF4A1F32B9E}"/>
    <cellStyle name="40% - Accent2 2 2 2 5 2 3" xfId="22770" xr:uid="{018C5EEF-1883-411C-ABCF-E3DF8A35AC7A}"/>
    <cellStyle name="40% - Accent2 2 2 2 5 2 4" xfId="31217" xr:uid="{F3D75CFE-4888-438A-A3FB-06F82238465F}"/>
    <cellStyle name="40% - Accent2 2 2 2 5 2 5" xfId="39664" xr:uid="{0793CA7E-DCD0-4561-95DA-E66A2ED3F989}"/>
    <cellStyle name="40% - Accent2 2 2 2 5 2 6" xfId="13470" xr:uid="{B2CB1D3A-9C2C-4335-B77C-FF75904BAAF0}"/>
    <cellStyle name="40% - Accent2 2 2 2 5 3" xfId="6216" xr:uid="{00000000-0005-0000-0000-000074040000}"/>
    <cellStyle name="40% - Accent2 2 2 2 5 3 2" xfId="24842" xr:uid="{AE749DFD-FA7D-45A3-AB3B-17BF6D6C1C0B}"/>
    <cellStyle name="40% - Accent2 2 2 2 5 3 3" xfId="33289" xr:uid="{B57DD789-D1B2-4DE5-8D84-464C0A2E44A7}"/>
    <cellStyle name="40% - Accent2 2 2 2 5 3 4" xfId="41736" xr:uid="{13E91408-59E4-46B5-8F09-69A5261312A3}"/>
    <cellStyle name="40% - Accent2 2 2 2 5 3 5" xfId="15542" xr:uid="{82FAC65C-CCEA-471A-9CDC-FAC0E29659AB}"/>
    <cellStyle name="40% - Accent2 2 2 2 5 4" xfId="20625" xr:uid="{019941FB-0530-4DBF-8758-E1A867238061}"/>
    <cellStyle name="40% - Accent2 2 2 2 5 5" xfId="29072" xr:uid="{CE248840-AA31-4972-8FA6-BA4F77E69D36}"/>
    <cellStyle name="40% - Accent2 2 2 2 5 6" xfId="37519" xr:uid="{55527EE3-8764-49FE-B693-13C4255E9A4F}"/>
    <cellStyle name="40% - Accent2 2 2 2 5 7" xfId="11325" xr:uid="{9518556A-FC5A-4AD3-8BDA-03828CDB8989}"/>
    <cellStyle name="40% - Accent2 2 2 2 6" xfId="2323" xr:uid="{00000000-0005-0000-0000-000075040000}"/>
    <cellStyle name="40% - Accent2 2 2 2 6 2" xfId="6629" xr:uid="{00000000-0005-0000-0000-000076040000}"/>
    <cellStyle name="40% - Accent2 2 2 2 6 2 2" xfId="25255" xr:uid="{311E9076-C0EC-4FD4-8533-B8A496E38BBA}"/>
    <cellStyle name="40% - Accent2 2 2 2 6 2 3" xfId="33702" xr:uid="{4B58AA6E-C7CA-4135-80AE-67C0745A1EB5}"/>
    <cellStyle name="40% - Accent2 2 2 2 6 2 4" xfId="42149" xr:uid="{BE7ACB0D-14EF-4217-9239-0D2913409DF0}"/>
    <cellStyle name="40% - Accent2 2 2 2 6 2 5" xfId="15955" xr:uid="{145B39AB-E412-4052-8887-028B06D0C283}"/>
    <cellStyle name="40% - Accent2 2 2 2 6 3" xfId="21038" xr:uid="{3B1D0F15-EFDE-454B-B983-CFD4AA94B961}"/>
    <cellStyle name="40% - Accent2 2 2 2 6 4" xfId="29485" xr:uid="{7EF63F8F-AFDC-4476-9227-0A6EABB16BF3}"/>
    <cellStyle name="40% - Accent2 2 2 2 6 5" xfId="37932" xr:uid="{B729750F-C670-4BFD-9B9D-28914E06BB7E}"/>
    <cellStyle name="40% - Accent2 2 2 2 6 6" xfId="11738" xr:uid="{98AF2BE3-D86F-42E0-8B97-70F0E634D520}"/>
    <cellStyle name="40% - Accent2 2 2 2 7" xfId="4563" xr:uid="{00000000-0005-0000-0000-000077040000}"/>
    <cellStyle name="40% - Accent2 2 2 2 7 2" xfId="23189" xr:uid="{E4313CB4-5E85-42D2-909A-0277BAF011AE}"/>
    <cellStyle name="40% - Accent2 2 2 2 7 3" xfId="31636" xr:uid="{7D53E415-408D-4C99-8691-65B32DE244C2}"/>
    <cellStyle name="40% - Accent2 2 2 2 7 4" xfId="40083" xr:uid="{0BD975DB-0FB7-4320-864E-40350F6F4C23}"/>
    <cellStyle name="40% - Accent2 2 2 2 7 5" xfId="13889" xr:uid="{401E0D6B-FBCF-412C-8D10-4D6D56DB9AE4}"/>
    <cellStyle name="40% - Accent2 2 2 2 8" xfId="9109" xr:uid="{73F0012D-4386-4224-BFB0-7DB1C0E98822}"/>
    <cellStyle name="40% - Accent2 2 2 2 8 2" xfId="18433" xr:uid="{82D562FC-25B9-4F9F-AB5C-3F6EB1BD72A7}"/>
    <cellStyle name="40% - Accent2 2 2 2 9" xfId="18972" xr:uid="{ACDBA6C0-675E-4A58-A5AA-70AEDCF3D6AB}"/>
    <cellStyle name="40% - Accent2 2 2 3" xfId="628" xr:uid="{00000000-0005-0000-0000-000078040000}"/>
    <cellStyle name="40% - Accent2 2 2 3 2" xfId="2899" xr:uid="{00000000-0005-0000-0000-000079040000}"/>
    <cellStyle name="40% - Accent2 2 2 3 2 2" xfId="7121" xr:uid="{00000000-0005-0000-0000-00007A040000}"/>
    <cellStyle name="40% - Accent2 2 2 3 2 2 2" xfId="25747" xr:uid="{39338890-C2C0-4077-94FC-ED7AA785D4E3}"/>
    <cellStyle name="40% - Accent2 2 2 3 2 2 3" xfId="34194" xr:uid="{4F11A1A3-66C9-400C-847E-D62D48D0D621}"/>
    <cellStyle name="40% - Accent2 2 2 3 2 2 4" xfId="42641" xr:uid="{C5F80B08-E1B9-46EC-A2E7-A984DE0521CD}"/>
    <cellStyle name="40% - Accent2 2 2 3 2 2 5" xfId="16447" xr:uid="{84B690F2-E42F-44F2-943F-F9E0C9DD1C82}"/>
    <cellStyle name="40% - Accent2 2 2 3 2 3" xfId="21530" xr:uid="{99BFE494-14AC-48D0-AB0C-547485C00372}"/>
    <cellStyle name="40% - Accent2 2 2 3 2 4" xfId="29977" xr:uid="{4245E3C1-CF5E-4FFF-B53E-6A6F827113EB}"/>
    <cellStyle name="40% - Accent2 2 2 3 2 5" xfId="38424" xr:uid="{53121D91-6B40-4081-9330-A38CCA0FD69F}"/>
    <cellStyle name="40% - Accent2 2 2 3 2 6" xfId="12230" xr:uid="{D4240C5A-D6E6-4B03-8D40-B7E659879037}"/>
    <cellStyle name="40% - Accent2 2 2 3 3" xfId="4976" xr:uid="{00000000-0005-0000-0000-00007B040000}"/>
    <cellStyle name="40% - Accent2 2 2 3 3 2" xfId="23602" xr:uid="{7770D6EB-18B6-4337-B428-A85DDEDE9B5F}"/>
    <cellStyle name="40% - Accent2 2 2 3 3 3" xfId="32049" xr:uid="{80E622F3-5C7F-4F8E-8261-7DEB2DBA127C}"/>
    <cellStyle name="40% - Accent2 2 2 3 3 4" xfId="40496" xr:uid="{CFE763E5-6CFA-430F-AB5C-6E94D0E80828}"/>
    <cellStyle name="40% - Accent2 2 2 3 3 5" xfId="14302" xr:uid="{2B4719DC-7F54-4315-9C1A-25DA5A21E7E9}"/>
    <cellStyle name="40% - Accent2 2 2 3 4" xfId="9327" xr:uid="{F2BC9A12-B689-4B73-B71E-77A9F0BC7FE4}"/>
    <cellStyle name="40% - Accent2 2 2 3 4 2" xfId="18643" xr:uid="{C65C2E56-09BC-4CC3-A28B-789E66DDB159}"/>
    <cellStyle name="40% - Accent2 2 2 3 5" xfId="19385" xr:uid="{9C815EFB-8455-4575-9191-74F859BC47BC}"/>
    <cellStyle name="40% - Accent2 2 2 3 6" xfId="27832" xr:uid="{97DB80BE-367E-496C-A157-0B6C1A536817}"/>
    <cellStyle name="40% - Accent2 2 2 3 7" xfId="36279" xr:uid="{6DD8C8EB-89B7-46D6-8FBA-1CB4D14AE57A}"/>
    <cellStyle name="40% - Accent2 2 2 3 8" xfId="10085" xr:uid="{2BA7D9E9-E8D0-4D98-8322-B9F70A998F9A}"/>
    <cellStyle name="40% - Accent2 2 2 4" xfId="1081" xr:uid="{00000000-0005-0000-0000-00007C040000}"/>
    <cellStyle name="40% - Accent2 2 2 4 2" xfId="3312" xr:uid="{00000000-0005-0000-0000-00007D040000}"/>
    <cellStyle name="40% - Accent2 2 2 4 2 2" xfId="7534" xr:uid="{00000000-0005-0000-0000-00007E040000}"/>
    <cellStyle name="40% - Accent2 2 2 4 2 2 2" xfId="26160" xr:uid="{C120F0E5-2D9C-4818-958F-D53F88790022}"/>
    <cellStyle name="40% - Accent2 2 2 4 2 2 3" xfId="34607" xr:uid="{AA3854EC-1B61-4868-9ECA-2D717792705E}"/>
    <cellStyle name="40% - Accent2 2 2 4 2 2 4" xfId="43054" xr:uid="{78126172-6C90-4C13-B2A7-08F3715755FF}"/>
    <cellStyle name="40% - Accent2 2 2 4 2 2 5" xfId="16860" xr:uid="{11633F29-64AD-4525-89A4-9016CC84E3C8}"/>
    <cellStyle name="40% - Accent2 2 2 4 2 3" xfId="21943" xr:uid="{3A19574E-1822-453D-BB84-AB0BAC877696}"/>
    <cellStyle name="40% - Accent2 2 2 4 2 4" xfId="30390" xr:uid="{0E61BAA0-916C-41BF-883A-0EE8C5DF903A}"/>
    <cellStyle name="40% - Accent2 2 2 4 2 5" xfId="38837" xr:uid="{5A7A9CE0-76F6-4084-9423-10C6BDCCA50A}"/>
    <cellStyle name="40% - Accent2 2 2 4 2 6" xfId="12643" xr:uid="{6321AFC6-DB28-4DC8-AD39-9BCC9B65395A}"/>
    <cellStyle name="40% - Accent2 2 2 4 3" xfId="5389" xr:uid="{00000000-0005-0000-0000-00007F040000}"/>
    <cellStyle name="40% - Accent2 2 2 4 3 2" xfId="24015" xr:uid="{CBC644D1-A659-43DF-8A86-2D6C3354E842}"/>
    <cellStyle name="40% - Accent2 2 2 4 3 3" xfId="32462" xr:uid="{E83B2F97-A331-4B8D-8E93-9B3272FF1093}"/>
    <cellStyle name="40% - Accent2 2 2 4 3 4" xfId="40909" xr:uid="{A01FF7F4-CFB2-49DB-A719-967F228747BB}"/>
    <cellStyle name="40% - Accent2 2 2 4 3 5" xfId="14715" xr:uid="{A7D6796F-486D-424D-9F29-140EBF9C0ED4}"/>
    <cellStyle name="40% - Accent2 2 2 4 4" xfId="19798" xr:uid="{E814D852-544E-478D-A369-9EC37B8B55DB}"/>
    <cellStyle name="40% - Accent2 2 2 4 5" xfId="28245" xr:uid="{FF204F7D-E491-41E1-9EE7-683BC5BCA3F5}"/>
    <cellStyle name="40% - Accent2 2 2 4 6" xfId="36692" xr:uid="{850FFFD0-8337-41B2-837B-9019E8E77F7D}"/>
    <cellStyle name="40% - Accent2 2 2 4 7" xfId="10498" xr:uid="{13B7E56D-C819-4B99-8BE3-655162808E05}"/>
    <cellStyle name="40% - Accent2 2 2 5" xfId="1495" xr:uid="{00000000-0005-0000-0000-000080040000}"/>
    <cellStyle name="40% - Accent2 2 2 5 2" xfId="3725" xr:uid="{00000000-0005-0000-0000-000081040000}"/>
    <cellStyle name="40% - Accent2 2 2 5 2 2" xfId="7947" xr:uid="{00000000-0005-0000-0000-000082040000}"/>
    <cellStyle name="40% - Accent2 2 2 5 2 2 2" xfId="26573" xr:uid="{3546AEBD-C8C6-4734-8DC3-D3524CBADA80}"/>
    <cellStyle name="40% - Accent2 2 2 5 2 2 3" xfId="35020" xr:uid="{5CCC3A5D-52E4-4059-AE2C-FD6E320C8905}"/>
    <cellStyle name="40% - Accent2 2 2 5 2 2 4" xfId="43467" xr:uid="{3257087D-A5FB-4CE2-8D17-F8596FD6E5B7}"/>
    <cellStyle name="40% - Accent2 2 2 5 2 2 5" xfId="17273" xr:uid="{15551DFF-F05F-49B3-8D9A-7B7276E139AB}"/>
    <cellStyle name="40% - Accent2 2 2 5 2 3" xfId="22356" xr:uid="{34841B67-667D-4CC1-9B13-72C8EAA183A2}"/>
    <cellStyle name="40% - Accent2 2 2 5 2 4" xfId="30803" xr:uid="{2CD2B29B-3731-4136-B580-AA7C34C28997}"/>
    <cellStyle name="40% - Accent2 2 2 5 2 5" xfId="39250" xr:uid="{A69A6322-5649-43A8-9275-1DA6B0526530}"/>
    <cellStyle name="40% - Accent2 2 2 5 2 6" xfId="13056" xr:uid="{99689026-91FF-4758-BDBA-C168F4D34F35}"/>
    <cellStyle name="40% - Accent2 2 2 5 3" xfId="5802" xr:uid="{00000000-0005-0000-0000-000083040000}"/>
    <cellStyle name="40% - Accent2 2 2 5 3 2" xfId="24428" xr:uid="{D450248F-7B3A-44F6-8C76-C09688138FF4}"/>
    <cellStyle name="40% - Accent2 2 2 5 3 3" xfId="32875" xr:uid="{BD759CF8-8568-4FA1-9A28-857EBA7881BD}"/>
    <cellStyle name="40% - Accent2 2 2 5 3 4" xfId="41322" xr:uid="{5F3FD608-1EFC-483E-9B63-A91FD90181D7}"/>
    <cellStyle name="40% - Accent2 2 2 5 3 5" xfId="15128" xr:uid="{B2032CFC-C380-468A-9D60-DD7E42C8A443}"/>
    <cellStyle name="40% - Accent2 2 2 5 4" xfId="20211" xr:uid="{23B1FE8B-D8CD-4E39-B200-B842903BC803}"/>
    <cellStyle name="40% - Accent2 2 2 5 5" xfId="28658" xr:uid="{F7378525-C844-457B-BDCF-011481765D08}"/>
    <cellStyle name="40% - Accent2 2 2 5 6" xfId="37105" xr:uid="{1E6D58A2-A51C-48AF-A9E7-490DE3CE951C}"/>
    <cellStyle name="40% - Accent2 2 2 5 7" xfId="10911" xr:uid="{BAC906D0-1335-4FF9-9F66-FF581940F532}"/>
    <cellStyle name="40% - Accent2 2 2 6" xfId="1909" xr:uid="{00000000-0005-0000-0000-000084040000}"/>
    <cellStyle name="40% - Accent2 2 2 6 2" xfId="4138" xr:uid="{00000000-0005-0000-0000-000085040000}"/>
    <cellStyle name="40% - Accent2 2 2 6 2 2" xfId="8360" xr:uid="{00000000-0005-0000-0000-000086040000}"/>
    <cellStyle name="40% - Accent2 2 2 6 2 2 2" xfId="26986" xr:uid="{9EF3D9E5-266A-42BF-84A1-C58027974CDD}"/>
    <cellStyle name="40% - Accent2 2 2 6 2 2 3" xfId="35433" xr:uid="{EE1DF5B0-6C3C-4870-93C1-65F1B65BCE61}"/>
    <cellStyle name="40% - Accent2 2 2 6 2 2 4" xfId="43880" xr:uid="{F7A1DAB1-D784-4000-8799-4CC7D3D0FF04}"/>
    <cellStyle name="40% - Accent2 2 2 6 2 2 5" xfId="17686" xr:uid="{0380E079-C38A-41BB-BA91-B045BBDA6275}"/>
    <cellStyle name="40% - Accent2 2 2 6 2 3" xfId="22769" xr:uid="{54E806FD-EF1A-4BFF-B99D-06C3617B4537}"/>
    <cellStyle name="40% - Accent2 2 2 6 2 4" xfId="31216" xr:uid="{0AEB39BF-43C3-4D1F-9079-0E129FB12587}"/>
    <cellStyle name="40% - Accent2 2 2 6 2 5" xfId="39663" xr:uid="{AFCD3E25-A043-4A99-B8B3-B0A467E9A30E}"/>
    <cellStyle name="40% - Accent2 2 2 6 2 6" xfId="13469" xr:uid="{613252EF-2C6D-404C-842F-6F4A271F1E2F}"/>
    <cellStyle name="40% - Accent2 2 2 6 3" xfId="6215" xr:uid="{00000000-0005-0000-0000-000087040000}"/>
    <cellStyle name="40% - Accent2 2 2 6 3 2" xfId="24841" xr:uid="{C4AF5B74-C728-424F-A03F-113D1597170C}"/>
    <cellStyle name="40% - Accent2 2 2 6 3 3" xfId="33288" xr:uid="{DA454F91-F16E-47A6-B2B9-B1F7E12A6B24}"/>
    <cellStyle name="40% - Accent2 2 2 6 3 4" xfId="41735" xr:uid="{D6A89B15-1306-4374-947D-BCAC577B0A6D}"/>
    <cellStyle name="40% - Accent2 2 2 6 3 5" xfId="15541" xr:uid="{196103A2-0438-4449-AC7C-6384F42A9C60}"/>
    <cellStyle name="40% - Accent2 2 2 6 4" xfId="20624" xr:uid="{25A11D85-0638-4CD2-BDBA-F6F10A66FEF3}"/>
    <cellStyle name="40% - Accent2 2 2 6 5" xfId="29071" xr:uid="{D99D1006-1A0E-4927-9EC2-815CF7A63AA3}"/>
    <cellStyle name="40% - Accent2 2 2 6 6" xfId="37518" xr:uid="{CE3195A3-89C1-426E-B327-0BB1D033ED28}"/>
    <cellStyle name="40% - Accent2 2 2 6 7" xfId="11324" xr:uid="{F9DFB64F-A9E9-40F1-8F9D-0D44D33425BD}"/>
    <cellStyle name="40% - Accent2 2 2 7" xfId="2322" xr:uid="{00000000-0005-0000-0000-000088040000}"/>
    <cellStyle name="40% - Accent2 2 2 7 2" xfId="6628" xr:uid="{00000000-0005-0000-0000-000089040000}"/>
    <cellStyle name="40% - Accent2 2 2 7 2 2" xfId="25254" xr:uid="{C7DCF847-C519-4DDA-83FD-E69A8250CBD5}"/>
    <cellStyle name="40% - Accent2 2 2 7 2 3" xfId="33701" xr:uid="{801E0D0F-3337-41E0-A7B5-874CC3B08F56}"/>
    <cellStyle name="40% - Accent2 2 2 7 2 4" xfId="42148" xr:uid="{B4C1D7D7-AC0E-457C-A176-EC8ABA937E04}"/>
    <cellStyle name="40% - Accent2 2 2 7 2 5" xfId="15954" xr:uid="{C7FE4CE1-F5AE-41D2-9402-6151E41F4A35}"/>
    <cellStyle name="40% - Accent2 2 2 7 3" xfId="21037" xr:uid="{520AE113-1222-4A64-9145-31924868727E}"/>
    <cellStyle name="40% - Accent2 2 2 7 4" xfId="29484" xr:uid="{8B2F56BE-45DB-402B-81BC-B1C845A776B8}"/>
    <cellStyle name="40% - Accent2 2 2 7 5" xfId="37931" xr:uid="{73D359F3-6D83-4955-9CFE-3240E0FF2884}"/>
    <cellStyle name="40% - Accent2 2 2 7 6" xfId="11737" xr:uid="{A904EFC5-5C4C-4C1E-95AA-ED79E29B084F}"/>
    <cellStyle name="40% - Accent2 2 2 8" xfId="4562" xr:uid="{00000000-0005-0000-0000-00008A040000}"/>
    <cellStyle name="40% - Accent2 2 2 8 2" xfId="23188" xr:uid="{F1E7B734-7137-45E3-BDD1-E6F5E1BF94D8}"/>
    <cellStyle name="40% - Accent2 2 2 8 3" xfId="31635" xr:uid="{2E19A544-BCF9-48C6-A6B0-C6863FB92C04}"/>
    <cellStyle name="40% - Accent2 2 2 8 4" xfId="40082" xr:uid="{293C9873-4EA3-4A5B-B12B-6330B82DB5B7}"/>
    <cellStyle name="40% - Accent2 2 2 8 5" xfId="13888" xr:uid="{48670422-D0DF-49D7-8D7B-A19BB0943B1C}"/>
    <cellStyle name="40% - Accent2 2 2 9" xfId="8902" xr:uid="{5D0C2022-B7A4-4DE2-895F-9E4BE510A7B9}"/>
    <cellStyle name="40% - Accent2 2 2 9 2" xfId="18226" xr:uid="{D89E5204-C104-4411-99EE-E2020D039664}"/>
    <cellStyle name="40% - Accent2 2 3" xfId="61" xr:uid="{00000000-0005-0000-0000-00008B040000}"/>
    <cellStyle name="40% - Accent2 2 3 10" xfId="27420" xr:uid="{FA06E6A7-9522-4546-A56B-B55A54A5ADE4}"/>
    <cellStyle name="40% - Accent2 2 3 11" xfId="35867" xr:uid="{6F82C071-E84D-4DF5-A159-C8D311F8CBE4}"/>
    <cellStyle name="40% - Accent2 2 3 12" xfId="9673" xr:uid="{2A54E58D-2620-4CBF-8837-B9EB704D01FA}"/>
    <cellStyle name="40% - Accent2 2 3 2" xfId="630" xr:uid="{00000000-0005-0000-0000-00008C040000}"/>
    <cellStyle name="40% - Accent2 2 3 2 2" xfId="2901" xr:uid="{00000000-0005-0000-0000-00008D040000}"/>
    <cellStyle name="40% - Accent2 2 3 2 2 2" xfId="7123" xr:uid="{00000000-0005-0000-0000-00008E040000}"/>
    <cellStyle name="40% - Accent2 2 3 2 2 2 2" xfId="25749" xr:uid="{8851A361-441D-4D1E-B200-4B051CA3DA7C}"/>
    <cellStyle name="40% - Accent2 2 3 2 2 2 3" xfId="34196" xr:uid="{2100804D-C5DC-45E6-B536-6017C33FBCA0}"/>
    <cellStyle name="40% - Accent2 2 3 2 2 2 4" xfId="42643" xr:uid="{FF8270C3-6E6A-4904-B52B-3823C83A62A2}"/>
    <cellStyle name="40% - Accent2 2 3 2 2 2 5" xfId="16449" xr:uid="{7247E7F9-C1FC-4362-8410-5203598117ED}"/>
    <cellStyle name="40% - Accent2 2 3 2 2 3" xfId="21532" xr:uid="{6D6EF8DD-FB79-41CD-AFB9-7D8A8CC96589}"/>
    <cellStyle name="40% - Accent2 2 3 2 2 4" xfId="29979" xr:uid="{ADB23D34-2F5C-4A38-9CAA-778A283AE7F6}"/>
    <cellStyle name="40% - Accent2 2 3 2 2 5" xfId="38426" xr:uid="{223871E0-8C58-447D-83B5-88E12E840368}"/>
    <cellStyle name="40% - Accent2 2 3 2 2 6" xfId="12232" xr:uid="{0F30E579-66A9-47EB-A2C7-1AE582021B59}"/>
    <cellStyle name="40% - Accent2 2 3 2 3" xfId="4978" xr:uid="{00000000-0005-0000-0000-00008F040000}"/>
    <cellStyle name="40% - Accent2 2 3 2 3 2" xfId="23604" xr:uid="{CC9D6C1E-90D9-4EA9-8FA0-28AE08DF55C1}"/>
    <cellStyle name="40% - Accent2 2 3 2 3 3" xfId="32051" xr:uid="{420EC1E3-D655-44E1-8BFA-746E8D22353E}"/>
    <cellStyle name="40% - Accent2 2 3 2 3 4" xfId="40498" xr:uid="{C09853C6-B8A5-41F1-AB48-93D739F1823E}"/>
    <cellStyle name="40% - Accent2 2 3 2 3 5" xfId="14304" xr:uid="{9DDD4923-F046-4ECC-B783-8EC14827694D}"/>
    <cellStyle name="40% - Accent2 2 3 2 4" xfId="9431" xr:uid="{BD4E3561-302E-4359-AAF3-4F2E007BC697}"/>
    <cellStyle name="40% - Accent2 2 3 2 4 2" xfId="18747" xr:uid="{B9B28F47-226B-4837-BB84-3123A217AC8D}"/>
    <cellStyle name="40% - Accent2 2 3 2 5" xfId="19387" xr:uid="{DC5F39DB-F676-454F-B4CA-DB6AFA7A2289}"/>
    <cellStyle name="40% - Accent2 2 3 2 6" xfId="27834" xr:uid="{1F89D651-6ACA-4B41-8B44-7D212DC3F8AB}"/>
    <cellStyle name="40% - Accent2 2 3 2 7" xfId="36281" xr:uid="{C66FE754-4CE0-4EB6-A1E7-BABDBFAFBA87}"/>
    <cellStyle name="40% - Accent2 2 3 2 8" xfId="10087" xr:uid="{9A2A86AD-C7EB-4992-B1EE-CE64302D7233}"/>
    <cellStyle name="40% - Accent2 2 3 3" xfId="1083" xr:uid="{00000000-0005-0000-0000-000090040000}"/>
    <cellStyle name="40% - Accent2 2 3 3 2" xfId="3314" xr:uid="{00000000-0005-0000-0000-000091040000}"/>
    <cellStyle name="40% - Accent2 2 3 3 2 2" xfId="7536" xr:uid="{00000000-0005-0000-0000-000092040000}"/>
    <cellStyle name="40% - Accent2 2 3 3 2 2 2" xfId="26162" xr:uid="{30401B1F-4CEB-4707-8D6D-F9E914941BD7}"/>
    <cellStyle name="40% - Accent2 2 3 3 2 2 3" xfId="34609" xr:uid="{DEDD6426-9450-41A1-8F48-B85C6C4F7A99}"/>
    <cellStyle name="40% - Accent2 2 3 3 2 2 4" xfId="43056" xr:uid="{15BBB945-4197-496E-A5CD-388DCACD0537}"/>
    <cellStyle name="40% - Accent2 2 3 3 2 2 5" xfId="16862" xr:uid="{9976F9E5-A200-4403-AFF3-15E779AC145E}"/>
    <cellStyle name="40% - Accent2 2 3 3 2 3" xfId="21945" xr:uid="{3E41C2A1-9952-4ABC-AE10-9FDDE96D6919}"/>
    <cellStyle name="40% - Accent2 2 3 3 2 4" xfId="30392" xr:uid="{369A2383-6544-4D52-BDCB-D89D33B271CF}"/>
    <cellStyle name="40% - Accent2 2 3 3 2 5" xfId="38839" xr:uid="{19CC664E-849F-4A25-9E3C-ECB3A3EAA06F}"/>
    <cellStyle name="40% - Accent2 2 3 3 2 6" xfId="12645" xr:uid="{6F4B0AF9-787E-412D-8764-59C0485802D3}"/>
    <cellStyle name="40% - Accent2 2 3 3 3" xfId="5391" xr:uid="{00000000-0005-0000-0000-000093040000}"/>
    <cellStyle name="40% - Accent2 2 3 3 3 2" xfId="24017" xr:uid="{D81794C4-D345-457C-AE2E-9E43D4B91E73}"/>
    <cellStyle name="40% - Accent2 2 3 3 3 3" xfId="32464" xr:uid="{50202EFE-8465-486E-8588-574923FAD012}"/>
    <cellStyle name="40% - Accent2 2 3 3 3 4" xfId="40911" xr:uid="{835D3165-6E37-450D-BE74-6F5F9B809B1C}"/>
    <cellStyle name="40% - Accent2 2 3 3 3 5" xfId="14717" xr:uid="{E3BCCACE-6AA9-46FF-8C00-D3AD93996B5C}"/>
    <cellStyle name="40% - Accent2 2 3 3 4" xfId="19800" xr:uid="{C3777F63-19EB-4145-8370-C66D6C79899E}"/>
    <cellStyle name="40% - Accent2 2 3 3 5" xfId="28247" xr:uid="{516CD774-B1AF-406A-BDF2-FA26671FAEA4}"/>
    <cellStyle name="40% - Accent2 2 3 3 6" xfId="36694" xr:uid="{5CF86DB5-2EA8-42CC-A85D-7FD3912E853D}"/>
    <cellStyle name="40% - Accent2 2 3 3 7" xfId="10500" xr:uid="{1844D424-FAFF-458C-B3E6-A07C418945A3}"/>
    <cellStyle name="40% - Accent2 2 3 4" xfId="1497" xr:uid="{00000000-0005-0000-0000-000094040000}"/>
    <cellStyle name="40% - Accent2 2 3 4 2" xfId="3727" xr:uid="{00000000-0005-0000-0000-000095040000}"/>
    <cellStyle name="40% - Accent2 2 3 4 2 2" xfId="7949" xr:uid="{00000000-0005-0000-0000-000096040000}"/>
    <cellStyle name="40% - Accent2 2 3 4 2 2 2" xfId="26575" xr:uid="{512F0DA3-5C8C-4101-B51B-07F67869B5B6}"/>
    <cellStyle name="40% - Accent2 2 3 4 2 2 3" xfId="35022" xr:uid="{02E84576-0C80-4DFC-BA51-A83AEC066CF2}"/>
    <cellStyle name="40% - Accent2 2 3 4 2 2 4" xfId="43469" xr:uid="{03E8E5CA-0519-4275-B3C7-E2BA82918C93}"/>
    <cellStyle name="40% - Accent2 2 3 4 2 2 5" xfId="17275" xr:uid="{3C42006E-300E-43B9-A57F-DB272D588833}"/>
    <cellStyle name="40% - Accent2 2 3 4 2 3" xfId="22358" xr:uid="{43C0E267-C16D-432E-A7E4-39851A57290B}"/>
    <cellStyle name="40% - Accent2 2 3 4 2 4" xfId="30805" xr:uid="{8F36E217-18C3-485A-9501-E7998DD9CBDB}"/>
    <cellStyle name="40% - Accent2 2 3 4 2 5" xfId="39252" xr:uid="{70262416-6F14-4C7F-B3D3-01B30D72AB96}"/>
    <cellStyle name="40% - Accent2 2 3 4 2 6" xfId="13058" xr:uid="{E978DF70-453D-4AAA-88DF-62D7534FA0F3}"/>
    <cellStyle name="40% - Accent2 2 3 4 3" xfId="5804" xr:uid="{00000000-0005-0000-0000-000097040000}"/>
    <cellStyle name="40% - Accent2 2 3 4 3 2" xfId="24430" xr:uid="{369D2EAA-BF4D-4E7E-BDB8-D0C09BBC5C87}"/>
    <cellStyle name="40% - Accent2 2 3 4 3 3" xfId="32877" xr:uid="{814C29B0-808D-458C-AA57-2F85755708B1}"/>
    <cellStyle name="40% - Accent2 2 3 4 3 4" xfId="41324" xr:uid="{39B5960E-40A8-4E14-AE76-F34F2A24B10D}"/>
    <cellStyle name="40% - Accent2 2 3 4 3 5" xfId="15130" xr:uid="{38774E77-13AA-4D76-9A93-878F734B5A52}"/>
    <cellStyle name="40% - Accent2 2 3 4 4" xfId="20213" xr:uid="{0F411C00-79A2-4858-9CC7-17F67099CC98}"/>
    <cellStyle name="40% - Accent2 2 3 4 5" xfId="28660" xr:uid="{26731BCC-FEF2-413A-93DB-128244D1C843}"/>
    <cellStyle name="40% - Accent2 2 3 4 6" xfId="37107" xr:uid="{A5A2FBB6-0D0B-49B2-9AE9-200C5945497B}"/>
    <cellStyle name="40% - Accent2 2 3 4 7" xfId="10913" xr:uid="{A87EF722-604E-46CC-B560-C8B373884F31}"/>
    <cellStyle name="40% - Accent2 2 3 5" xfId="1911" xr:uid="{00000000-0005-0000-0000-000098040000}"/>
    <cellStyle name="40% - Accent2 2 3 5 2" xfId="4140" xr:uid="{00000000-0005-0000-0000-000099040000}"/>
    <cellStyle name="40% - Accent2 2 3 5 2 2" xfId="8362" xr:uid="{00000000-0005-0000-0000-00009A040000}"/>
    <cellStyle name="40% - Accent2 2 3 5 2 2 2" xfId="26988" xr:uid="{30E6E3EB-EA50-4732-8234-603171943120}"/>
    <cellStyle name="40% - Accent2 2 3 5 2 2 3" xfId="35435" xr:uid="{BBA12F4C-58EF-4AF0-8A00-F982D9EFF56A}"/>
    <cellStyle name="40% - Accent2 2 3 5 2 2 4" xfId="43882" xr:uid="{8C1880E0-1296-4525-8C82-97AFFDA985ED}"/>
    <cellStyle name="40% - Accent2 2 3 5 2 2 5" xfId="17688" xr:uid="{C12EE55F-5EF6-474C-8EB4-C827A6CDC82E}"/>
    <cellStyle name="40% - Accent2 2 3 5 2 3" xfId="22771" xr:uid="{A02D9CF5-E4FD-45F1-B6F8-2A2E2DCE8C74}"/>
    <cellStyle name="40% - Accent2 2 3 5 2 4" xfId="31218" xr:uid="{B2E78B0C-74DD-4306-9713-5D59BDBFF9C5}"/>
    <cellStyle name="40% - Accent2 2 3 5 2 5" xfId="39665" xr:uid="{F5BA26FC-5EDA-41AE-88B4-5B3B9A1C5AE2}"/>
    <cellStyle name="40% - Accent2 2 3 5 2 6" xfId="13471" xr:uid="{93C2AC91-F6E7-4FCF-8B55-28E25485DD1F}"/>
    <cellStyle name="40% - Accent2 2 3 5 3" xfId="6217" xr:uid="{00000000-0005-0000-0000-00009B040000}"/>
    <cellStyle name="40% - Accent2 2 3 5 3 2" xfId="24843" xr:uid="{CD9B3EEF-D22C-413F-BD02-8745719AEC0A}"/>
    <cellStyle name="40% - Accent2 2 3 5 3 3" xfId="33290" xr:uid="{3871C9F3-94E7-4D10-8B6B-80CC79FD4D68}"/>
    <cellStyle name="40% - Accent2 2 3 5 3 4" xfId="41737" xr:uid="{8AC05385-914C-4A16-9AFC-DCADBFC0619D}"/>
    <cellStyle name="40% - Accent2 2 3 5 3 5" xfId="15543" xr:uid="{6FBA2811-A6DC-49E5-AA16-7F002780DB29}"/>
    <cellStyle name="40% - Accent2 2 3 5 4" xfId="20626" xr:uid="{72DB7501-9FC8-4A1B-8AF9-F90F5023DC28}"/>
    <cellStyle name="40% - Accent2 2 3 5 5" xfId="29073" xr:uid="{C27C08B6-FD57-4EB5-8EC5-ED07C8B6AF94}"/>
    <cellStyle name="40% - Accent2 2 3 5 6" xfId="37520" xr:uid="{F6E03906-66D9-46E5-BB3F-A59060ADE50F}"/>
    <cellStyle name="40% - Accent2 2 3 5 7" xfId="11326" xr:uid="{B51C3AD9-3A63-43E1-8D5E-AA1043E3B5CE}"/>
    <cellStyle name="40% - Accent2 2 3 6" xfId="2324" xr:uid="{00000000-0005-0000-0000-00009C040000}"/>
    <cellStyle name="40% - Accent2 2 3 6 2" xfId="6630" xr:uid="{00000000-0005-0000-0000-00009D040000}"/>
    <cellStyle name="40% - Accent2 2 3 6 2 2" xfId="25256" xr:uid="{761BB3F7-CDD8-4F21-8D02-BEA95ABF845A}"/>
    <cellStyle name="40% - Accent2 2 3 6 2 3" xfId="33703" xr:uid="{082A2277-3142-4576-8F04-2648FDC4D141}"/>
    <cellStyle name="40% - Accent2 2 3 6 2 4" xfId="42150" xr:uid="{917CBD1F-FEEB-4771-B8FB-35A89F2AEDF1}"/>
    <cellStyle name="40% - Accent2 2 3 6 2 5" xfId="15956" xr:uid="{6B801783-2554-431B-B5AC-BD12EB727D3C}"/>
    <cellStyle name="40% - Accent2 2 3 6 3" xfId="21039" xr:uid="{783E1D29-E899-4DEB-A95F-1BE56C330EB1}"/>
    <cellStyle name="40% - Accent2 2 3 6 4" xfId="29486" xr:uid="{A080D31B-57DF-4452-8AC4-03710AECA73E}"/>
    <cellStyle name="40% - Accent2 2 3 6 5" xfId="37933" xr:uid="{904190F4-67BB-4750-8D16-FD9D8CE1BDFB}"/>
    <cellStyle name="40% - Accent2 2 3 6 6" xfId="11739" xr:uid="{1DB2152C-F001-4163-B7AD-EE464D191985}"/>
    <cellStyle name="40% - Accent2 2 3 7" xfId="4564" xr:uid="{00000000-0005-0000-0000-00009E040000}"/>
    <cellStyle name="40% - Accent2 2 3 7 2" xfId="23190" xr:uid="{97A8B2A4-6A25-4CBA-9CBA-935B8D580C75}"/>
    <cellStyle name="40% - Accent2 2 3 7 3" xfId="31637" xr:uid="{78C0114C-E101-4D7E-94A2-B2A2647BA30E}"/>
    <cellStyle name="40% - Accent2 2 3 7 4" xfId="40084" xr:uid="{051CF049-318A-4C57-BA22-C8CCCBFD5C85}"/>
    <cellStyle name="40% - Accent2 2 3 7 5" xfId="13890" xr:uid="{18B3D8B4-4EBD-4A2F-8676-0ACA9793100A}"/>
    <cellStyle name="40% - Accent2 2 3 8" xfId="9006" xr:uid="{E6E89EA5-B76F-4FCC-89B9-DD4135B6364B}"/>
    <cellStyle name="40% - Accent2 2 3 8 2" xfId="18330" xr:uid="{E6E4F63C-EEB6-4F4B-A55C-DC044A082E74}"/>
    <cellStyle name="40% - Accent2 2 3 9" xfId="18973" xr:uid="{99B2B951-6725-4833-953B-6B35571E0A33}"/>
    <cellStyle name="40% - Accent2 2 4" xfId="627" xr:uid="{00000000-0005-0000-0000-00009F040000}"/>
    <cellStyle name="40% - Accent2 2 4 2" xfId="2898" xr:uid="{00000000-0005-0000-0000-0000A0040000}"/>
    <cellStyle name="40% - Accent2 2 4 2 2" xfId="7120" xr:uid="{00000000-0005-0000-0000-0000A1040000}"/>
    <cellStyle name="40% - Accent2 2 4 2 2 2" xfId="25746" xr:uid="{CD15B3AD-B4B0-4830-B5E4-157CF8994770}"/>
    <cellStyle name="40% - Accent2 2 4 2 2 3" xfId="34193" xr:uid="{698778A5-B0ED-4474-8833-E666112298C2}"/>
    <cellStyle name="40% - Accent2 2 4 2 2 4" xfId="42640" xr:uid="{19C38C68-4AF2-4D37-A790-229D6D471B6B}"/>
    <cellStyle name="40% - Accent2 2 4 2 2 5" xfId="16446" xr:uid="{ECABFFA8-049B-40F7-92CF-6AEC1C356255}"/>
    <cellStyle name="40% - Accent2 2 4 2 3" xfId="21529" xr:uid="{AC272094-DBEF-4655-BA9D-4940AB86BB57}"/>
    <cellStyle name="40% - Accent2 2 4 2 4" xfId="29976" xr:uid="{CB715DC0-F30F-4271-826E-1185D08D90A4}"/>
    <cellStyle name="40% - Accent2 2 4 2 5" xfId="38423" xr:uid="{CB907B9D-ACFD-49B7-ABD3-8EC7DDF17198}"/>
    <cellStyle name="40% - Accent2 2 4 2 6" xfId="12229" xr:uid="{7EA59C3D-3C7F-4DF2-9A79-AC8EB9C7C4E4}"/>
    <cellStyle name="40% - Accent2 2 4 3" xfId="4975" xr:uid="{00000000-0005-0000-0000-0000A2040000}"/>
    <cellStyle name="40% - Accent2 2 4 3 2" xfId="23601" xr:uid="{662AE31A-A566-4E03-95DF-DB14FA5C6266}"/>
    <cellStyle name="40% - Accent2 2 4 3 3" xfId="32048" xr:uid="{4BCC8A52-0DC1-4769-9D38-F7EE249F7A03}"/>
    <cellStyle name="40% - Accent2 2 4 3 4" xfId="40495" xr:uid="{E7935067-2F55-4649-85D9-6ABD25DC640B}"/>
    <cellStyle name="40% - Accent2 2 4 3 5" xfId="14301" xr:uid="{EF8D6C04-603A-4BEB-B5CF-E6EC43C058D3}"/>
    <cellStyle name="40% - Accent2 2 4 4" xfId="9223" xr:uid="{FA9890B4-781A-4E4C-81EE-BC7448559828}"/>
    <cellStyle name="40% - Accent2 2 4 4 2" xfId="18540" xr:uid="{8FFDE638-55D0-4094-AE00-6D7D66A86284}"/>
    <cellStyle name="40% - Accent2 2 4 5" xfId="19384" xr:uid="{13EF833F-9D5E-4455-98A5-A83728D46844}"/>
    <cellStyle name="40% - Accent2 2 4 6" xfId="27831" xr:uid="{C2D7AE6F-3718-4D23-9A8A-9FD62641193F}"/>
    <cellStyle name="40% - Accent2 2 4 7" xfId="36278" xr:uid="{8C434B86-E93C-401E-9492-9E0A3A6C84DD}"/>
    <cellStyle name="40% - Accent2 2 4 8" xfId="10084" xr:uid="{989E29F2-AB1C-4B57-90EE-97DFBA9EE928}"/>
    <cellStyle name="40% - Accent2 2 5" xfId="1080" xr:uid="{00000000-0005-0000-0000-0000A3040000}"/>
    <cellStyle name="40% - Accent2 2 5 2" xfId="3311" xr:uid="{00000000-0005-0000-0000-0000A4040000}"/>
    <cellStyle name="40% - Accent2 2 5 2 2" xfId="7533" xr:uid="{00000000-0005-0000-0000-0000A5040000}"/>
    <cellStyle name="40% - Accent2 2 5 2 2 2" xfId="26159" xr:uid="{F213ADDB-793E-4178-855C-2AFCD5A59235}"/>
    <cellStyle name="40% - Accent2 2 5 2 2 3" xfId="34606" xr:uid="{85F5EF4F-C84B-419B-8AAC-C36CE4E6118A}"/>
    <cellStyle name="40% - Accent2 2 5 2 2 4" xfId="43053" xr:uid="{EFD86561-D7A8-44BF-AF8D-272064397A48}"/>
    <cellStyle name="40% - Accent2 2 5 2 2 5" xfId="16859" xr:uid="{3A29348A-BF92-4B12-9568-F099F2EC6EE8}"/>
    <cellStyle name="40% - Accent2 2 5 2 3" xfId="21942" xr:uid="{569625C8-945E-44B9-A0E9-F256C74141C8}"/>
    <cellStyle name="40% - Accent2 2 5 2 4" xfId="30389" xr:uid="{23285EF8-0258-4D53-81CD-C9677E0A3369}"/>
    <cellStyle name="40% - Accent2 2 5 2 5" xfId="38836" xr:uid="{D57E5179-BF51-4CCE-A175-AE4D30DCFF2D}"/>
    <cellStyle name="40% - Accent2 2 5 2 6" xfId="12642" xr:uid="{71B94D01-7C2E-446F-B522-90BFD9E3A100}"/>
    <cellStyle name="40% - Accent2 2 5 3" xfId="5388" xr:uid="{00000000-0005-0000-0000-0000A6040000}"/>
    <cellStyle name="40% - Accent2 2 5 3 2" xfId="24014" xr:uid="{E361675F-DA2E-4A57-853F-EEC682E9C020}"/>
    <cellStyle name="40% - Accent2 2 5 3 3" xfId="32461" xr:uid="{487628C2-0EC0-4811-BCCE-7C592C85C25E}"/>
    <cellStyle name="40% - Accent2 2 5 3 4" xfId="40908" xr:uid="{A3905E1C-FCDF-4F78-84FE-BE5D3D4DBD5D}"/>
    <cellStyle name="40% - Accent2 2 5 3 5" xfId="14714" xr:uid="{5B1A3980-BD20-4C9A-9F1B-714435A3EAC4}"/>
    <cellStyle name="40% - Accent2 2 5 4" xfId="19797" xr:uid="{266E435C-762B-4957-AE05-93042B55FC24}"/>
    <cellStyle name="40% - Accent2 2 5 5" xfId="28244" xr:uid="{38C79D50-F7C0-46BF-9582-8BA57C616549}"/>
    <cellStyle name="40% - Accent2 2 5 6" xfId="36691" xr:uid="{3D807A3F-11B6-4B53-A967-94269401440E}"/>
    <cellStyle name="40% - Accent2 2 5 7" xfId="10497" xr:uid="{E70DBE77-DE1D-44F9-B7A0-994CB020C551}"/>
    <cellStyle name="40% - Accent2 2 6" xfId="1494" xr:uid="{00000000-0005-0000-0000-0000A7040000}"/>
    <cellStyle name="40% - Accent2 2 6 2" xfId="3724" xr:uid="{00000000-0005-0000-0000-0000A8040000}"/>
    <cellStyle name="40% - Accent2 2 6 2 2" xfId="7946" xr:uid="{00000000-0005-0000-0000-0000A9040000}"/>
    <cellStyle name="40% - Accent2 2 6 2 2 2" xfId="26572" xr:uid="{ADABDFE6-FFA2-45EB-80B7-CB274D193F91}"/>
    <cellStyle name="40% - Accent2 2 6 2 2 3" xfId="35019" xr:uid="{BF74451D-A371-4F76-B5B5-BB167FC1442C}"/>
    <cellStyle name="40% - Accent2 2 6 2 2 4" xfId="43466" xr:uid="{EBE2FCC9-CB22-4AE6-831F-6666F502B14D}"/>
    <cellStyle name="40% - Accent2 2 6 2 2 5" xfId="17272" xr:uid="{53B9C943-3409-4CC6-A04B-B270C97F7E3C}"/>
    <cellStyle name="40% - Accent2 2 6 2 3" xfId="22355" xr:uid="{810C2EC9-8184-4202-8020-7DF079A70F7D}"/>
    <cellStyle name="40% - Accent2 2 6 2 4" xfId="30802" xr:uid="{EA45D306-02F5-4E5D-940E-8F53889463F7}"/>
    <cellStyle name="40% - Accent2 2 6 2 5" xfId="39249" xr:uid="{A8B8AC1D-1597-4C5B-B790-117FC9256DC7}"/>
    <cellStyle name="40% - Accent2 2 6 2 6" xfId="13055" xr:uid="{E82671C7-4C18-4ABD-BE10-3B48EFEE1792}"/>
    <cellStyle name="40% - Accent2 2 6 3" xfId="5801" xr:uid="{00000000-0005-0000-0000-0000AA040000}"/>
    <cellStyle name="40% - Accent2 2 6 3 2" xfId="24427" xr:uid="{7F164D96-166A-4FDB-8896-067FFE0EE688}"/>
    <cellStyle name="40% - Accent2 2 6 3 3" xfId="32874" xr:uid="{5A989BC9-D27C-4FDF-A3ED-74F65407FC77}"/>
    <cellStyle name="40% - Accent2 2 6 3 4" xfId="41321" xr:uid="{FEDCBC55-3808-4063-B237-E1C70A7BF8CA}"/>
    <cellStyle name="40% - Accent2 2 6 3 5" xfId="15127" xr:uid="{11E001F5-1A2F-4C38-AEA0-C28A107F66DC}"/>
    <cellStyle name="40% - Accent2 2 6 4" xfId="20210" xr:uid="{AC39DBDE-67CA-49E7-AD68-1C7BB8B09337}"/>
    <cellStyle name="40% - Accent2 2 6 5" xfId="28657" xr:uid="{C7ED534A-2BD7-46CB-905B-E8B537E21701}"/>
    <cellStyle name="40% - Accent2 2 6 6" xfId="37104" xr:uid="{5B92E1C8-2EE0-40F1-A448-3B93CBB8DBBA}"/>
    <cellStyle name="40% - Accent2 2 6 7" xfId="10910" xr:uid="{206E0912-EF61-4375-A870-DD6EA1E05BD2}"/>
    <cellStyle name="40% - Accent2 2 7" xfId="1908" xr:uid="{00000000-0005-0000-0000-0000AB040000}"/>
    <cellStyle name="40% - Accent2 2 7 2" xfId="4137" xr:uid="{00000000-0005-0000-0000-0000AC040000}"/>
    <cellStyle name="40% - Accent2 2 7 2 2" xfId="8359" xr:uid="{00000000-0005-0000-0000-0000AD040000}"/>
    <cellStyle name="40% - Accent2 2 7 2 2 2" xfId="26985" xr:uid="{C3C0A000-3620-4AA1-88EA-AD91AEB8D5A2}"/>
    <cellStyle name="40% - Accent2 2 7 2 2 3" xfId="35432" xr:uid="{54B0ABB2-603E-4516-A576-31BDCC3048D5}"/>
    <cellStyle name="40% - Accent2 2 7 2 2 4" xfId="43879" xr:uid="{03859F3D-BED8-4C3B-AE73-2667C445829F}"/>
    <cellStyle name="40% - Accent2 2 7 2 2 5" xfId="17685" xr:uid="{2FCFD491-61E7-4BCF-A197-45949A486BEA}"/>
    <cellStyle name="40% - Accent2 2 7 2 3" xfId="22768" xr:uid="{22B8EA36-4B51-4B3B-BD33-C4F4BCEDEB87}"/>
    <cellStyle name="40% - Accent2 2 7 2 4" xfId="31215" xr:uid="{B519901E-11C5-466B-BA30-9B806D95F32E}"/>
    <cellStyle name="40% - Accent2 2 7 2 5" xfId="39662" xr:uid="{D285D53F-BA0C-4037-AA6A-5FD864341CA2}"/>
    <cellStyle name="40% - Accent2 2 7 2 6" xfId="13468" xr:uid="{1A7EB323-13B6-4DB1-99C9-7D9AEA6362AA}"/>
    <cellStyle name="40% - Accent2 2 7 3" xfId="6214" xr:uid="{00000000-0005-0000-0000-0000AE040000}"/>
    <cellStyle name="40% - Accent2 2 7 3 2" xfId="24840" xr:uid="{4E49BCF3-99E2-467D-93F4-0CF8944F96FF}"/>
    <cellStyle name="40% - Accent2 2 7 3 3" xfId="33287" xr:uid="{02076EA7-4A75-40B1-83CC-FA5F595CF86C}"/>
    <cellStyle name="40% - Accent2 2 7 3 4" xfId="41734" xr:uid="{667D98D7-CDDE-4112-B4AC-95B1D93EEDD4}"/>
    <cellStyle name="40% - Accent2 2 7 3 5" xfId="15540" xr:uid="{5753E87E-3B0C-4B31-9126-C6B48CA7D557}"/>
    <cellStyle name="40% - Accent2 2 7 4" xfId="20623" xr:uid="{9DC62ECA-6A8E-4E87-9078-2AEE9AFE3D2D}"/>
    <cellStyle name="40% - Accent2 2 7 5" xfId="29070" xr:uid="{0E42FAB1-BD78-42E1-81C0-6FB534B9B42B}"/>
    <cellStyle name="40% - Accent2 2 7 6" xfId="37517" xr:uid="{57055752-C13D-44CA-BACB-74CC53F13953}"/>
    <cellStyle name="40% - Accent2 2 7 7" xfId="11323" xr:uid="{ECC2060F-FD45-471F-8C0B-D0D9466B2A5A}"/>
    <cellStyle name="40% - Accent2 2 8" xfId="2321" xr:uid="{00000000-0005-0000-0000-0000AF040000}"/>
    <cellStyle name="40% - Accent2 2 8 2" xfId="6627" xr:uid="{00000000-0005-0000-0000-0000B0040000}"/>
    <cellStyle name="40% - Accent2 2 8 2 2" xfId="25253" xr:uid="{ED1E1828-5919-4AEC-AF3C-415A3AE77A0C}"/>
    <cellStyle name="40% - Accent2 2 8 2 3" xfId="33700" xr:uid="{A23E96EC-49AD-406C-B7CC-E9E4CE2BA15C}"/>
    <cellStyle name="40% - Accent2 2 8 2 4" xfId="42147" xr:uid="{2B07C56B-574A-4C66-B07E-1101EB3B50FB}"/>
    <cellStyle name="40% - Accent2 2 8 2 5" xfId="15953" xr:uid="{67DCFD30-F88E-4194-9759-417439E20E08}"/>
    <cellStyle name="40% - Accent2 2 8 3" xfId="21036" xr:uid="{39815EA1-2A32-4B47-B298-EEA734FF6FD7}"/>
    <cellStyle name="40% - Accent2 2 8 4" xfId="29483" xr:uid="{625E3310-E280-4A80-847C-A3D963260AFB}"/>
    <cellStyle name="40% - Accent2 2 8 5" xfId="37930" xr:uid="{C6758396-8217-44B1-A07C-44D0E13B8686}"/>
    <cellStyle name="40% - Accent2 2 8 6" xfId="11736" xr:uid="{ECE92D72-90BF-4BC4-9BE1-EF09F745CE88}"/>
    <cellStyle name="40% - Accent2 2 9" xfId="4561" xr:uid="{00000000-0005-0000-0000-0000B1040000}"/>
    <cellStyle name="40% - Accent2 2 9 2" xfId="23187" xr:uid="{4B2DCA4D-2AD9-44E2-BA73-2DD6C8E67927}"/>
    <cellStyle name="40% - Accent2 2 9 3" xfId="31634" xr:uid="{9115D4A5-9175-4110-AE49-5656E11A3644}"/>
    <cellStyle name="40% - Accent2 2 9 4" xfId="40081" xr:uid="{79BE4F64-E4BE-4B11-B58C-4C5763D95EF0}"/>
    <cellStyle name="40% - Accent2 2 9 5" xfId="13887" xr:uid="{A7C4721F-7602-48DB-B363-6140F22EDF84}"/>
    <cellStyle name="40% - Accent2 3" xfId="62" xr:uid="{00000000-0005-0000-0000-0000B2040000}"/>
    <cellStyle name="40% - Accent2 3 10" xfId="18974" xr:uid="{B8617055-877F-4AC4-BA93-4B45F16A39F2}"/>
    <cellStyle name="40% - Accent2 3 11" xfId="27421" xr:uid="{D41FB596-6F6A-4290-95EB-89273AA7763E}"/>
    <cellStyle name="40% - Accent2 3 12" xfId="35868" xr:uid="{50245026-AF0C-4986-ABE9-08CC2B1D9A8E}"/>
    <cellStyle name="40% - Accent2 3 13" xfId="9674" xr:uid="{A8871A60-4C99-4F18-A416-8AC705FEDF35}"/>
    <cellStyle name="40% - Accent2 3 2" xfId="63" xr:uid="{00000000-0005-0000-0000-0000B3040000}"/>
    <cellStyle name="40% - Accent2 3 2 10" xfId="27422" xr:uid="{98D2E264-C085-4B2E-A545-2C0D4A746627}"/>
    <cellStyle name="40% - Accent2 3 2 11" xfId="35869" xr:uid="{F8D0A64E-C7BC-46D9-B172-4B2A31795F23}"/>
    <cellStyle name="40% - Accent2 3 2 12" xfId="9675" xr:uid="{51B8EF1C-41C9-4A8F-917C-62B00F0A7CFE}"/>
    <cellStyle name="40% - Accent2 3 2 2" xfId="632" xr:uid="{00000000-0005-0000-0000-0000B4040000}"/>
    <cellStyle name="40% - Accent2 3 2 2 2" xfId="2903" xr:uid="{00000000-0005-0000-0000-0000B5040000}"/>
    <cellStyle name="40% - Accent2 3 2 2 2 2" xfId="7125" xr:uid="{00000000-0005-0000-0000-0000B6040000}"/>
    <cellStyle name="40% - Accent2 3 2 2 2 2 2" xfId="25751" xr:uid="{24434165-DF2E-4D18-AE53-D3DB8008250C}"/>
    <cellStyle name="40% - Accent2 3 2 2 2 2 3" xfId="34198" xr:uid="{B973935B-9234-4958-B690-784613123171}"/>
    <cellStyle name="40% - Accent2 3 2 2 2 2 4" xfId="42645" xr:uid="{A83F953B-7A5C-49CF-B3CF-45E5A97B31E3}"/>
    <cellStyle name="40% - Accent2 3 2 2 2 2 5" xfId="16451" xr:uid="{0B09DCE4-97E9-4671-8D19-FF6651BCB4D8}"/>
    <cellStyle name="40% - Accent2 3 2 2 2 3" xfId="21534" xr:uid="{57E1C047-BE1F-4449-B63A-7E252DE00CC8}"/>
    <cellStyle name="40% - Accent2 3 2 2 2 4" xfId="29981" xr:uid="{ADC7C3CB-EA13-40EC-A5A8-627D87247D33}"/>
    <cellStyle name="40% - Accent2 3 2 2 2 5" xfId="38428" xr:uid="{46A3A605-C15F-45DE-ADFF-C06B79FA34A6}"/>
    <cellStyle name="40% - Accent2 3 2 2 2 6" xfId="12234" xr:uid="{4EBC3E5A-2CA3-4181-8FBF-EE8E8BA1068F}"/>
    <cellStyle name="40% - Accent2 3 2 2 3" xfId="4980" xr:uid="{00000000-0005-0000-0000-0000B7040000}"/>
    <cellStyle name="40% - Accent2 3 2 2 3 2" xfId="23606" xr:uid="{9FDBE82D-7334-431A-BC77-F57B253EB3C1}"/>
    <cellStyle name="40% - Accent2 3 2 2 3 3" xfId="32053" xr:uid="{20BF8997-AF7B-4EBB-A885-9062097925BF}"/>
    <cellStyle name="40% - Accent2 3 2 2 3 4" xfId="40500" xr:uid="{6B8586C7-64EB-484A-B8EB-E625D1487573}"/>
    <cellStyle name="40% - Accent2 3 2 2 3 5" xfId="14306" xr:uid="{11CCDCAE-9C70-4EF9-9940-38F6168A75AA}"/>
    <cellStyle name="40% - Accent2 3 2 2 4" xfId="9496" xr:uid="{700FA1AF-D943-4FDB-BFB1-F903AD1F731A}"/>
    <cellStyle name="40% - Accent2 3 2 2 4 2" xfId="18812" xr:uid="{9E8BEEA6-3ED8-4B44-9BC3-4431EB34893C}"/>
    <cellStyle name="40% - Accent2 3 2 2 5" xfId="19389" xr:uid="{9D336DD0-941F-4CF3-A5D8-9BC81912B61E}"/>
    <cellStyle name="40% - Accent2 3 2 2 6" xfId="27836" xr:uid="{633FA633-641B-4933-93CC-3FF3C430CC7A}"/>
    <cellStyle name="40% - Accent2 3 2 2 7" xfId="36283" xr:uid="{FF6D9D9F-4CE7-4E3E-A173-45D60034E00C}"/>
    <cellStyle name="40% - Accent2 3 2 2 8" xfId="10089" xr:uid="{B1C64B61-8F39-4594-9702-3642129CE814}"/>
    <cellStyle name="40% - Accent2 3 2 3" xfId="1085" xr:uid="{00000000-0005-0000-0000-0000B8040000}"/>
    <cellStyle name="40% - Accent2 3 2 3 2" xfId="3316" xr:uid="{00000000-0005-0000-0000-0000B9040000}"/>
    <cellStyle name="40% - Accent2 3 2 3 2 2" xfId="7538" xr:uid="{00000000-0005-0000-0000-0000BA040000}"/>
    <cellStyle name="40% - Accent2 3 2 3 2 2 2" xfId="26164" xr:uid="{609B9F4E-9562-49EB-94F9-F76D866FD6A2}"/>
    <cellStyle name="40% - Accent2 3 2 3 2 2 3" xfId="34611" xr:uid="{5E65CF67-012A-400E-B664-11BD38E86BD3}"/>
    <cellStyle name="40% - Accent2 3 2 3 2 2 4" xfId="43058" xr:uid="{2C282C3F-1ADB-4395-AF55-29674B276F70}"/>
    <cellStyle name="40% - Accent2 3 2 3 2 2 5" xfId="16864" xr:uid="{CB06690C-FDA4-411D-85BB-5E25CE632743}"/>
    <cellStyle name="40% - Accent2 3 2 3 2 3" xfId="21947" xr:uid="{FCEF46A7-7B86-41B1-AC88-F3F55C2D559B}"/>
    <cellStyle name="40% - Accent2 3 2 3 2 4" xfId="30394" xr:uid="{7D5F7A85-1E97-452E-8878-DEAFBC256DA3}"/>
    <cellStyle name="40% - Accent2 3 2 3 2 5" xfId="38841" xr:uid="{29108592-A985-4C38-ADDF-547ED96094EB}"/>
    <cellStyle name="40% - Accent2 3 2 3 2 6" xfId="12647" xr:uid="{8D9BC8FC-6340-42D9-AE90-8467EFF4043B}"/>
    <cellStyle name="40% - Accent2 3 2 3 3" xfId="5393" xr:uid="{00000000-0005-0000-0000-0000BB040000}"/>
    <cellStyle name="40% - Accent2 3 2 3 3 2" xfId="24019" xr:uid="{010F1629-6B8C-4731-8819-E681D09A6F16}"/>
    <cellStyle name="40% - Accent2 3 2 3 3 3" xfId="32466" xr:uid="{F9826411-B2B7-4367-8D44-8F6B744505A5}"/>
    <cellStyle name="40% - Accent2 3 2 3 3 4" xfId="40913" xr:uid="{16A3EFE3-AF66-41B6-8598-73D32BAF88D3}"/>
    <cellStyle name="40% - Accent2 3 2 3 3 5" xfId="14719" xr:uid="{1E3F745C-EFCE-4AD0-BF3A-5067B303DFE5}"/>
    <cellStyle name="40% - Accent2 3 2 3 4" xfId="19802" xr:uid="{0210D83A-1EE6-4EDC-8189-0358DCD520AF}"/>
    <cellStyle name="40% - Accent2 3 2 3 5" xfId="28249" xr:uid="{877FD725-097F-4E00-87E9-CA301F6C38E1}"/>
    <cellStyle name="40% - Accent2 3 2 3 6" xfId="36696" xr:uid="{F3A03305-2CBC-4701-86A6-02A096566213}"/>
    <cellStyle name="40% - Accent2 3 2 3 7" xfId="10502" xr:uid="{AAD4E7F2-AC9F-4E17-80AC-D6F1F754D9B6}"/>
    <cellStyle name="40% - Accent2 3 2 4" xfId="1499" xr:uid="{00000000-0005-0000-0000-0000BC040000}"/>
    <cellStyle name="40% - Accent2 3 2 4 2" xfId="3729" xr:uid="{00000000-0005-0000-0000-0000BD040000}"/>
    <cellStyle name="40% - Accent2 3 2 4 2 2" xfId="7951" xr:uid="{00000000-0005-0000-0000-0000BE040000}"/>
    <cellStyle name="40% - Accent2 3 2 4 2 2 2" xfId="26577" xr:uid="{935F0DC9-EE58-4910-A5D1-9CA5E7097697}"/>
    <cellStyle name="40% - Accent2 3 2 4 2 2 3" xfId="35024" xr:uid="{46116222-F005-490F-BC14-4D431A65FF6E}"/>
    <cellStyle name="40% - Accent2 3 2 4 2 2 4" xfId="43471" xr:uid="{993FE672-2D03-40DA-9B37-85EA67C6267E}"/>
    <cellStyle name="40% - Accent2 3 2 4 2 2 5" xfId="17277" xr:uid="{FE4BE906-0BAA-44FA-8900-FBDA91B08E99}"/>
    <cellStyle name="40% - Accent2 3 2 4 2 3" xfId="22360" xr:uid="{8A2123FF-AB2E-4D91-9DD8-89EE806218F1}"/>
    <cellStyle name="40% - Accent2 3 2 4 2 4" xfId="30807" xr:uid="{06228953-876F-4B66-904B-3A2BD7119A87}"/>
    <cellStyle name="40% - Accent2 3 2 4 2 5" xfId="39254" xr:uid="{29147EFF-646B-455B-B814-0DBD015D8433}"/>
    <cellStyle name="40% - Accent2 3 2 4 2 6" xfId="13060" xr:uid="{A28D5883-5D4D-49BB-9EAF-D3A187E1000D}"/>
    <cellStyle name="40% - Accent2 3 2 4 3" xfId="5806" xr:uid="{00000000-0005-0000-0000-0000BF040000}"/>
    <cellStyle name="40% - Accent2 3 2 4 3 2" xfId="24432" xr:uid="{DC0A5304-937A-4CEA-ABD1-420E4CF687B0}"/>
    <cellStyle name="40% - Accent2 3 2 4 3 3" xfId="32879" xr:uid="{448946C5-F4AE-4031-83B0-D43A3AD5D62B}"/>
    <cellStyle name="40% - Accent2 3 2 4 3 4" xfId="41326" xr:uid="{06960606-2D81-487D-BAF4-D8261599CF8B}"/>
    <cellStyle name="40% - Accent2 3 2 4 3 5" xfId="15132" xr:uid="{43A0C8FF-025D-41AD-AAD5-B729562BD7B0}"/>
    <cellStyle name="40% - Accent2 3 2 4 4" xfId="20215" xr:uid="{A747A753-444C-424A-A58D-EC1D7237A695}"/>
    <cellStyle name="40% - Accent2 3 2 4 5" xfId="28662" xr:uid="{CE2C8649-4357-4FC7-A063-8CAC63B7BBC2}"/>
    <cellStyle name="40% - Accent2 3 2 4 6" xfId="37109" xr:uid="{17852BFD-6C25-4C5D-897A-4CC53ACF6AB9}"/>
    <cellStyle name="40% - Accent2 3 2 4 7" xfId="10915" xr:uid="{316CE6AE-884A-4F28-BE29-3F4E2589A2A9}"/>
    <cellStyle name="40% - Accent2 3 2 5" xfId="1913" xr:uid="{00000000-0005-0000-0000-0000C0040000}"/>
    <cellStyle name="40% - Accent2 3 2 5 2" xfId="4142" xr:uid="{00000000-0005-0000-0000-0000C1040000}"/>
    <cellStyle name="40% - Accent2 3 2 5 2 2" xfId="8364" xr:uid="{00000000-0005-0000-0000-0000C2040000}"/>
    <cellStyle name="40% - Accent2 3 2 5 2 2 2" xfId="26990" xr:uid="{743D1A4F-D617-4EA7-A371-EC48268846BB}"/>
    <cellStyle name="40% - Accent2 3 2 5 2 2 3" xfId="35437" xr:uid="{71DF0492-46D1-420F-8877-34ED304CAFEE}"/>
    <cellStyle name="40% - Accent2 3 2 5 2 2 4" xfId="43884" xr:uid="{CAD0FD24-8106-4212-BB39-98F5307A1140}"/>
    <cellStyle name="40% - Accent2 3 2 5 2 2 5" xfId="17690" xr:uid="{5B4408D7-BB18-44C0-A1D7-D309E412907E}"/>
    <cellStyle name="40% - Accent2 3 2 5 2 3" xfId="22773" xr:uid="{5897AC87-8011-4200-8014-E37C18E7B22A}"/>
    <cellStyle name="40% - Accent2 3 2 5 2 4" xfId="31220" xr:uid="{0014206C-7C62-4706-8C46-D29C1744C55E}"/>
    <cellStyle name="40% - Accent2 3 2 5 2 5" xfId="39667" xr:uid="{F30D6C50-35BD-49A8-8288-E85B2D6013B7}"/>
    <cellStyle name="40% - Accent2 3 2 5 2 6" xfId="13473" xr:uid="{233269F1-608A-48AF-894A-217E27DFA5AB}"/>
    <cellStyle name="40% - Accent2 3 2 5 3" xfId="6219" xr:uid="{00000000-0005-0000-0000-0000C3040000}"/>
    <cellStyle name="40% - Accent2 3 2 5 3 2" xfId="24845" xr:uid="{1E1B0C22-4073-49F4-B71C-9E8DA6F49E24}"/>
    <cellStyle name="40% - Accent2 3 2 5 3 3" xfId="33292" xr:uid="{53951AA1-CF12-467D-A59D-DE79785987CF}"/>
    <cellStyle name="40% - Accent2 3 2 5 3 4" xfId="41739" xr:uid="{70F2651D-7322-4CCE-B9C5-14626B33B34F}"/>
    <cellStyle name="40% - Accent2 3 2 5 3 5" xfId="15545" xr:uid="{47F2FC07-5CF8-4230-A9B7-DC7F65DDB02B}"/>
    <cellStyle name="40% - Accent2 3 2 5 4" xfId="20628" xr:uid="{8CAC6353-CB3C-49FE-9DB5-8E1C21508A84}"/>
    <cellStyle name="40% - Accent2 3 2 5 5" xfId="29075" xr:uid="{CE28443E-5524-491B-8FC6-6884048BBED5}"/>
    <cellStyle name="40% - Accent2 3 2 5 6" xfId="37522" xr:uid="{B9242D11-753C-450D-B088-4EDC692AEB53}"/>
    <cellStyle name="40% - Accent2 3 2 5 7" xfId="11328" xr:uid="{7B3E4768-2824-4939-98DA-D962062045C6}"/>
    <cellStyle name="40% - Accent2 3 2 6" xfId="2326" xr:uid="{00000000-0005-0000-0000-0000C4040000}"/>
    <cellStyle name="40% - Accent2 3 2 6 2" xfId="6632" xr:uid="{00000000-0005-0000-0000-0000C5040000}"/>
    <cellStyle name="40% - Accent2 3 2 6 2 2" xfId="25258" xr:uid="{9764983B-913D-4C0D-97D4-BF912ABC5AEA}"/>
    <cellStyle name="40% - Accent2 3 2 6 2 3" xfId="33705" xr:uid="{D7B5B9A4-EA78-43FF-9A51-7940A8EB1096}"/>
    <cellStyle name="40% - Accent2 3 2 6 2 4" xfId="42152" xr:uid="{40AEE332-D6BD-4C41-9298-A87CB5866E19}"/>
    <cellStyle name="40% - Accent2 3 2 6 2 5" xfId="15958" xr:uid="{BD68261D-88C6-4A18-AA68-D52B68B127CA}"/>
    <cellStyle name="40% - Accent2 3 2 6 3" xfId="21041" xr:uid="{1723DAA4-8FF8-4C50-ACF8-D2E428B824EC}"/>
    <cellStyle name="40% - Accent2 3 2 6 4" xfId="29488" xr:uid="{C9F3975A-5D5A-41B4-9EA4-2D999A133F3B}"/>
    <cellStyle name="40% - Accent2 3 2 6 5" xfId="37935" xr:uid="{C2F50600-A460-418F-9755-3F847847E111}"/>
    <cellStyle name="40% - Accent2 3 2 6 6" xfId="11741" xr:uid="{786A81BF-E982-4D83-9DF0-0E1A28D3AB4E}"/>
    <cellStyle name="40% - Accent2 3 2 7" xfId="4566" xr:uid="{00000000-0005-0000-0000-0000C6040000}"/>
    <cellStyle name="40% - Accent2 3 2 7 2" xfId="23192" xr:uid="{8CEACDFC-6A88-4A06-83BB-E2D606C4196F}"/>
    <cellStyle name="40% - Accent2 3 2 7 3" xfId="31639" xr:uid="{B0B0862B-C768-4014-84FE-052C0DEC6CFA}"/>
    <cellStyle name="40% - Accent2 3 2 7 4" xfId="40086" xr:uid="{41176B61-AF01-4580-AACA-C12A7557A834}"/>
    <cellStyle name="40% - Accent2 3 2 7 5" xfId="13892" xr:uid="{4B98D9C0-D0C6-4A1C-9481-FB53CA2C6F05}"/>
    <cellStyle name="40% - Accent2 3 2 8" xfId="9071" xr:uid="{B5463F05-11FC-4377-B380-DDB549C63AA9}"/>
    <cellStyle name="40% - Accent2 3 2 8 2" xfId="18395" xr:uid="{01B3AB40-EF94-4A3E-8B71-D8B431F7913E}"/>
    <cellStyle name="40% - Accent2 3 2 9" xfId="18975" xr:uid="{C9C2082C-1AF2-4AC8-AF24-47E9E1B21512}"/>
    <cellStyle name="40% - Accent2 3 3" xfId="631" xr:uid="{00000000-0005-0000-0000-0000C7040000}"/>
    <cellStyle name="40% - Accent2 3 3 2" xfId="2902" xr:uid="{00000000-0005-0000-0000-0000C8040000}"/>
    <cellStyle name="40% - Accent2 3 3 2 2" xfId="7124" xr:uid="{00000000-0005-0000-0000-0000C9040000}"/>
    <cellStyle name="40% - Accent2 3 3 2 2 2" xfId="25750" xr:uid="{F473716B-22B8-4EDC-9DF5-A7714B644CFD}"/>
    <cellStyle name="40% - Accent2 3 3 2 2 3" xfId="34197" xr:uid="{7D761C97-0EF4-49AE-8467-71289ED8F140}"/>
    <cellStyle name="40% - Accent2 3 3 2 2 4" xfId="42644" xr:uid="{3BBF049C-BF8E-437C-A6E4-12C81CFC3299}"/>
    <cellStyle name="40% - Accent2 3 3 2 2 5" xfId="16450" xr:uid="{3282BA8B-F92B-416D-9C61-84EFDAF46DF2}"/>
    <cellStyle name="40% - Accent2 3 3 2 3" xfId="21533" xr:uid="{A5F6B783-876B-40BD-AA4C-09C38C422CAD}"/>
    <cellStyle name="40% - Accent2 3 3 2 4" xfId="29980" xr:uid="{497CADC9-674A-41F1-9562-AE8F8FF1ECAD}"/>
    <cellStyle name="40% - Accent2 3 3 2 5" xfId="38427" xr:uid="{84C360A3-A67E-4E01-AC9D-CC9E96A40042}"/>
    <cellStyle name="40% - Accent2 3 3 2 6" xfId="12233" xr:uid="{339B1009-7113-42FA-952D-E52596ED90D1}"/>
    <cellStyle name="40% - Accent2 3 3 3" xfId="4979" xr:uid="{00000000-0005-0000-0000-0000CA040000}"/>
    <cellStyle name="40% - Accent2 3 3 3 2" xfId="23605" xr:uid="{8F8CA650-330A-450C-A1B1-1AF3C9F16000}"/>
    <cellStyle name="40% - Accent2 3 3 3 3" xfId="32052" xr:uid="{C6BB1B85-BC5A-448C-81FC-D1C35DD1198A}"/>
    <cellStyle name="40% - Accent2 3 3 3 4" xfId="40499" xr:uid="{7E8F01AF-86F9-4950-AA37-B2C317E35CB4}"/>
    <cellStyle name="40% - Accent2 3 3 3 5" xfId="14305" xr:uid="{47DA2DAE-773A-4BC2-8307-CC1D63618844}"/>
    <cellStyle name="40% - Accent2 3 3 4" xfId="9289" xr:uid="{B234EB9F-4AFE-41A2-A17D-ABC1D0F80875}"/>
    <cellStyle name="40% - Accent2 3 3 4 2" xfId="18605" xr:uid="{AD2862F4-F83E-4F0B-A63F-36CC46D26944}"/>
    <cellStyle name="40% - Accent2 3 3 5" xfId="19388" xr:uid="{EE098912-4F28-4708-A83F-2CB454FE45E0}"/>
    <cellStyle name="40% - Accent2 3 3 6" xfId="27835" xr:uid="{7AF3B276-2A39-4C28-9CF5-6CA6A54AEFD6}"/>
    <cellStyle name="40% - Accent2 3 3 7" xfId="36282" xr:uid="{6C4F1075-5D1D-4BAF-A70D-9D1F7C1247B4}"/>
    <cellStyle name="40% - Accent2 3 3 8" xfId="10088" xr:uid="{4C3CF8E8-9025-4AE9-8D26-A4EADEACE06F}"/>
    <cellStyle name="40% - Accent2 3 4" xfId="1084" xr:uid="{00000000-0005-0000-0000-0000CB040000}"/>
    <cellStyle name="40% - Accent2 3 4 2" xfId="3315" xr:uid="{00000000-0005-0000-0000-0000CC040000}"/>
    <cellStyle name="40% - Accent2 3 4 2 2" xfId="7537" xr:uid="{00000000-0005-0000-0000-0000CD040000}"/>
    <cellStyle name="40% - Accent2 3 4 2 2 2" xfId="26163" xr:uid="{526EBC7F-6CF7-40FE-9340-19EBC3D56EC0}"/>
    <cellStyle name="40% - Accent2 3 4 2 2 3" xfId="34610" xr:uid="{79038292-0902-44C6-BD93-689747C52594}"/>
    <cellStyle name="40% - Accent2 3 4 2 2 4" xfId="43057" xr:uid="{6517EAF3-5A94-41B6-A923-0DF61EF1816E}"/>
    <cellStyle name="40% - Accent2 3 4 2 2 5" xfId="16863" xr:uid="{418CFF89-F604-49DB-8507-1D7E21BADEEA}"/>
    <cellStyle name="40% - Accent2 3 4 2 3" xfId="21946" xr:uid="{4C97A95B-8A65-492C-A2EF-E7577C3EAC1B}"/>
    <cellStyle name="40% - Accent2 3 4 2 4" xfId="30393" xr:uid="{7C7A7516-9E4B-4001-96E8-3A10C82BECE2}"/>
    <cellStyle name="40% - Accent2 3 4 2 5" xfId="38840" xr:uid="{E23DDCC3-43B1-4E65-AF95-9DF384381451}"/>
    <cellStyle name="40% - Accent2 3 4 2 6" xfId="12646" xr:uid="{E270FB1F-DFC9-4A27-ABE8-A880E695ACA8}"/>
    <cellStyle name="40% - Accent2 3 4 3" xfId="5392" xr:uid="{00000000-0005-0000-0000-0000CE040000}"/>
    <cellStyle name="40% - Accent2 3 4 3 2" xfId="24018" xr:uid="{2DE2E12B-EE37-42E5-9E15-D1A0DE32499D}"/>
    <cellStyle name="40% - Accent2 3 4 3 3" xfId="32465" xr:uid="{184B3D2F-BAB5-41CA-B573-3D22D01AF850}"/>
    <cellStyle name="40% - Accent2 3 4 3 4" xfId="40912" xr:uid="{A6635DC3-7E62-446B-A16B-2B3BE636FED0}"/>
    <cellStyle name="40% - Accent2 3 4 3 5" xfId="14718" xr:uid="{253D2A62-9016-4D38-8994-8E2A8E0A823B}"/>
    <cellStyle name="40% - Accent2 3 4 4" xfId="19801" xr:uid="{B53D3440-8D5C-40BF-96E9-946D0C24826B}"/>
    <cellStyle name="40% - Accent2 3 4 5" xfId="28248" xr:uid="{6CBDEA0A-19E8-4A8A-BF79-8595A2BCD9A6}"/>
    <cellStyle name="40% - Accent2 3 4 6" xfId="36695" xr:uid="{2A4591D3-ACD1-46D5-A5AE-F3F3C06F0FDD}"/>
    <cellStyle name="40% - Accent2 3 4 7" xfId="10501" xr:uid="{B90B593A-3678-4CEC-8BAC-964B3D42FA9C}"/>
    <cellStyle name="40% - Accent2 3 5" xfId="1498" xr:uid="{00000000-0005-0000-0000-0000CF040000}"/>
    <cellStyle name="40% - Accent2 3 5 2" xfId="3728" xr:uid="{00000000-0005-0000-0000-0000D0040000}"/>
    <cellStyle name="40% - Accent2 3 5 2 2" xfId="7950" xr:uid="{00000000-0005-0000-0000-0000D1040000}"/>
    <cellStyle name="40% - Accent2 3 5 2 2 2" xfId="26576" xr:uid="{B651821B-DF8D-42AB-ADE5-FDEC1D2B65ED}"/>
    <cellStyle name="40% - Accent2 3 5 2 2 3" xfId="35023" xr:uid="{88A273D2-BEBE-4416-9E3A-3B4497F16E43}"/>
    <cellStyle name="40% - Accent2 3 5 2 2 4" xfId="43470" xr:uid="{4DFC4B7B-C387-4965-89BB-2C6139B19EE5}"/>
    <cellStyle name="40% - Accent2 3 5 2 2 5" xfId="17276" xr:uid="{570E428B-FA23-4875-B584-6C67B6BCE918}"/>
    <cellStyle name="40% - Accent2 3 5 2 3" xfId="22359" xr:uid="{275A9D83-8C76-437F-889C-7EF6DD01166C}"/>
    <cellStyle name="40% - Accent2 3 5 2 4" xfId="30806" xr:uid="{FDBCD2FE-ECA7-4B30-986A-8A69E9456389}"/>
    <cellStyle name="40% - Accent2 3 5 2 5" xfId="39253" xr:uid="{F85DB3FB-FF48-4A11-9961-57AA162031D0}"/>
    <cellStyle name="40% - Accent2 3 5 2 6" xfId="13059" xr:uid="{3E9FD8BA-2D5B-42A7-929C-AE4DAF9CD88D}"/>
    <cellStyle name="40% - Accent2 3 5 3" xfId="5805" xr:uid="{00000000-0005-0000-0000-0000D2040000}"/>
    <cellStyle name="40% - Accent2 3 5 3 2" xfId="24431" xr:uid="{B249CBE9-9D69-492D-9FD3-69DA4AFA222C}"/>
    <cellStyle name="40% - Accent2 3 5 3 3" xfId="32878" xr:uid="{3855B820-B21F-4C33-93AF-E6112BD20824}"/>
    <cellStyle name="40% - Accent2 3 5 3 4" xfId="41325" xr:uid="{CBDC3D35-C643-4814-8F51-8A9410121221}"/>
    <cellStyle name="40% - Accent2 3 5 3 5" xfId="15131" xr:uid="{0BDE806E-2E79-42AC-88EA-FF34E0A35965}"/>
    <cellStyle name="40% - Accent2 3 5 4" xfId="20214" xr:uid="{8A941FF3-E524-4292-BA03-FE1EB53083EF}"/>
    <cellStyle name="40% - Accent2 3 5 5" xfId="28661" xr:uid="{A560D408-CFE4-45E3-A68B-244073B70545}"/>
    <cellStyle name="40% - Accent2 3 5 6" xfId="37108" xr:uid="{418BC433-A351-4EAD-B5D9-6F77D22FDFD8}"/>
    <cellStyle name="40% - Accent2 3 5 7" xfId="10914" xr:uid="{EDA67D1F-0FE8-4D8C-BE0A-831462DD539C}"/>
    <cellStyle name="40% - Accent2 3 6" xfId="1912" xr:uid="{00000000-0005-0000-0000-0000D3040000}"/>
    <cellStyle name="40% - Accent2 3 6 2" xfId="4141" xr:uid="{00000000-0005-0000-0000-0000D4040000}"/>
    <cellStyle name="40% - Accent2 3 6 2 2" xfId="8363" xr:uid="{00000000-0005-0000-0000-0000D5040000}"/>
    <cellStyle name="40% - Accent2 3 6 2 2 2" xfId="26989" xr:uid="{274693BF-3F9A-46FF-886F-B26A0A8BA749}"/>
    <cellStyle name="40% - Accent2 3 6 2 2 3" xfId="35436" xr:uid="{571BB6FF-9211-4B92-B1F2-DFA974C47EA6}"/>
    <cellStyle name="40% - Accent2 3 6 2 2 4" xfId="43883" xr:uid="{FD600859-1816-4D9F-9D23-93F9E689F6E0}"/>
    <cellStyle name="40% - Accent2 3 6 2 2 5" xfId="17689" xr:uid="{CF060A21-E1C3-4441-B7B7-68302359EB27}"/>
    <cellStyle name="40% - Accent2 3 6 2 3" xfId="22772" xr:uid="{D5D71787-06EC-486D-9C08-677C39153133}"/>
    <cellStyle name="40% - Accent2 3 6 2 4" xfId="31219" xr:uid="{42E4930B-F738-433E-984F-644F88C4BBAA}"/>
    <cellStyle name="40% - Accent2 3 6 2 5" xfId="39666" xr:uid="{A4D40EB4-CF2A-4826-B7F1-FA2A6BD5E5EE}"/>
    <cellStyle name="40% - Accent2 3 6 2 6" xfId="13472" xr:uid="{7AB6135F-238C-4C04-8319-F3ED21541E6B}"/>
    <cellStyle name="40% - Accent2 3 6 3" xfId="6218" xr:uid="{00000000-0005-0000-0000-0000D6040000}"/>
    <cellStyle name="40% - Accent2 3 6 3 2" xfId="24844" xr:uid="{F1939A01-E790-4B45-B5C3-1EBC6763010A}"/>
    <cellStyle name="40% - Accent2 3 6 3 3" xfId="33291" xr:uid="{FC3D2A94-20CD-4BD6-AD1D-C7353BEEFC54}"/>
    <cellStyle name="40% - Accent2 3 6 3 4" xfId="41738" xr:uid="{2D9A9178-C001-4EA5-9D07-A6B6B21D0960}"/>
    <cellStyle name="40% - Accent2 3 6 3 5" xfId="15544" xr:uid="{3BEFD719-3899-4AAD-95F9-B7FA90AB6674}"/>
    <cellStyle name="40% - Accent2 3 6 4" xfId="20627" xr:uid="{ABEDD69B-2C99-4803-9294-088733F590DC}"/>
    <cellStyle name="40% - Accent2 3 6 5" xfId="29074" xr:uid="{860026CF-7B55-47D5-AC89-8F25A9864847}"/>
    <cellStyle name="40% - Accent2 3 6 6" xfId="37521" xr:uid="{0F6B3E6D-471A-47A0-BF71-80572C33EC31}"/>
    <cellStyle name="40% - Accent2 3 6 7" xfId="11327" xr:uid="{D19B146D-C6DD-4FA7-A604-695E57DDE30F}"/>
    <cellStyle name="40% - Accent2 3 7" xfId="2325" xr:uid="{00000000-0005-0000-0000-0000D7040000}"/>
    <cellStyle name="40% - Accent2 3 7 2" xfId="6631" xr:uid="{00000000-0005-0000-0000-0000D8040000}"/>
    <cellStyle name="40% - Accent2 3 7 2 2" xfId="25257" xr:uid="{5A475B68-3BA3-4DC2-8CD4-061483C76B81}"/>
    <cellStyle name="40% - Accent2 3 7 2 3" xfId="33704" xr:uid="{7484C4D1-4B6E-43E3-A835-7CD8335F5D13}"/>
    <cellStyle name="40% - Accent2 3 7 2 4" xfId="42151" xr:uid="{80F368E2-F717-491B-B92E-95B1B7D9A869}"/>
    <cellStyle name="40% - Accent2 3 7 2 5" xfId="15957" xr:uid="{0D6FBE09-F929-4A96-8A92-7792365598E6}"/>
    <cellStyle name="40% - Accent2 3 7 3" xfId="21040" xr:uid="{BFFCCD31-746D-47BB-8330-1B2C263494C8}"/>
    <cellStyle name="40% - Accent2 3 7 4" xfId="29487" xr:uid="{C61F592A-3196-4C4F-917A-102FE45EFE20}"/>
    <cellStyle name="40% - Accent2 3 7 5" xfId="37934" xr:uid="{B22E8CA0-171E-43E0-A2CE-52FE10A132A6}"/>
    <cellStyle name="40% - Accent2 3 7 6" xfId="11740" xr:uid="{F35CD6FE-4F78-493E-BF5F-1678C90CAE72}"/>
    <cellStyle name="40% - Accent2 3 8" xfId="4565" xr:uid="{00000000-0005-0000-0000-0000D9040000}"/>
    <cellStyle name="40% - Accent2 3 8 2" xfId="23191" xr:uid="{930CBC6C-36E0-4F83-99CB-DE693AFF2612}"/>
    <cellStyle name="40% - Accent2 3 8 3" xfId="31638" xr:uid="{3F9C3640-4B7D-4060-8F0D-174691C88FC7}"/>
    <cellStyle name="40% - Accent2 3 8 4" xfId="40085" xr:uid="{88A6B4DC-26DF-4DD3-A085-B14FEA3A91BF}"/>
    <cellStyle name="40% - Accent2 3 8 5" xfId="13891" xr:uid="{766A1AC9-5BCB-4B41-9B7E-426D862713CA}"/>
    <cellStyle name="40% - Accent2 3 9" xfId="8864" xr:uid="{311EF031-8CA9-4ACC-8705-6D408E1B50DB}"/>
    <cellStyle name="40% - Accent2 3 9 2" xfId="18188" xr:uid="{C871A570-F123-44C5-A524-94208C71AFCF}"/>
    <cellStyle name="40% - Accent2 4" xfId="64" xr:uid="{00000000-0005-0000-0000-0000DA040000}"/>
    <cellStyle name="40% - Accent2 4 10" xfId="27423" xr:uid="{F0990266-2721-454B-8427-25828424DF37}"/>
    <cellStyle name="40% - Accent2 4 11" xfId="35870" xr:uid="{3CBD2E79-75FC-49CD-82EA-7795FA86D277}"/>
    <cellStyle name="40% - Accent2 4 12" xfId="9676" xr:uid="{BAF50B8B-6F97-44FC-82DE-25E78E613E93}"/>
    <cellStyle name="40% - Accent2 4 2" xfId="633" xr:uid="{00000000-0005-0000-0000-0000DB040000}"/>
    <cellStyle name="40% - Accent2 4 2 2" xfId="2904" xr:uid="{00000000-0005-0000-0000-0000DC040000}"/>
    <cellStyle name="40% - Accent2 4 2 2 2" xfId="7126" xr:uid="{00000000-0005-0000-0000-0000DD040000}"/>
    <cellStyle name="40% - Accent2 4 2 2 2 2" xfId="25752" xr:uid="{16DF70F7-7752-40D6-9A88-AE4ACDCF0C98}"/>
    <cellStyle name="40% - Accent2 4 2 2 2 3" xfId="34199" xr:uid="{C9CFEF44-2C75-407C-8F4C-503FE549F8FB}"/>
    <cellStyle name="40% - Accent2 4 2 2 2 4" xfId="42646" xr:uid="{B6E1E6CB-5EAB-400B-A1C7-5978AC5D7B6F}"/>
    <cellStyle name="40% - Accent2 4 2 2 2 5" xfId="16452" xr:uid="{8A0ECF0D-29AE-466B-9520-7F33F2723D73}"/>
    <cellStyle name="40% - Accent2 4 2 2 3" xfId="21535" xr:uid="{074FF7B4-D4BD-4F34-B3E9-A00FF8E53E8A}"/>
    <cellStyle name="40% - Accent2 4 2 2 4" xfId="29982" xr:uid="{7A7F7F2B-3888-44BF-AD18-8D27E74BD98A}"/>
    <cellStyle name="40% - Accent2 4 2 2 5" xfId="38429" xr:uid="{703FAB47-CB22-4569-B9C0-750C6B98D30E}"/>
    <cellStyle name="40% - Accent2 4 2 2 6" xfId="12235" xr:uid="{A3F597CF-3C5B-47F9-9118-8990F05F48AE}"/>
    <cellStyle name="40% - Accent2 4 2 3" xfId="4981" xr:uid="{00000000-0005-0000-0000-0000DE040000}"/>
    <cellStyle name="40% - Accent2 4 2 3 2" xfId="23607" xr:uid="{AD26748C-1BEA-45BE-9658-25E948DFA2E7}"/>
    <cellStyle name="40% - Accent2 4 2 3 3" xfId="32054" xr:uid="{10107AE2-3284-47DD-A0F0-0E651F5EC332}"/>
    <cellStyle name="40% - Accent2 4 2 3 4" xfId="40501" xr:uid="{E516DD7D-C087-4030-A5AD-63150D215DA3}"/>
    <cellStyle name="40% - Accent2 4 2 3 5" xfId="14307" xr:uid="{BC16C7C9-7949-4A75-ACA9-A8BF226A3D05}"/>
    <cellStyle name="40% - Accent2 4 2 4" xfId="9375" xr:uid="{E0F8B4F7-419E-40A5-89E1-F3F0DF6ADFF8}"/>
    <cellStyle name="40% - Accent2 4 2 4 2" xfId="18691" xr:uid="{4A685C7E-C2CA-46F2-B9BA-279F3445DE0F}"/>
    <cellStyle name="40% - Accent2 4 2 5" xfId="19390" xr:uid="{F8EFA6E8-E1B2-45D6-8131-353060919335}"/>
    <cellStyle name="40% - Accent2 4 2 6" xfId="27837" xr:uid="{A13FB59F-5960-42CF-AD22-79AAD0570D88}"/>
    <cellStyle name="40% - Accent2 4 2 7" xfId="36284" xr:uid="{88543587-115B-4908-A227-3A08B93767E5}"/>
    <cellStyle name="40% - Accent2 4 2 8" xfId="10090" xr:uid="{61ED204B-4B31-4E34-BD14-C0C095F030AD}"/>
    <cellStyle name="40% - Accent2 4 3" xfId="1086" xr:uid="{00000000-0005-0000-0000-0000DF040000}"/>
    <cellStyle name="40% - Accent2 4 3 2" xfId="3317" xr:uid="{00000000-0005-0000-0000-0000E0040000}"/>
    <cellStyle name="40% - Accent2 4 3 2 2" xfId="7539" xr:uid="{00000000-0005-0000-0000-0000E1040000}"/>
    <cellStyle name="40% - Accent2 4 3 2 2 2" xfId="26165" xr:uid="{8B01A2DC-E3A1-4879-8EE1-10286736F1B3}"/>
    <cellStyle name="40% - Accent2 4 3 2 2 3" xfId="34612" xr:uid="{7461F348-884C-4733-A31E-51548A7BC975}"/>
    <cellStyle name="40% - Accent2 4 3 2 2 4" xfId="43059" xr:uid="{69A2011B-BC90-448D-B98C-5BF5AEFA0185}"/>
    <cellStyle name="40% - Accent2 4 3 2 2 5" xfId="16865" xr:uid="{B44D1DD2-EB0A-49C1-94BA-B0FFBC19FA63}"/>
    <cellStyle name="40% - Accent2 4 3 2 3" xfId="21948" xr:uid="{7A416EAA-3646-4647-80FF-A7CD251AECBE}"/>
    <cellStyle name="40% - Accent2 4 3 2 4" xfId="30395" xr:uid="{6CBB1550-94F8-4F4B-9738-5109D989BA2A}"/>
    <cellStyle name="40% - Accent2 4 3 2 5" xfId="38842" xr:uid="{34512F3B-965B-4909-8CB8-5E2D2E6E128C}"/>
    <cellStyle name="40% - Accent2 4 3 2 6" xfId="12648" xr:uid="{E5746DFF-DEB6-4884-96CA-E58169DD27AA}"/>
    <cellStyle name="40% - Accent2 4 3 3" xfId="5394" xr:uid="{00000000-0005-0000-0000-0000E2040000}"/>
    <cellStyle name="40% - Accent2 4 3 3 2" xfId="24020" xr:uid="{1D7DB9FB-B217-4F2E-B706-BF6F21BE3268}"/>
    <cellStyle name="40% - Accent2 4 3 3 3" xfId="32467" xr:uid="{40A54DAD-5578-4996-97CE-009CB20DFD1A}"/>
    <cellStyle name="40% - Accent2 4 3 3 4" xfId="40914" xr:uid="{BFCA45FF-233D-4178-B5AF-FCA2D515C5BE}"/>
    <cellStyle name="40% - Accent2 4 3 3 5" xfId="14720" xr:uid="{2BEA7B64-1B7D-47B0-B785-E9F387DF6520}"/>
    <cellStyle name="40% - Accent2 4 3 4" xfId="19803" xr:uid="{80839FFF-FAB6-421A-829F-D22F499298B9}"/>
    <cellStyle name="40% - Accent2 4 3 5" xfId="28250" xr:uid="{D60C62B5-22F1-48F7-A719-034D33AB4FC7}"/>
    <cellStyle name="40% - Accent2 4 3 6" xfId="36697" xr:uid="{F6E992B6-1FF2-4C8A-AD8A-87B07B82F6E2}"/>
    <cellStyle name="40% - Accent2 4 3 7" xfId="10503" xr:uid="{0D79A53B-366A-40A5-B088-28ECA76EA175}"/>
    <cellStyle name="40% - Accent2 4 4" xfId="1500" xr:uid="{00000000-0005-0000-0000-0000E3040000}"/>
    <cellStyle name="40% - Accent2 4 4 2" xfId="3730" xr:uid="{00000000-0005-0000-0000-0000E4040000}"/>
    <cellStyle name="40% - Accent2 4 4 2 2" xfId="7952" xr:uid="{00000000-0005-0000-0000-0000E5040000}"/>
    <cellStyle name="40% - Accent2 4 4 2 2 2" xfId="26578" xr:uid="{839CCCDD-2217-4C76-8364-30EFF576D741}"/>
    <cellStyle name="40% - Accent2 4 4 2 2 3" xfId="35025" xr:uid="{2A976EFB-9B1C-42F0-AA78-0ECB5ED755E2}"/>
    <cellStyle name="40% - Accent2 4 4 2 2 4" xfId="43472" xr:uid="{D67BDEBD-28AB-466E-9878-108E2A88F058}"/>
    <cellStyle name="40% - Accent2 4 4 2 2 5" xfId="17278" xr:uid="{3515EC8A-37CA-4E02-B1B5-7F99D546286F}"/>
    <cellStyle name="40% - Accent2 4 4 2 3" xfId="22361" xr:uid="{4295DA24-B202-4361-B52F-7FAF2A81AD96}"/>
    <cellStyle name="40% - Accent2 4 4 2 4" xfId="30808" xr:uid="{1BCEC9FC-1314-4949-8539-26C941490E8E}"/>
    <cellStyle name="40% - Accent2 4 4 2 5" xfId="39255" xr:uid="{51361DB5-E101-4D26-B6AE-817E94663E08}"/>
    <cellStyle name="40% - Accent2 4 4 2 6" xfId="13061" xr:uid="{1D80D6D1-5E3A-4932-82D6-1B7C9EBE1272}"/>
    <cellStyle name="40% - Accent2 4 4 3" xfId="5807" xr:uid="{00000000-0005-0000-0000-0000E6040000}"/>
    <cellStyle name="40% - Accent2 4 4 3 2" xfId="24433" xr:uid="{3102FBDE-E5A2-4389-9101-89786241DA11}"/>
    <cellStyle name="40% - Accent2 4 4 3 3" xfId="32880" xr:uid="{7A98AE98-3B9E-4020-8FDF-4CE80888BFF4}"/>
    <cellStyle name="40% - Accent2 4 4 3 4" xfId="41327" xr:uid="{3EFE19B9-442E-4761-9025-F7C3839E655A}"/>
    <cellStyle name="40% - Accent2 4 4 3 5" xfId="15133" xr:uid="{4CA15997-7BE8-4C31-9C3A-D58964A21DFD}"/>
    <cellStyle name="40% - Accent2 4 4 4" xfId="20216" xr:uid="{0813B199-8DCA-40BA-984C-C4CE0265EB73}"/>
    <cellStyle name="40% - Accent2 4 4 5" xfId="28663" xr:uid="{E7B1A6A4-FAEB-4432-BD0F-C0C8536570B7}"/>
    <cellStyle name="40% - Accent2 4 4 6" xfId="37110" xr:uid="{3E3047DB-6BA3-4535-858B-D36CFB3A793F}"/>
    <cellStyle name="40% - Accent2 4 4 7" xfId="10916" xr:uid="{05A4F2C1-325C-4B91-86EE-C653C74FF8BD}"/>
    <cellStyle name="40% - Accent2 4 5" xfId="1914" xr:uid="{00000000-0005-0000-0000-0000E7040000}"/>
    <cellStyle name="40% - Accent2 4 5 2" xfId="4143" xr:uid="{00000000-0005-0000-0000-0000E8040000}"/>
    <cellStyle name="40% - Accent2 4 5 2 2" xfId="8365" xr:uid="{00000000-0005-0000-0000-0000E9040000}"/>
    <cellStyle name="40% - Accent2 4 5 2 2 2" xfId="26991" xr:uid="{0E4B27BC-613B-4044-AB93-3EC460185342}"/>
    <cellStyle name="40% - Accent2 4 5 2 2 3" xfId="35438" xr:uid="{8720F682-8BEC-456C-9D53-5F9954106A98}"/>
    <cellStyle name="40% - Accent2 4 5 2 2 4" xfId="43885" xr:uid="{0D620076-DF0C-49A8-BD58-7C0307EBD177}"/>
    <cellStyle name="40% - Accent2 4 5 2 2 5" xfId="17691" xr:uid="{8B99A930-9696-4B53-A9FC-0F4141D310FF}"/>
    <cellStyle name="40% - Accent2 4 5 2 3" xfId="22774" xr:uid="{1ACDD9C3-8D49-442C-B819-EE227AF8F5F8}"/>
    <cellStyle name="40% - Accent2 4 5 2 4" xfId="31221" xr:uid="{0233D350-3794-4694-B42E-E66B22D52D83}"/>
    <cellStyle name="40% - Accent2 4 5 2 5" xfId="39668" xr:uid="{CD96693A-5A64-438F-8C79-9BA63A933540}"/>
    <cellStyle name="40% - Accent2 4 5 2 6" xfId="13474" xr:uid="{B94699DE-A0E4-469C-A01C-052362BC098C}"/>
    <cellStyle name="40% - Accent2 4 5 3" xfId="6220" xr:uid="{00000000-0005-0000-0000-0000EA040000}"/>
    <cellStyle name="40% - Accent2 4 5 3 2" xfId="24846" xr:uid="{99388087-4EDD-4D5E-96C7-F9635F8DADE6}"/>
    <cellStyle name="40% - Accent2 4 5 3 3" xfId="33293" xr:uid="{103E10D1-4827-4AF4-B1C2-DE247BB38EF1}"/>
    <cellStyle name="40% - Accent2 4 5 3 4" xfId="41740" xr:uid="{EC413330-0AE0-499E-B597-8B09AA9EAB40}"/>
    <cellStyle name="40% - Accent2 4 5 3 5" xfId="15546" xr:uid="{075BD519-2841-4ECF-96AD-0A073E979DBE}"/>
    <cellStyle name="40% - Accent2 4 5 4" xfId="20629" xr:uid="{89A7152F-E92C-4EF2-85A3-3F985DA74EE2}"/>
    <cellStyle name="40% - Accent2 4 5 5" xfId="29076" xr:uid="{118B423C-A566-4137-A949-64C7D42C7CEC}"/>
    <cellStyle name="40% - Accent2 4 5 6" xfId="37523" xr:uid="{DE651283-F814-48A7-8667-0DB2ED0091BE}"/>
    <cellStyle name="40% - Accent2 4 5 7" xfId="11329" xr:uid="{51BA21BC-31A9-4978-95E8-EA6CD4576923}"/>
    <cellStyle name="40% - Accent2 4 6" xfId="2327" xr:uid="{00000000-0005-0000-0000-0000EB040000}"/>
    <cellStyle name="40% - Accent2 4 6 2" xfId="6633" xr:uid="{00000000-0005-0000-0000-0000EC040000}"/>
    <cellStyle name="40% - Accent2 4 6 2 2" xfId="25259" xr:uid="{D58D435A-D0D8-4BF8-88A5-4A4F011F6CE6}"/>
    <cellStyle name="40% - Accent2 4 6 2 3" xfId="33706" xr:uid="{BCD0FA03-6878-469D-94A2-A23FB0872282}"/>
    <cellStyle name="40% - Accent2 4 6 2 4" xfId="42153" xr:uid="{4D65517F-5E8B-4A33-AFF3-12607D65688B}"/>
    <cellStyle name="40% - Accent2 4 6 2 5" xfId="15959" xr:uid="{0F3B71AE-7E1C-4C58-88C4-4647B9E3DC52}"/>
    <cellStyle name="40% - Accent2 4 6 3" xfId="21042" xr:uid="{9FF1854C-0C42-443D-A50B-BAE2B7C067AD}"/>
    <cellStyle name="40% - Accent2 4 6 4" xfId="29489" xr:uid="{B506FFE7-6153-4CA4-923D-5487087CCA5F}"/>
    <cellStyle name="40% - Accent2 4 6 5" xfId="37936" xr:uid="{656DA082-82AF-4BEA-9A32-5402F1449BD8}"/>
    <cellStyle name="40% - Accent2 4 6 6" xfId="11742" xr:uid="{EACBE9AC-A199-4BB4-A4B2-DC8B823C1D30}"/>
    <cellStyle name="40% - Accent2 4 7" xfId="4567" xr:uid="{00000000-0005-0000-0000-0000ED040000}"/>
    <cellStyle name="40% - Accent2 4 7 2" xfId="23193" xr:uid="{6F8D4CBD-F979-47A4-8600-80F48967B1D3}"/>
    <cellStyle name="40% - Accent2 4 7 3" xfId="31640" xr:uid="{1587B262-EC52-4A75-98A7-996D22D66284}"/>
    <cellStyle name="40% - Accent2 4 7 4" xfId="40087" xr:uid="{6128ED90-BADF-4902-8331-5F14E43FC8D0}"/>
    <cellStyle name="40% - Accent2 4 7 5" xfId="13893" xr:uid="{45562538-990B-46BD-9364-0DB7AD9D09AD}"/>
    <cellStyle name="40% - Accent2 4 8" xfId="8950" xr:uid="{02FCA414-0598-4779-8636-7B176A3552C0}"/>
    <cellStyle name="40% - Accent2 4 8 2" xfId="18274" xr:uid="{675DCEA1-7272-4D16-A2FF-6B7DFFB56A1F}"/>
    <cellStyle name="40% - Accent2 4 9" xfId="18976" xr:uid="{4600B13C-4030-4E07-8FBC-1D0A4F60AA93}"/>
    <cellStyle name="40% - Accent2 5" xfId="626" xr:uid="{00000000-0005-0000-0000-0000EE040000}"/>
    <cellStyle name="40% - Accent2 5 2" xfId="2897" xr:uid="{00000000-0005-0000-0000-0000EF040000}"/>
    <cellStyle name="40% - Accent2 5 2 2" xfId="7119" xr:uid="{00000000-0005-0000-0000-0000F0040000}"/>
    <cellStyle name="40% - Accent2 5 2 2 2" xfId="25745" xr:uid="{DAAEB1B1-39CD-441A-BD53-E4FCDAE204EB}"/>
    <cellStyle name="40% - Accent2 5 2 2 3" xfId="34192" xr:uid="{83FDB44B-CB65-4DE9-8FF5-E72890B2A2AD}"/>
    <cellStyle name="40% - Accent2 5 2 2 4" xfId="42639" xr:uid="{6537303A-18D4-48B0-9A6A-112A7644CB3E}"/>
    <cellStyle name="40% - Accent2 5 2 2 5" xfId="16445" xr:uid="{269BE9BE-7144-40EA-9F95-EC8E73BA2507}"/>
    <cellStyle name="40% - Accent2 5 2 3" xfId="21528" xr:uid="{83993EDD-3A0D-4E40-A589-8D303DA11784}"/>
    <cellStyle name="40% - Accent2 5 2 4" xfId="29975" xr:uid="{3167B5A9-10C2-4E6E-AF35-03D2EB9D1EC9}"/>
    <cellStyle name="40% - Accent2 5 2 5" xfId="38422" xr:uid="{DD9BB38B-FB85-4ACE-A74D-A0A40F49BBB5}"/>
    <cellStyle name="40% - Accent2 5 2 6" xfId="12228" xr:uid="{E3BBF0D9-27D5-4755-A903-916F3A422039}"/>
    <cellStyle name="40% - Accent2 5 3" xfId="4974" xr:uid="{00000000-0005-0000-0000-0000F1040000}"/>
    <cellStyle name="40% - Accent2 5 3 2" xfId="23600" xr:uid="{048AA3C5-777F-4098-80FD-9FFB7A5358D9}"/>
    <cellStyle name="40% - Accent2 5 3 3" xfId="32047" xr:uid="{D6D8BDB7-1590-481E-93FD-2F497E488818}"/>
    <cellStyle name="40% - Accent2 5 3 4" xfId="40494" xr:uid="{1CE061C4-4B72-4CEA-8E26-F349ABE05D5F}"/>
    <cellStyle name="40% - Accent2 5 3 5" xfId="14300" xr:uid="{C04525CC-E64B-47EE-BFE8-6B8391BD7592}"/>
    <cellStyle name="40% - Accent2 5 4" xfId="9183" xr:uid="{071EDB8E-9FD1-4063-BCEF-70B734E5ECF1}"/>
    <cellStyle name="40% - Accent2 5 4 2" xfId="18502" xr:uid="{5E0B871B-B4FB-4136-917D-16B2341D3124}"/>
    <cellStyle name="40% - Accent2 5 5" xfId="19383" xr:uid="{D52EFC98-9353-487E-8ED9-8F3628EEFD66}"/>
    <cellStyle name="40% - Accent2 5 6" xfId="27830" xr:uid="{B8772AF9-63E8-4B15-BEB8-4BB24813516D}"/>
    <cellStyle name="40% - Accent2 5 7" xfId="36277" xr:uid="{9FE50F3C-3C00-4FE0-B6A5-D50848269746}"/>
    <cellStyle name="40% - Accent2 5 8" xfId="10083" xr:uid="{4C46F9AB-FA6A-46DB-B7B5-43252A1DE3F1}"/>
    <cellStyle name="40% - Accent2 6" xfId="1079" xr:uid="{00000000-0005-0000-0000-0000F2040000}"/>
    <cellStyle name="40% - Accent2 6 2" xfId="3310" xr:uid="{00000000-0005-0000-0000-0000F3040000}"/>
    <cellStyle name="40% - Accent2 6 2 2" xfId="7532" xr:uid="{00000000-0005-0000-0000-0000F4040000}"/>
    <cellStyle name="40% - Accent2 6 2 2 2" xfId="26158" xr:uid="{28EFBF1C-306B-44E9-92C5-2BE232CC5408}"/>
    <cellStyle name="40% - Accent2 6 2 2 3" xfId="34605" xr:uid="{65C5A30D-398B-4915-9A27-03A33B66979B}"/>
    <cellStyle name="40% - Accent2 6 2 2 4" xfId="43052" xr:uid="{CEF1C8F2-464B-4246-9B08-EB27CAF4580F}"/>
    <cellStyle name="40% - Accent2 6 2 2 5" xfId="16858" xr:uid="{C18C6A63-FA7C-426B-9ED1-F27CBC35A24B}"/>
    <cellStyle name="40% - Accent2 6 2 3" xfId="21941" xr:uid="{A0892741-DE54-45AA-A95A-FDABDBB98ED0}"/>
    <cellStyle name="40% - Accent2 6 2 4" xfId="30388" xr:uid="{A836EFE3-6C5C-458C-82C7-D8BF4DF5C7B1}"/>
    <cellStyle name="40% - Accent2 6 2 5" xfId="38835" xr:uid="{E0D25596-E1E0-43D9-B017-A4359FD73520}"/>
    <cellStyle name="40% - Accent2 6 2 6" xfId="12641" xr:uid="{36943706-25DD-4F62-ABCE-737FFDD4F8B4}"/>
    <cellStyle name="40% - Accent2 6 3" xfId="5387" xr:uid="{00000000-0005-0000-0000-0000F5040000}"/>
    <cellStyle name="40% - Accent2 6 3 2" xfId="24013" xr:uid="{189B359D-1EF1-4F5A-9026-6A82494B427F}"/>
    <cellStyle name="40% - Accent2 6 3 3" xfId="32460" xr:uid="{D71B8BDE-C320-4688-8286-9ACEAD2E2156}"/>
    <cellStyle name="40% - Accent2 6 3 4" xfId="40907" xr:uid="{DDFDA350-A8FF-4510-AB1B-151923DD02CC}"/>
    <cellStyle name="40% - Accent2 6 3 5" xfId="14713" xr:uid="{5EA00C90-FCCD-4E55-9289-65B78701A3F5}"/>
    <cellStyle name="40% - Accent2 6 4" xfId="19796" xr:uid="{BC981F14-F1DD-4460-BD8D-BF43C98FF15A}"/>
    <cellStyle name="40% - Accent2 6 5" xfId="28243" xr:uid="{A8A26572-CA71-4985-B9D7-F6ACABB855F7}"/>
    <cellStyle name="40% - Accent2 6 6" xfId="36690" xr:uid="{DE992644-B8D4-473F-95AE-7552EE3F3430}"/>
    <cellStyle name="40% - Accent2 6 7" xfId="10496" xr:uid="{8EFD13DD-3B5B-449B-B14A-B21D5027EFC0}"/>
    <cellStyle name="40% - Accent2 7" xfId="1493" xr:uid="{00000000-0005-0000-0000-0000F6040000}"/>
    <cellStyle name="40% - Accent2 7 2" xfId="3723" xr:uid="{00000000-0005-0000-0000-0000F7040000}"/>
    <cellStyle name="40% - Accent2 7 2 2" xfId="7945" xr:uid="{00000000-0005-0000-0000-0000F8040000}"/>
    <cellStyle name="40% - Accent2 7 2 2 2" xfId="26571" xr:uid="{9C490E5B-D6D8-494F-9F70-5BCDBE72C7C2}"/>
    <cellStyle name="40% - Accent2 7 2 2 3" xfId="35018" xr:uid="{CE76F18A-62D7-444A-8DE2-8D377799E8AF}"/>
    <cellStyle name="40% - Accent2 7 2 2 4" xfId="43465" xr:uid="{2362C7ED-A812-4807-8A59-E7F07C49432C}"/>
    <cellStyle name="40% - Accent2 7 2 2 5" xfId="17271" xr:uid="{40F25321-C705-436D-BBA5-39F6BE2DE291}"/>
    <cellStyle name="40% - Accent2 7 2 3" xfId="22354" xr:uid="{51E7FCD3-7E8D-4954-A551-5F77005548DE}"/>
    <cellStyle name="40% - Accent2 7 2 4" xfId="30801" xr:uid="{C0340150-AF4C-48D1-9DA4-9346EBAAE725}"/>
    <cellStyle name="40% - Accent2 7 2 5" xfId="39248" xr:uid="{402EF8BB-EB8A-4122-9C85-EEF06B0379F9}"/>
    <cellStyle name="40% - Accent2 7 2 6" xfId="13054" xr:uid="{A5CFBD9D-087E-4735-80FA-9C505B896379}"/>
    <cellStyle name="40% - Accent2 7 3" xfId="5800" xr:uid="{00000000-0005-0000-0000-0000F9040000}"/>
    <cellStyle name="40% - Accent2 7 3 2" xfId="24426" xr:uid="{48FEB61F-66B3-4D61-978A-E2672948989F}"/>
    <cellStyle name="40% - Accent2 7 3 3" xfId="32873" xr:uid="{F2D454B2-7326-4988-9F27-B4AA55B31C0F}"/>
    <cellStyle name="40% - Accent2 7 3 4" xfId="41320" xr:uid="{67BA37D0-39E0-4209-AB0E-1D6F04258569}"/>
    <cellStyle name="40% - Accent2 7 3 5" xfId="15126" xr:uid="{365C0042-14C2-48B6-A5F2-20BF0B8B6D79}"/>
    <cellStyle name="40% - Accent2 7 4" xfId="20209" xr:uid="{D2DF3AB9-8F9E-4C25-979D-1CEB7D996D45}"/>
    <cellStyle name="40% - Accent2 7 5" xfId="28656" xr:uid="{6E990DB3-3C13-444A-86D4-B44D8805544B}"/>
    <cellStyle name="40% - Accent2 7 6" xfId="37103" xr:uid="{71E2BFAE-FBE5-42FA-AE5B-959B6396A6E4}"/>
    <cellStyle name="40% - Accent2 7 7" xfId="10909" xr:uid="{DCDF2F84-AB67-4427-AFF4-201C01AF60A3}"/>
    <cellStyle name="40% - Accent2 8" xfId="1907" xr:uid="{00000000-0005-0000-0000-0000FA040000}"/>
    <cellStyle name="40% - Accent2 8 2" xfId="4136" xr:uid="{00000000-0005-0000-0000-0000FB040000}"/>
    <cellStyle name="40% - Accent2 8 2 2" xfId="8358" xr:uid="{00000000-0005-0000-0000-0000FC040000}"/>
    <cellStyle name="40% - Accent2 8 2 2 2" xfId="26984" xr:uid="{0C09B4D2-EF97-4137-99E5-D5A14974142B}"/>
    <cellStyle name="40% - Accent2 8 2 2 3" xfId="35431" xr:uid="{556DEAC3-718B-4E62-A88A-6977D24CB4AF}"/>
    <cellStyle name="40% - Accent2 8 2 2 4" xfId="43878" xr:uid="{CB3A13E7-430C-4C6D-B5D5-0CB78E7DC20A}"/>
    <cellStyle name="40% - Accent2 8 2 2 5" xfId="17684" xr:uid="{63F7F94F-C34C-43D8-8775-55E9502771B2}"/>
    <cellStyle name="40% - Accent2 8 2 3" xfId="22767" xr:uid="{B4E9E343-91C7-4848-8CD0-AAB199ED8E45}"/>
    <cellStyle name="40% - Accent2 8 2 4" xfId="31214" xr:uid="{73A51E7A-B233-4253-BCD1-3B06B8560678}"/>
    <cellStyle name="40% - Accent2 8 2 5" xfId="39661" xr:uid="{EEF206A5-3AC8-436F-88AF-52D36B8E74D3}"/>
    <cellStyle name="40% - Accent2 8 2 6" xfId="13467" xr:uid="{BE735283-E51F-4E3E-BE2D-CD1C41F3A213}"/>
    <cellStyle name="40% - Accent2 8 3" xfId="6213" xr:uid="{00000000-0005-0000-0000-0000FD040000}"/>
    <cellStyle name="40% - Accent2 8 3 2" xfId="24839" xr:uid="{224A5EAC-F272-4426-9444-58B1593A731E}"/>
    <cellStyle name="40% - Accent2 8 3 3" xfId="33286" xr:uid="{8D7D500B-F5A0-4088-9BBE-38314B3CA0B6}"/>
    <cellStyle name="40% - Accent2 8 3 4" xfId="41733" xr:uid="{EE6FB939-810E-4E84-8B69-D634FDB6C435}"/>
    <cellStyle name="40% - Accent2 8 3 5" xfId="15539" xr:uid="{809191EC-33FC-442C-A94C-9E64BED0609E}"/>
    <cellStyle name="40% - Accent2 8 4" xfId="20622" xr:uid="{41F493FB-1D62-46BD-886A-3A39E446ED99}"/>
    <cellStyle name="40% - Accent2 8 5" xfId="29069" xr:uid="{613E6D05-8C6F-4557-90AA-0EE527FA3016}"/>
    <cellStyle name="40% - Accent2 8 6" xfId="37516" xr:uid="{48197621-8D2D-4C51-A2C1-F5FD845D2210}"/>
    <cellStyle name="40% - Accent2 8 7" xfId="11322" xr:uid="{0928B1AD-F211-4A2A-8C84-5DA852079474}"/>
    <cellStyle name="40% - Accent2 9" xfId="2320" xr:uid="{00000000-0005-0000-0000-0000FE040000}"/>
    <cellStyle name="40% - Accent2 9 2" xfId="6626" xr:uid="{00000000-0005-0000-0000-0000FF040000}"/>
    <cellStyle name="40% - Accent2 9 2 2" xfId="25252" xr:uid="{09B93E94-6DA3-4002-A9B2-B0D42CA0FDFF}"/>
    <cellStyle name="40% - Accent2 9 2 3" xfId="33699" xr:uid="{F1D5B186-CE9F-414E-9D95-4AFF3AC7BB42}"/>
    <cellStyle name="40% - Accent2 9 2 4" xfId="42146" xr:uid="{C018C6A7-A13D-4BC3-B6A3-9330980C8179}"/>
    <cellStyle name="40% - Accent2 9 2 5" xfId="15952" xr:uid="{A8312E2C-8598-4330-9BF6-D46961F96C61}"/>
    <cellStyle name="40% - Accent2 9 3" xfId="21035" xr:uid="{1D13D076-60EA-43AC-9D5D-FCAACF0CD1B3}"/>
    <cellStyle name="40% - Accent2 9 4" xfId="29482" xr:uid="{CA509C6F-57DC-49EB-B933-FE380674CEE0}"/>
    <cellStyle name="40% - Accent2 9 5" xfId="37929" xr:uid="{D2CD17D4-06D8-4B77-BF96-CF3EF19D6B7D}"/>
    <cellStyle name="40% - Accent2 9 6" xfId="11735" xr:uid="{8897AF38-D4BD-4FDB-8F69-20F06A8B66DB}"/>
    <cellStyle name="40% - Accent3" xfId="65" builtinId="39" customBuiltin="1"/>
    <cellStyle name="40% - Accent3 10" xfId="4568" xr:uid="{00000000-0005-0000-0000-000001050000}"/>
    <cellStyle name="40% - Accent3 10 2" xfId="23194" xr:uid="{E530AA35-3A34-462D-9023-B95549B27D41}"/>
    <cellStyle name="40% - Accent3 10 3" xfId="31641" xr:uid="{F2ADF00A-6373-4443-B9C7-444C3C527636}"/>
    <cellStyle name="40% - Accent3 10 4" xfId="40088" xr:uid="{7EC5FAF2-FA1E-48FD-8442-E8C0462C32B8}"/>
    <cellStyle name="40% - Accent3 10 5" xfId="13894" xr:uid="{A5F7887D-33BD-40D4-8628-052019D496D0}"/>
    <cellStyle name="40% - Accent3 11" xfId="8763" xr:uid="{CEFBFA85-5B68-4AEB-BF0D-8E604938B05F}"/>
    <cellStyle name="40% - Accent3 11 2" xfId="18087" xr:uid="{0581DD11-3C71-48A3-B067-6A3D15C702A2}"/>
    <cellStyle name="40% - Accent3 12" xfId="18977" xr:uid="{6B21CB15-74F9-44D5-BC97-BA7F69288A7D}"/>
    <cellStyle name="40% - Accent3 13" xfId="27424" xr:uid="{B1D2C5B3-86BC-4824-9849-B4AFA5E848FF}"/>
    <cellStyle name="40% - Accent3 14" xfId="35871" xr:uid="{36C168D1-02E8-452B-8A57-618D5E9B9A50}"/>
    <cellStyle name="40% - Accent3 15" xfId="9677" xr:uid="{75C869DD-43F1-4C3D-847B-38664C679C05}"/>
    <cellStyle name="40% - Accent3 2" xfId="66" xr:uid="{00000000-0005-0000-0000-000002050000}"/>
    <cellStyle name="40% - Accent3 2 10" xfId="8800" xr:uid="{00FF2AAD-7D96-45B5-8981-0BB923A3505B}"/>
    <cellStyle name="40% - Accent3 2 10 2" xfId="18124" xr:uid="{5D11184A-4874-4FDB-BD2B-21967D6FC60B}"/>
    <cellStyle name="40% - Accent3 2 11" xfId="18978" xr:uid="{167154D7-572F-46B8-8F09-CCA8880EB6C1}"/>
    <cellStyle name="40% - Accent3 2 12" xfId="27425" xr:uid="{55F90E03-B384-4A8B-9D8A-47FCB724A3FD}"/>
    <cellStyle name="40% - Accent3 2 13" xfId="35872" xr:uid="{C1EDA7D3-1255-4F38-ACAF-69883765B877}"/>
    <cellStyle name="40% - Accent3 2 14" xfId="9678" xr:uid="{524D8285-FE5A-458E-9745-77AC9AF84D1E}"/>
    <cellStyle name="40% - Accent3 2 2" xfId="67" xr:uid="{00000000-0005-0000-0000-000003050000}"/>
    <cellStyle name="40% - Accent3 2 2 10" xfId="18979" xr:uid="{982E005C-1321-45C2-8004-197CABCA4536}"/>
    <cellStyle name="40% - Accent3 2 2 11" xfId="27426" xr:uid="{64E60D72-D46A-4901-B451-C3D8E0137FC8}"/>
    <cellStyle name="40% - Accent3 2 2 12" xfId="35873" xr:uid="{ACBD389A-9358-42E6-9E49-039F8DBF1FE4}"/>
    <cellStyle name="40% - Accent3 2 2 13" xfId="9679" xr:uid="{8EA0B56A-413E-4BE2-8F60-D73B3739CBF4}"/>
    <cellStyle name="40% - Accent3 2 2 2" xfId="68" xr:uid="{00000000-0005-0000-0000-000004050000}"/>
    <cellStyle name="40% - Accent3 2 2 2 10" xfId="27427" xr:uid="{6E12B98A-A330-4F0B-B9B3-35B80E9064F6}"/>
    <cellStyle name="40% - Accent3 2 2 2 11" xfId="35874" xr:uid="{27082F1D-18ED-4155-9ADE-7CE07131FBC8}"/>
    <cellStyle name="40% - Accent3 2 2 2 12" xfId="9680" xr:uid="{C2075765-1C4D-4926-9F2C-4A9CC1B77D4A}"/>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2 2 2" xfId="25756" xr:uid="{3056EB8F-D006-4978-9224-85B835469C19}"/>
    <cellStyle name="40% - Accent3 2 2 2 2 2 2 3" xfId="34203" xr:uid="{D90E26E5-8D8C-4085-8E13-84ABC5D90F19}"/>
    <cellStyle name="40% - Accent3 2 2 2 2 2 2 4" xfId="42650" xr:uid="{74FFFDAC-B95F-4A8F-8285-35B139011332}"/>
    <cellStyle name="40% - Accent3 2 2 2 2 2 2 5" xfId="16456" xr:uid="{1A802536-D9E4-4CEF-9A9C-090020671F49}"/>
    <cellStyle name="40% - Accent3 2 2 2 2 2 3" xfId="21539" xr:uid="{8CEEA5F0-2543-4EB2-BA7D-2BC682DD8AF8}"/>
    <cellStyle name="40% - Accent3 2 2 2 2 2 4" xfId="29986" xr:uid="{37B857EC-BC74-4F4F-8719-BE9F79D3D94D}"/>
    <cellStyle name="40% - Accent3 2 2 2 2 2 5" xfId="38433" xr:uid="{AA7C0918-F2C3-4F7E-8FDD-5B393838D071}"/>
    <cellStyle name="40% - Accent3 2 2 2 2 2 6" xfId="12239" xr:uid="{96AC5FAE-F6C9-4BF1-BB03-1CC82FFABE33}"/>
    <cellStyle name="40% - Accent3 2 2 2 2 3" xfId="4985" xr:uid="{00000000-0005-0000-0000-000008050000}"/>
    <cellStyle name="40% - Accent3 2 2 2 2 3 2" xfId="23611" xr:uid="{C5B3B8E0-5C85-4F3C-B87F-4841F3BD695A}"/>
    <cellStyle name="40% - Accent3 2 2 2 2 3 3" xfId="32058" xr:uid="{0338612D-0B61-40BA-87FC-98209CCE3479}"/>
    <cellStyle name="40% - Accent3 2 2 2 2 3 4" xfId="40505" xr:uid="{3F01A8E2-022D-41BB-BD20-D6E5E20B5A45}"/>
    <cellStyle name="40% - Accent3 2 2 2 2 3 5" xfId="14311" xr:uid="{3DA658A1-0CCE-4F7A-B28B-EAE4040B806B}"/>
    <cellStyle name="40% - Accent3 2 2 2 2 4" xfId="9535" xr:uid="{3AC66435-D4C7-42EF-A799-3DC81A57BDF4}"/>
    <cellStyle name="40% - Accent3 2 2 2 2 4 2" xfId="18851" xr:uid="{CDF4BAF7-8C5D-495E-AD06-CA2B96C38555}"/>
    <cellStyle name="40% - Accent3 2 2 2 2 5" xfId="19394" xr:uid="{49A147A5-2749-418A-9D5C-EB2FE0B9675E}"/>
    <cellStyle name="40% - Accent3 2 2 2 2 6" xfId="27841" xr:uid="{4207A91C-1717-414A-8DE2-E650EAC2A79D}"/>
    <cellStyle name="40% - Accent3 2 2 2 2 7" xfId="36288" xr:uid="{CCF3C022-28C1-4B36-88A9-5A357197F596}"/>
    <cellStyle name="40% - Accent3 2 2 2 2 8" xfId="10094" xr:uid="{9E705620-10DB-4041-A778-2E4125B7890D}"/>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2 2 2" xfId="26169" xr:uid="{D69AA03E-0440-4CB1-96C0-2D2305D0AC2D}"/>
    <cellStyle name="40% - Accent3 2 2 2 3 2 2 3" xfId="34616" xr:uid="{57103BC4-066E-4A24-9F8D-3E2C084A0330}"/>
    <cellStyle name="40% - Accent3 2 2 2 3 2 2 4" xfId="43063" xr:uid="{F4D5C07B-82C7-4AB6-8D20-1C6009FED39C}"/>
    <cellStyle name="40% - Accent3 2 2 2 3 2 2 5" xfId="16869" xr:uid="{98245650-66E6-4811-B1DF-8ED1CA308C3E}"/>
    <cellStyle name="40% - Accent3 2 2 2 3 2 3" xfId="21952" xr:uid="{010E6EC6-9C49-42E7-B33F-867AC0718D47}"/>
    <cellStyle name="40% - Accent3 2 2 2 3 2 4" xfId="30399" xr:uid="{B3B0057A-985E-4F3E-A167-ECC356D1B512}"/>
    <cellStyle name="40% - Accent3 2 2 2 3 2 5" xfId="38846" xr:uid="{9A29551D-C614-4CA7-AA18-12EBFB53C1F7}"/>
    <cellStyle name="40% - Accent3 2 2 2 3 2 6" xfId="12652" xr:uid="{8A0DCF24-2559-4262-B8CB-5FF71BEDFADB}"/>
    <cellStyle name="40% - Accent3 2 2 2 3 3" xfId="5398" xr:uid="{00000000-0005-0000-0000-00000C050000}"/>
    <cellStyle name="40% - Accent3 2 2 2 3 3 2" xfId="24024" xr:uid="{850267E0-98EC-497A-BD66-41CC56C579AA}"/>
    <cellStyle name="40% - Accent3 2 2 2 3 3 3" xfId="32471" xr:uid="{9D53D1FB-22FC-46CF-9460-E8D0D14B9D86}"/>
    <cellStyle name="40% - Accent3 2 2 2 3 3 4" xfId="40918" xr:uid="{652C87EF-2890-40C3-A61E-AE83056C6BA6}"/>
    <cellStyle name="40% - Accent3 2 2 2 3 3 5" xfId="14724" xr:uid="{DFC4FDFA-D9DB-494A-8605-D8BF497A95EF}"/>
    <cellStyle name="40% - Accent3 2 2 2 3 4" xfId="19807" xr:uid="{F4B41F87-91EF-4F63-83CF-19B1FAFFA644}"/>
    <cellStyle name="40% - Accent3 2 2 2 3 5" xfId="28254" xr:uid="{DCD86AE2-BC70-4432-B07F-7F8BD6A06C9A}"/>
    <cellStyle name="40% - Accent3 2 2 2 3 6" xfId="36701" xr:uid="{C61B0B5F-21A8-4D88-8BAA-A145F9CDB32E}"/>
    <cellStyle name="40% - Accent3 2 2 2 3 7" xfId="10507" xr:uid="{91B7BDFF-FFEE-4AAC-836F-8E73AF497F48}"/>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2 2 2" xfId="26582" xr:uid="{F1D08E58-9B5D-427C-9B76-6CADFD32AA9F}"/>
    <cellStyle name="40% - Accent3 2 2 2 4 2 2 3" xfId="35029" xr:uid="{3D1816A6-D23B-42C0-8343-6653FAABDE8E}"/>
    <cellStyle name="40% - Accent3 2 2 2 4 2 2 4" xfId="43476" xr:uid="{8D3F323D-A4CE-484F-9ADF-8B4D6AD7B261}"/>
    <cellStyle name="40% - Accent3 2 2 2 4 2 2 5" xfId="17282" xr:uid="{A5581B8B-8B95-4D5E-BA63-7B0778730083}"/>
    <cellStyle name="40% - Accent3 2 2 2 4 2 3" xfId="22365" xr:uid="{7CE7369D-950E-455A-8475-94344EB05B4B}"/>
    <cellStyle name="40% - Accent3 2 2 2 4 2 4" xfId="30812" xr:uid="{202B95E6-F4EF-4F5D-9A41-6EB9B6438BE7}"/>
    <cellStyle name="40% - Accent3 2 2 2 4 2 5" xfId="39259" xr:uid="{9EE9669F-F166-41F6-A840-ADD1514CE548}"/>
    <cellStyle name="40% - Accent3 2 2 2 4 2 6" xfId="13065" xr:uid="{6775F1C3-CAEB-42AF-B6E1-0AA6FF34481D}"/>
    <cellStyle name="40% - Accent3 2 2 2 4 3" xfId="5811" xr:uid="{00000000-0005-0000-0000-000010050000}"/>
    <cellStyle name="40% - Accent3 2 2 2 4 3 2" xfId="24437" xr:uid="{2B994E94-FD58-4697-8393-6CB68B50A88F}"/>
    <cellStyle name="40% - Accent3 2 2 2 4 3 3" xfId="32884" xr:uid="{70B58601-EFE7-42F7-80B4-5310CCD4FFCD}"/>
    <cellStyle name="40% - Accent3 2 2 2 4 3 4" xfId="41331" xr:uid="{618A36E4-51BE-48F9-AE44-76BEF8BA2D98}"/>
    <cellStyle name="40% - Accent3 2 2 2 4 3 5" xfId="15137" xr:uid="{98A5692D-1DBF-4761-ACC0-1DB76F603B02}"/>
    <cellStyle name="40% - Accent3 2 2 2 4 4" xfId="20220" xr:uid="{A519538C-B806-4908-8F1C-E66B02E68BB2}"/>
    <cellStyle name="40% - Accent3 2 2 2 4 5" xfId="28667" xr:uid="{CEB328AD-60AC-4BC7-A0FB-41A2CB76B652}"/>
    <cellStyle name="40% - Accent3 2 2 2 4 6" xfId="37114" xr:uid="{B99481A4-DB10-456A-9980-3FF3857F6B54}"/>
    <cellStyle name="40% - Accent3 2 2 2 4 7" xfId="10920" xr:uid="{8EA6B912-6E93-4D60-A386-24A9C0D51466}"/>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2 2 2" xfId="26995" xr:uid="{DF195429-C72D-48F7-8C22-FC97ECBA8D2C}"/>
    <cellStyle name="40% - Accent3 2 2 2 5 2 2 3" xfId="35442" xr:uid="{477C1216-48E0-4AEA-AD3A-3E2EE71FCE14}"/>
    <cellStyle name="40% - Accent3 2 2 2 5 2 2 4" xfId="43889" xr:uid="{68AAE1D8-C367-44F8-B331-BE2BED40AD4F}"/>
    <cellStyle name="40% - Accent3 2 2 2 5 2 2 5" xfId="17695" xr:uid="{FBB03AE0-8237-473D-A32F-1DE52271E388}"/>
    <cellStyle name="40% - Accent3 2 2 2 5 2 3" xfId="22778" xr:uid="{3CF34D3F-6074-47BE-8F00-F5DFE2AE8FA3}"/>
    <cellStyle name="40% - Accent3 2 2 2 5 2 4" xfId="31225" xr:uid="{51FA6C4F-D185-4783-BFB3-D88D23444AF2}"/>
    <cellStyle name="40% - Accent3 2 2 2 5 2 5" xfId="39672" xr:uid="{6856E53C-A4CE-4FBF-8A6B-0AC73A661114}"/>
    <cellStyle name="40% - Accent3 2 2 2 5 2 6" xfId="13478" xr:uid="{58591367-C45B-4257-AC9D-9589FE3ECFFE}"/>
    <cellStyle name="40% - Accent3 2 2 2 5 3" xfId="6224" xr:uid="{00000000-0005-0000-0000-000014050000}"/>
    <cellStyle name="40% - Accent3 2 2 2 5 3 2" xfId="24850" xr:uid="{B013FDE8-AE5D-4F7E-8811-B68C9DC857EF}"/>
    <cellStyle name="40% - Accent3 2 2 2 5 3 3" xfId="33297" xr:uid="{68BA46A3-DECF-4F88-879C-EF898DBAF7D0}"/>
    <cellStyle name="40% - Accent3 2 2 2 5 3 4" xfId="41744" xr:uid="{90E13FC8-9EE7-44FA-BCFE-EA0E8D6497B9}"/>
    <cellStyle name="40% - Accent3 2 2 2 5 3 5" xfId="15550" xr:uid="{41AADAA9-FA6F-4907-ADD8-B021563B4D61}"/>
    <cellStyle name="40% - Accent3 2 2 2 5 4" xfId="20633" xr:uid="{7B2BB8B9-6F67-4570-908A-C407A5AD08F6}"/>
    <cellStyle name="40% - Accent3 2 2 2 5 5" xfId="29080" xr:uid="{18783C60-73B9-4890-8752-87F595F58106}"/>
    <cellStyle name="40% - Accent3 2 2 2 5 6" xfId="37527" xr:uid="{966DB5DF-A373-4F4A-B264-CDBA5C7E0BE3}"/>
    <cellStyle name="40% - Accent3 2 2 2 5 7" xfId="11333" xr:uid="{8B2318E4-C85C-492A-AECA-755B014BA70F}"/>
    <cellStyle name="40% - Accent3 2 2 2 6" xfId="2331" xr:uid="{00000000-0005-0000-0000-000015050000}"/>
    <cellStyle name="40% - Accent3 2 2 2 6 2" xfId="6637" xr:uid="{00000000-0005-0000-0000-000016050000}"/>
    <cellStyle name="40% - Accent3 2 2 2 6 2 2" xfId="25263" xr:uid="{CED0DF94-D089-4F42-B1BA-F4D12F3FD426}"/>
    <cellStyle name="40% - Accent3 2 2 2 6 2 3" xfId="33710" xr:uid="{7F60EECF-7D1E-406C-84F8-24354C4B85AE}"/>
    <cellStyle name="40% - Accent3 2 2 2 6 2 4" xfId="42157" xr:uid="{208AEB3A-55EB-407F-95F2-E8941AB0E38E}"/>
    <cellStyle name="40% - Accent3 2 2 2 6 2 5" xfId="15963" xr:uid="{FB5D02B5-CD56-4399-B276-1A2F53095D67}"/>
    <cellStyle name="40% - Accent3 2 2 2 6 3" xfId="21046" xr:uid="{8ABE3137-6EA7-48CD-A2B4-42D8BE5A1AF4}"/>
    <cellStyle name="40% - Accent3 2 2 2 6 4" xfId="29493" xr:uid="{03CA58E2-11AD-40B3-B97D-29D2F84909B5}"/>
    <cellStyle name="40% - Accent3 2 2 2 6 5" xfId="37940" xr:uid="{031A3E52-2CD2-4371-8025-CF0E405E9690}"/>
    <cellStyle name="40% - Accent3 2 2 2 6 6" xfId="11746" xr:uid="{0C2A7892-BD59-40FF-B06B-C8FFD179306A}"/>
    <cellStyle name="40% - Accent3 2 2 2 7" xfId="4571" xr:uid="{00000000-0005-0000-0000-000017050000}"/>
    <cellStyle name="40% - Accent3 2 2 2 7 2" xfId="23197" xr:uid="{6178040D-BDDF-4D27-B82D-9FA32F3C3E67}"/>
    <cellStyle name="40% - Accent3 2 2 2 7 3" xfId="31644" xr:uid="{9A83FDDD-223C-4357-8BF5-2FFE6BC51006}"/>
    <cellStyle name="40% - Accent3 2 2 2 7 4" xfId="40091" xr:uid="{F49379C2-723E-415B-9DEF-211445443CD9}"/>
    <cellStyle name="40% - Accent3 2 2 2 7 5" xfId="13897" xr:uid="{C6BA789D-0E7B-4A80-BA85-0E37235A28AD}"/>
    <cellStyle name="40% - Accent3 2 2 2 8" xfId="9110" xr:uid="{E41CBEF9-86F8-44B9-895F-532A7BDC9A2A}"/>
    <cellStyle name="40% - Accent3 2 2 2 8 2" xfId="18434" xr:uid="{71300FEF-60FB-4536-A1EC-D70DBA987F0B}"/>
    <cellStyle name="40% - Accent3 2 2 2 9" xfId="18980" xr:uid="{E5D1A315-249B-424B-82E4-A9FF65AF937D}"/>
    <cellStyle name="40% - Accent3 2 2 3" xfId="636" xr:uid="{00000000-0005-0000-0000-000018050000}"/>
    <cellStyle name="40% - Accent3 2 2 3 2" xfId="2907" xr:uid="{00000000-0005-0000-0000-000019050000}"/>
    <cellStyle name="40% - Accent3 2 2 3 2 2" xfId="7129" xr:uid="{00000000-0005-0000-0000-00001A050000}"/>
    <cellStyle name="40% - Accent3 2 2 3 2 2 2" xfId="25755" xr:uid="{955AF01D-F94A-43BE-8B38-7FF3C4D13AC8}"/>
    <cellStyle name="40% - Accent3 2 2 3 2 2 3" xfId="34202" xr:uid="{F414FC88-C206-4C64-9CA2-CA8019A120E5}"/>
    <cellStyle name="40% - Accent3 2 2 3 2 2 4" xfId="42649" xr:uid="{1DAE1C18-5383-4CEB-B878-AA530F7074B6}"/>
    <cellStyle name="40% - Accent3 2 2 3 2 2 5" xfId="16455" xr:uid="{BC56AC65-129B-42F3-B8BD-100C8553F86D}"/>
    <cellStyle name="40% - Accent3 2 2 3 2 3" xfId="21538" xr:uid="{2C79D51B-CBBA-456E-B9A6-1A7674D6E6E1}"/>
    <cellStyle name="40% - Accent3 2 2 3 2 4" xfId="29985" xr:uid="{78ACD503-D58B-456A-BAC2-EE5EF16D92AC}"/>
    <cellStyle name="40% - Accent3 2 2 3 2 5" xfId="38432" xr:uid="{D8758D8F-3825-4F17-B785-E1CAD6CFBE0C}"/>
    <cellStyle name="40% - Accent3 2 2 3 2 6" xfId="12238" xr:uid="{131D760E-9BC5-459B-80FF-5CF88B034D7E}"/>
    <cellStyle name="40% - Accent3 2 2 3 3" xfId="4984" xr:uid="{00000000-0005-0000-0000-00001B050000}"/>
    <cellStyle name="40% - Accent3 2 2 3 3 2" xfId="23610" xr:uid="{7A297355-428F-4AED-9C78-C456FAFAB855}"/>
    <cellStyle name="40% - Accent3 2 2 3 3 3" xfId="32057" xr:uid="{340FC834-0BE1-492F-8832-3A3C592B32C6}"/>
    <cellStyle name="40% - Accent3 2 2 3 3 4" xfId="40504" xr:uid="{67D747FD-5779-43A4-BEC0-28160BDB84B3}"/>
    <cellStyle name="40% - Accent3 2 2 3 3 5" xfId="14310" xr:uid="{E12FB860-C466-45BB-A78E-7CB9CAC3F624}"/>
    <cellStyle name="40% - Accent3 2 2 3 4" xfId="9328" xr:uid="{1DAEB9B9-01CE-426D-A8F1-CE08999D7264}"/>
    <cellStyle name="40% - Accent3 2 2 3 4 2" xfId="18644" xr:uid="{1FDCF46F-6636-4F25-9620-B1B82EF8F4B7}"/>
    <cellStyle name="40% - Accent3 2 2 3 5" xfId="19393" xr:uid="{2133A56C-2BC4-4EA2-9D8A-96C42280362E}"/>
    <cellStyle name="40% - Accent3 2 2 3 6" xfId="27840" xr:uid="{7F472CA7-78A0-4F15-A62C-EA055E080A42}"/>
    <cellStyle name="40% - Accent3 2 2 3 7" xfId="36287" xr:uid="{42E91305-9255-4742-BC38-4C99A78A21E3}"/>
    <cellStyle name="40% - Accent3 2 2 3 8" xfId="10093" xr:uid="{61176B6E-ACDE-4978-B86C-9D61C257A544}"/>
    <cellStyle name="40% - Accent3 2 2 4" xfId="1089" xr:uid="{00000000-0005-0000-0000-00001C050000}"/>
    <cellStyle name="40% - Accent3 2 2 4 2" xfId="3320" xr:uid="{00000000-0005-0000-0000-00001D050000}"/>
    <cellStyle name="40% - Accent3 2 2 4 2 2" xfId="7542" xr:uid="{00000000-0005-0000-0000-00001E050000}"/>
    <cellStyle name="40% - Accent3 2 2 4 2 2 2" xfId="26168" xr:uid="{90EBECAC-A09B-4EBE-B643-35374F177B5D}"/>
    <cellStyle name="40% - Accent3 2 2 4 2 2 3" xfId="34615" xr:uid="{F86407D2-16D6-4CEE-9873-E4484B2F4738}"/>
    <cellStyle name="40% - Accent3 2 2 4 2 2 4" xfId="43062" xr:uid="{F416870A-A60C-4BAB-A42E-F792D8274B8D}"/>
    <cellStyle name="40% - Accent3 2 2 4 2 2 5" xfId="16868" xr:uid="{97C73080-A0FD-4284-8529-5B83516E7A8F}"/>
    <cellStyle name="40% - Accent3 2 2 4 2 3" xfId="21951" xr:uid="{AE709EC2-2836-4A80-8DB4-0D43924016AE}"/>
    <cellStyle name="40% - Accent3 2 2 4 2 4" xfId="30398" xr:uid="{D8C281AD-DA28-4933-8C0F-C14DD877800F}"/>
    <cellStyle name="40% - Accent3 2 2 4 2 5" xfId="38845" xr:uid="{92C79709-8E1D-407A-8D8C-13BCBACAD9A3}"/>
    <cellStyle name="40% - Accent3 2 2 4 2 6" xfId="12651" xr:uid="{BD3CE23D-859B-4196-ABCF-6DC4FF8B6548}"/>
    <cellStyle name="40% - Accent3 2 2 4 3" xfId="5397" xr:uid="{00000000-0005-0000-0000-00001F050000}"/>
    <cellStyle name="40% - Accent3 2 2 4 3 2" xfId="24023" xr:uid="{228C3CA7-82E8-412E-BEA1-7D4D7818DD79}"/>
    <cellStyle name="40% - Accent3 2 2 4 3 3" xfId="32470" xr:uid="{54CD2ABA-DE9B-4FC3-B62E-9870995091BC}"/>
    <cellStyle name="40% - Accent3 2 2 4 3 4" xfId="40917" xr:uid="{F54ED779-2F7F-4637-A372-1B9A2FFAB44B}"/>
    <cellStyle name="40% - Accent3 2 2 4 3 5" xfId="14723" xr:uid="{A7553BA0-33D9-46CB-9B9E-4E08D207AB42}"/>
    <cellStyle name="40% - Accent3 2 2 4 4" xfId="19806" xr:uid="{1C8F7D64-F9D4-40BE-9A42-25223A8CCA89}"/>
    <cellStyle name="40% - Accent3 2 2 4 5" xfId="28253" xr:uid="{847C9851-D02A-4195-889A-BF3C716076E7}"/>
    <cellStyle name="40% - Accent3 2 2 4 6" xfId="36700" xr:uid="{E03B6E9D-0E39-44AD-BF6E-EED80945D1AF}"/>
    <cellStyle name="40% - Accent3 2 2 4 7" xfId="10506" xr:uid="{93B0E3BC-69D9-4EB2-BEA5-BA5F5B62F9B2}"/>
    <cellStyle name="40% - Accent3 2 2 5" xfId="1503" xr:uid="{00000000-0005-0000-0000-000020050000}"/>
    <cellStyle name="40% - Accent3 2 2 5 2" xfId="3733" xr:uid="{00000000-0005-0000-0000-000021050000}"/>
    <cellStyle name="40% - Accent3 2 2 5 2 2" xfId="7955" xr:uid="{00000000-0005-0000-0000-000022050000}"/>
    <cellStyle name="40% - Accent3 2 2 5 2 2 2" xfId="26581" xr:uid="{5F673966-BBD7-46F7-BC32-FB9537499237}"/>
    <cellStyle name="40% - Accent3 2 2 5 2 2 3" xfId="35028" xr:uid="{A02E1BDD-26CC-4B54-A8C5-EC3D60F52DF2}"/>
    <cellStyle name="40% - Accent3 2 2 5 2 2 4" xfId="43475" xr:uid="{952196D5-0122-40D4-A1C2-85CDABD9CEAB}"/>
    <cellStyle name="40% - Accent3 2 2 5 2 2 5" xfId="17281" xr:uid="{3B9B5664-74E5-4E47-A13C-79E9BF9E8A26}"/>
    <cellStyle name="40% - Accent3 2 2 5 2 3" xfId="22364" xr:uid="{392CDCB4-CE86-4DB6-B241-BC9A363AF55A}"/>
    <cellStyle name="40% - Accent3 2 2 5 2 4" xfId="30811" xr:uid="{FACC269E-86F7-4E50-BC5F-D62D35D82108}"/>
    <cellStyle name="40% - Accent3 2 2 5 2 5" xfId="39258" xr:uid="{07E335FF-2A3C-475D-9B9E-8E3048D23A57}"/>
    <cellStyle name="40% - Accent3 2 2 5 2 6" xfId="13064" xr:uid="{220DFE04-8A62-4B0B-9309-2C6F1D3183A1}"/>
    <cellStyle name="40% - Accent3 2 2 5 3" xfId="5810" xr:uid="{00000000-0005-0000-0000-000023050000}"/>
    <cellStyle name="40% - Accent3 2 2 5 3 2" xfId="24436" xr:uid="{16D90B14-7DD2-4957-845D-A63DBD45D40C}"/>
    <cellStyle name="40% - Accent3 2 2 5 3 3" xfId="32883" xr:uid="{B72D2BF4-306D-48D2-83B3-D71AD8A807C2}"/>
    <cellStyle name="40% - Accent3 2 2 5 3 4" xfId="41330" xr:uid="{203CDF73-BF61-49C1-ACA9-4D52B56CC925}"/>
    <cellStyle name="40% - Accent3 2 2 5 3 5" xfId="15136" xr:uid="{352A47D9-EA18-47AC-8606-2E8B3351F768}"/>
    <cellStyle name="40% - Accent3 2 2 5 4" xfId="20219" xr:uid="{DBDB3B4F-FB69-4375-B9E8-62CAA5A01D1F}"/>
    <cellStyle name="40% - Accent3 2 2 5 5" xfId="28666" xr:uid="{3FB4E1E5-EFD5-4EA0-BA71-EAF1ED8E6690}"/>
    <cellStyle name="40% - Accent3 2 2 5 6" xfId="37113" xr:uid="{3CF87E4C-3E5F-4212-847B-A83A3FD96DA6}"/>
    <cellStyle name="40% - Accent3 2 2 5 7" xfId="10919" xr:uid="{FAC17110-FFC5-4F7A-A5B8-C21314F7369B}"/>
    <cellStyle name="40% - Accent3 2 2 6" xfId="1917" xr:uid="{00000000-0005-0000-0000-000024050000}"/>
    <cellStyle name="40% - Accent3 2 2 6 2" xfId="4146" xr:uid="{00000000-0005-0000-0000-000025050000}"/>
    <cellStyle name="40% - Accent3 2 2 6 2 2" xfId="8368" xr:uid="{00000000-0005-0000-0000-000026050000}"/>
    <cellStyle name="40% - Accent3 2 2 6 2 2 2" xfId="26994" xr:uid="{D2B80A2F-A60A-4438-B5F0-29C4E7A786AB}"/>
    <cellStyle name="40% - Accent3 2 2 6 2 2 3" xfId="35441" xr:uid="{1D043F80-B077-4CD4-B502-1F88ADA0C7D4}"/>
    <cellStyle name="40% - Accent3 2 2 6 2 2 4" xfId="43888" xr:uid="{AAC7AFA8-07B2-4157-B8D7-0ACC01156701}"/>
    <cellStyle name="40% - Accent3 2 2 6 2 2 5" xfId="17694" xr:uid="{5C123482-20A0-4E38-AFEC-A58EB8972FA6}"/>
    <cellStyle name="40% - Accent3 2 2 6 2 3" xfId="22777" xr:uid="{9E3A6E30-EE85-45A5-8B70-64DE1B645146}"/>
    <cellStyle name="40% - Accent3 2 2 6 2 4" xfId="31224" xr:uid="{80CAC67D-C991-4C4F-AC6E-07D9C42AE5B3}"/>
    <cellStyle name="40% - Accent3 2 2 6 2 5" xfId="39671" xr:uid="{84380A11-99D5-45E4-9A1A-B6C96ED63EEA}"/>
    <cellStyle name="40% - Accent3 2 2 6 2 6" xfId="13477" xr:uid="{E35B2C12-4C15-4F93-A4D7-7774A73A6092}"/>
    <cellStyle name="40% - Accent3 2 2 6 3" xfId="6223" xr:uid="{00000000-0005-0000-0000-000027050000}"/>
    <cellStyle name="40% - Accent3 2 2 6 3 2" xfId="24849" xr:uid="{A90FB628-08E0-45AB-ABC5-3F3B3D89A997}"/>
    <cellStyle name="40% - Accent3 2 2 6 3 3" xfId="33296" xr:uid="{15820686-3A35-4A28-B4D9-361F5685D3A4}"/>
    <cellStyle name="40% - Accent3 2 2 6 3 4" xfId="41743" xr:uid="{52872A4B-70E6-4E40-A62A-0389572CEA4F}"/>
    <cellStyle name="40% - Accent3 2 2 6 3 5" xfId="15549" xr:uid="{EC02477C-7384-4CFD-88A2-B785D336F2D7}"/>
    <cellStyle name="40% - Accent3 2 2 6 4" xfId="20632" xr:uid="{33670E43-BD57-4007-BABE-23959E803132}"/>
    <cellStyle name="40% - Accent3 2 2 6 5" xfId="29079" xr:uid="{B281320A-24FA-40CC-8061-0CCB4FB85491}"/>
    <cellStyle name="40% - Accent3 2 2 6 6" xfId="37526" xr:uid="{ADAD6EC8-D2E8-40CD-AD68-67EDE479B36A}"/>
    <cellStyle name="40% - Accent3 2 2 6 7" xfId="11332" xr:uid="{0A29E94A-2B9A-481C-9F15-F688EB7780D5}"/>
    <cellStyle name="40% - Accent3 2 2 7" xfId="2330" xr:uid="{00000000-0005-0000-0000-000028050000}"/>
    <cellStyle name="40% - Accent3 2 2 7 2" xfId="6636" xr:uid="{00000000-0005-0000-0000-000029050000}"/>
    <cellStyle name="40% - Accent3 2 2 7 2 2" xfId="25262" xr:uid="{A06F66DC-83D5-4E78-8497-2A332AE0F944}"/>
    <cellStyle name="40% - Accent3 2 2 7 2 3" xfId="33709" xr:uid="{CE61134E-DC42-4AEF-BCF6-5C4D8C788ECF}"/>
    <cellStyle name="40% - Accent3 2 2 7 2 4" xfId="42156" xr:uid="{91C43902-F9D5-4FE7-87D4-B4B1B9424918}"/>
    <cellStyle name="40% - Accent3 2 2 7 2 5" xfId="15962" xr:uid="{838DD1B3-B046-49BA-8E59-49BA90E5C133}"/>
    <cellStyle name="40% - Accent3 2 2 7 3" xfId="21045" xr:uid="{2CF376F8-928C-4D63-A418-25D81612287E}"/>
    <cellStyle name="40% - Accent3 2 2 7 4" xfId="29492" xr:uid="{30D74D1F-77D8-4225-A9AF-3D1B0516689D}"/>
    <cellStyle name="40% - Accent3 2 2 7 5" xfId="37939" xr:uid="{B40ABAD4-04C5-42B5-B730-F8CCDE72B02C}"/>
    <cellStyle name="40% - Accent3 2 2 7 6" xfId="11745" xr:uid="{24FEBF43-EEA3-4520-BE5F-E7F522B1EA82}"/>
    <cellStyle name="40% - Accent3 2 2 8" xfId="4570" xr:uid="{00000000-0005-0000-0000-00002A050000}"/>
    <cellStyle name="40% - Accent3 2 2 8 2" xfId="23196" xr:uid="{FB28E364-A5A7-48D9-8AAA-1BFFB3D828F7}"/>
    <cellStyle name="40% - Accent3 2 2 8 3" xfId="31643" xr:uid="{A3A64AFD-FA22-4B0D-943F-D4E793ADF400}"/>
    <cellStyle name="40% - Accent3 2 2 8 4" xfId="40090" xr:uid="{C7FABA7B-7D10-4702-A5A0-25041970A173}"/>
    <cellStyle name="40% - Accent3 2 2 8 5" xfId="13896" xr:uid="{9348F43A-A7AD-40F4-A26F-FC7A5C4C1135}"/>
    <cellStyle name="40% - Accent3 2 2 9" xfId="8903" xr:uid="{D9C85917-26AE-466C-8B98-905BCDA9E329}"/>
    <cellStyle name="40% - Accent3 2 2 9 2" xfId="18227" xr:uid="{5AB06868-F0BE-42F5-A432-B07A63A6BE40}"/>
    <cellStyle name="40% - Accent3 2 3" xfId="69" xr:uid="{00000000-0005-0000-0000-00002B050000}"/>
    <cellStyle name="40% - Accent3 2 3 10" xfId="27428" xr:uid="{3772AF95-460B-4128-A24D-E53710589585}"/>
    <cellStyle name="40% - Accent3 2 3 11" xfId="35875" xr:uid="{E38E1E2C-2520-4E69-93B7-EDB71C587C10}"/>
    <cellStyle name="40% - Accent3 2 3 12" xfId="9681" xr:uid="{DEB36E9E-E5B8-45AD-B16E-DFC0072FD886}"/>
    <cellStyle name="40% - Accent3 2 3 2" xfId="638" xr:uid="{00000000-0005-0000-0000-00002C050000}"/>
    <cellStyle name="40% - Accent3 2 3 2 2" xfId="2909" xr:uid="{00000000-0005-0000-0000-00002D050000}"/>
    <cellStyle name="40% - Accent3 2 3 2 2 2" xfId="7131" xr:uid="{00000000-0005-0000-0000-00002E050000}"/>
    <cellStyle name="40% - Accent3 2 3 2 2 2 2" xfId="25757" xr:uid="{9168341B-0FD8-40DA-8246-3CE49EEC6F6A}"/>
    <cellStyle name="40% - Accent3 2 3 2 2 2 3" xfId="34204" xr:uid="{97799CDF-2564-42C4-9501-7C29EB8178F1}"/>
    <cellStyle name="40% - Accent3 2 3 2 2 2 4" xfId="42651" xr:uid="{1626013E-45E9-4797-ABE9-AF2FECCDB43E}"/>
    <cellStyle name="40% - Accent3 2 3 2 2 2 5" xfId="16457" xr:uid="{E8F65709-CE43-4130-9122-C0C594417CEB}"/>
    <cellStyle name="40% - Accent3 2 3 2 2 3" xfId="21540" xr:uid="{E166CF61-A314-403A-9D08-219BD1830E8C}"/>
    <cellStyle name="40% - Accent3 2 3 2 2 4" xfId="29987" xr:uid="{E4DC7F6D-D160-4226-9120-E1B2A4D1045E}"/>
    <cellStyle name="40% - Accent3 2 3 2 2 5" xfId="38434" xr:uid="{B3312EDD-DCCE-40CB-BE14-FF779A3082F7}"/>
    <cellStyle name="40% - Accent3 2 3 2 2 6" xfId="12240" xr:uid="{6172D8E3-17C0-4E12-8173-70D1EEDDED68}"/>
    <cellStyle name="40% - Accent3 2 3 2 3" xfId="4986" xr:uid="{00000000-0005-0000-0000-00002F050000}"/>
    <cellStyle name="40% - Accent3 2 3 2 3 2" xfId="23612" xr:uid="{4CF84B2C-7EA1-4E75-8DEF-8044897B629B}"/>
    <cellStyle name="40% - Accent3 2 3 2 3 3" xfId="32059" xr:uid="{E80256CE-18DF-4581-B200-C02223F79592}"/>
    <cellStyle name="40% - Accent3 2 3 2 3 4" xfId="40506" xr:uid="{5A90CA93-7631-4742-806C-270D6D14C106}"/>
    <cellStyle name="40% - Accent3 2 3 2 3 5" xfId="14312" xr:uid="{56585985-9376-4CBD-9236-B6FB1A0F3D06}"/>
    <cellStyle name="40% - Accent3 2 3 2 4" xfId="9432" xr:uid="{54D6848B-0200-4F42-820D-262A8F9A2C0F}"/>
    <cellStyle name="40% - Accent3 2 3 2 4 2" xfId="18748" xr:uid="{ECE21C44-5742-4F54-95EE-C93BF8FBEE8A}"/>
    <cellStyle name="40% - Accent3 2 3 2 5" xfId="19395" xr:uid="{EF8585C0-D501-4BBF-A015-238B70B9A8D8}"/>
    <cellStyle name="40% - Accent3 2 3 2 6" xfId="27842" xr:uid="{11B588C3-4E28-47D7-95FE-3BD8F867FF79}"/>
    <cellStyle name="40% - Accent3 2 3 2 7" xfId="36289" xr:uid="{3745F3AC-63F5-4FAD-82D4-768ED3ACB91A}"/>
    <cellStyle name="40% - Accent3 2 3 2 8" xfId="10095" xr:uid="{B6C4CE6C-53D3-4474-A4CD-5515E001990D}"/>
    <cellStyle name="40% - Accent3 2 3 3" xfId="1091" xr:uid="{00000000-0005-0000-0000-000030050000}"/>
    <cellStyle name="40% - Accent3 2 3 3 2" xfId="3322" xr:uid="{00000000-0005-0000-0000-000031050000}"/>
    <cellStyle name="40% - Accent3 2 3 3 2 2" xfId="7544" xr:uid="{00000000-0005-0000-0000-000032050000}"/>
    <cellStyle name="40% - Accent3 2 3 3 2 2 2" xfId="26170" xr:uid="{9BB14DC4-4763-435B-8EEB-7F48A8180AD8}"/>
    <cellStyle name="40% - Accent3 2 3 3 2 2 3" xfId="34617" xr:uid="{10ED1372-0114-4921-8E5C-AAD1ABF594E8}"/>
    <cellStyle name="40% - Accent3 2 3 3 2 2 4" xfId="43064" xr:uid="{5FE95AA0-0A8B-4D07-A7C5-B21A8030BFA1}"/>
    <cellStyle name="40% - Accent3 2 3 3 2 2 5" xfId="16870" xr:uid="{53290DA2-79BE-4898-9BFE-B529D27E9E94}"/>
    <cellStyle name="40% - Accent3 2 3 3 2 3" xfId="21953" xr:uid="{92439B91-2ABF-4E00-965B-E35A79543A4D}"/>
    <cellStyle name="40% - Accent3 2 3 3 2 4" xfId="30400" xr:uid="{CE956664-7FDC-44A6-A4C0-87A013F41F41}"/>
    <cellStyle name="40% - Accent3 2 3 3 2 5" xfId="38847" xr:uid="{FEE08241-96F7-4442-88B3-4441D672D13F}"/>
    <cellStyle name="40% - Accent3 2 3 3 2 6" xfId="12653" xr:uid="{FEB705EB-148B-4E54-9E8F-767C196E9D2C}"/>
    <cellStyle name="40% - Accent3 2 3 3 3" xfId="5399" xr:uid="{00000000-0005-0000-0000-000033050000}"/>
    <cellStyle name="40% - Accent3 2 3 3 3 2" xfId="24025" xr:uid="{EF3B8CC2-7D5E-45B1-B2E5-82265DB8D2A9}"/>
    <cellStyle name="40% - Accent3 2 3 3 3 3" xfId="32472" xr:uid="{96AE0339-F998-4CD0-AF91-BB49C5E46DEA}"/>
    <cellStyle name="40% - Accent3 2 3 3 3 4" xfId="40919" xr:uid="{34A6DEC6-9DC8-4B13-B3F4-3EFA55DAE37E}"/>
    <cellStyle name="40% - Accent3 2 3 3 3 5" xfId="14725" xr:uid="{8E006A99-68E1-4A09-B1E4-A7AFE0880B66}"/>
    <cellStyle name="40% - Accent3 2 3 3 4" xfId="19808" xr:uid="{578DB121-D00F-4BF4-8208-79DD982B4C5C}"/>
    <cellStyle name="40% - Accent3 2 3 3 5" xfId="28255" xr:uid="{6746C322-8A3C-49CF-BB76-6D93F6BC8780}"/>
    <cellStyle name="40% - Accent3 2 3 3 6" xfId="36702" xr:uid="{DCB53417-0BCD-4F90-8617-9FF88C408C29}"/>
    <cellStyle name="40% - Accent3 2 3 3 7" xfId="10508" xr:uid="{69719CD6-AB27-40DE-9D6C-0BD843236488}"/>
    <cellStyle name="40% - Accent3 2 3 4" xfId="1505" xr:uid="{00000000-0005-0000-0000-000034050000}"/>
    <cellStyle name="40% - Accent3 2 3 4 2" xfId="3735" xr:uid="{00000000-0005-0000-0000-000035050000}"/>
    <cellStyle name="40% - Accent3 2 3 4 2 2" xfId="7957" xr:uid="{00000000-0005-0000-0000-000036050000}"/>
    <cellStyle name="40% - Accent3 2 3 4 2 2 2" xfId="26583" xr:uid="{3B3402DD-184B-4D35-90F2-1D7EBD40ED0C}"/>
    <cellStyle name="40% - Accent3 2 3 4 2 2 3" xfId="35030" xr:uid="{170C24A0-B502-441F-9435-F01A72C94D0A}"/>
    <cellStyle name="40% - Accent3 2 3 4 2 2 4" xfId="43477" xr:uid="{0C67B008-0863-4978-8D88-FE386BBC5C1D}"/>
    <cellStyle name="40% - Accent3 2 3 4 2 2 5" xfId="17283" xr:uid="{70313067-023D-4989-A0C8-BCEF12DEDE2B}"/>
    <cellStyle name="40% - Accent3 2 3 4 2 3" xfId="22366" xr:uid="{4DB88452-FF49-4BC5-B5E4-8C2EC990EA25}"/>
    <cellStyle name="40% - Accent3 2 3 4 2 4" xfId="30813" xr:uid="{1E0D747D-5084-443C-A7B2-A82B6A7F4D34}"/>
    <cellStyle name="40% - Accent3 2 3 4 2 5" xfId="39260" xr:uid="{B547DDD9-5643-456C-92FD-A980467943A2}"/>
    <cellStyle name="40% - Accent3 2 3 4 2 6" xfId="13066" xr:uid="{6F92163F-9CEA-4E52-98A3-434211C37D4C}"/>
    <cellStyle name="40% - Accent3 2 3 4 3" xfId="5812" xr:uid="{00000000-0005-0000-0000-000037050000}"/>
    <cellStyle name="40% - Accent3 2 3 4 3 2" xfId="24438" xr:uid="{80223744-E9E9-42C4-92CE-35D55153C231}"/>
    <cellStyle name="40% - Accent3 2 3 4 3 3" xfId="32885" xr:uid="{F20B07AB-D3DB-4646-9BA5-13EC07F7C0B3}"/>
    <cellStyle name="40% - Accent3 2 3 4 3 4" xfId="41332" xr:uid="{70118433-1866-44DE-95E5-01232D48EA2C}"/>
    <cellStyle name="40% - Accent3 2 3 4 3 5" xfId="15138" xr:uid="{2EFEB67F-FDC8-44B2-AB86-94BD854FECA4}"/>
    <cellStyle name="40% - Accent3 2 3 4 4" xfId="20221" xr:uid="{27E5D6EF-F3B4-42B5-8698-41F5580ABAB2}"/>
    <cellStyle name="40% - Accent3 2 3 4 5" xfId="28668" xr:uid="{EF71EC35-108B-4D99-8CE5-E6DB2A3AD4B5}"/>
    <cellStyle name="40% - Accent3 2 3 4 6" xfId="37115" xr:uid="{E4956867-F5F1-4022-B9B3-236EC70B2F10}"/>
    <cellStyle name="40% - Accent3 2 3 4 7" xfId="10921" xr:uid="{811B2271-1796-4B95-8C78-58380A68EB8B}"/>
    <cellStyle name="40% - Accent3 2 3 5" xfId="1919" xr:uid="{00000000-0005-0000-0000-000038050000}"/>
    <cellStyle name="40% - Accent3 2 3 5 2" xfId="4148" xr:uid="{00000000-0005-0000-0000-000039050000}"/>
    <cellStyle name="40% - Accent3 2 3 5 2 2" xfId="8370" xr:uid="{00000000-0005-0000-0000-00003A050000}"/>
    <cellStyle name="40% - Accent3 2 3 5 2 2 2" xfId="26996" xr:uid="{810D532C-1476-43BC-87CC-E41D30CAD71C}"/>
    <cellStyle name="40% - Accent3 2 3 5 2 2 3" xfId="35443" xr:uid="{405B4C5F-5CB0-4F21-9BC0-FC3196112F6D}"/>
    <cellStyle name="40% - Accent3 2 3 5 2 2 4" xfId="43890" xr:uid="{D1E4A782-937E-496F-8634-0FA7FC84ADDC}"/>
    <cellStyle name="40% - Accent3 2 3 5 2 2 5" xfId="17696" xr:uid="{48E087D4-85CC-4E39-AA00-2742C8B9AB88}"/>
    <cellStyle name="40% - Accent3 2 3 5 2 3" xfId="22779" xr:uid="{F2A4FECC-45BD-4542-9D61-3A713B7ED799}"/>
    <cellStyle name="40% - Accent3 2 3 5 2 4" xfId="31226" xr:uid="{ED6DE3FB-7670-403D-9941-21914985EB85}"/>
    <cellStyle name="40% - Accent3 2 3 5 2 5" xfId="39673" xr:uid="{E7A26AF0-4972-44C4-B2C0-4792202C7B50}"/>
    <cellStyle name="40% - Accent3 2 3 5 2 6" xfId="13479" xr:uid="{01F06D28-477D-4FCE-A632-43ABEA7D6818}"/>
    <cellStyle name="40% - Accent3 2 3 5 3" xfId="6225" xr:uid="{00000000-0005-0000-0000-00003B050000}"/>
    <cellStyle name="40% - Accent3 2 3 5 3 2" xfId="24851" xr:uid="{7B90F1C2-0F55-480E-B6CE-D91CF29BCCD7}"/>
    <cellStyle name="40% - Accent3 2 3 5 3 3" xfId="33298" xr:uid="{117D6315-723F-4E58-9556-524088347638}"/>
    <cellStyle name="40% - Accent3 2 3 5 3 4" xfId="41745" xr:uid="{066D430A-A547-4B25-8ED1-E76DD59AD41D}"/>
    <cellStyle name="40% - Accent3 2 3 5 3 5" xfId="15551" xr:uid="{D720D86E-68CF-4F6E-AC46-73BACE04729D}"/>
    <cellStyle name="40% - Accent3 2 3 5 4" xfId="20634" xr:uid="{B2DE66B7-4EBE-42EA-8746-D256F4ABC15F}"/>
    <cellStyle name="40% - Accent3 2 3 5 5" xfId="29081" xr:uid="{64EBB918-1E13-4528-8199-368AF4A8D423}"/>
    <cellStyle name="40% - Accent3 2 3 5 6" xfId="37528" xr:uid="{C135CA02-7580-4BB9-803A-E5314BD2E4B5}"/>
    <cellStyle name="40% - Accent3 2 3 5 7" xfId="11334" xr:uid="{6050E01E-BE3B-45B2-86C4-010CA3DEE05F}"/>
    <cellStyle name="40% - Accent3 2 3 6" xfId="2332" xr:uid="{00000000-0005-0000-0000-00003C050000}"/>
    <cellStyle name="40% - Accent3 2 3 6 2" xfId="6638" xr:uid="{00000000-0005-0000-0000-00003D050000}"/>
    <cellStyle name="40% - Accent3 2 3 6 2 2" xfId="25264" xr:uid="{5826709C-E895-418B-AEE1-E79516D24D69}"/>
    <cellStyle name="40% - Accent3 2 3 6 2 3" xfId="33711" xr:uid="{D08EA976-42D1-4E39-9D95-33115689CE35}"/>
    <cellStyle name="40% - Accent3 2 3 6 2 4" xfId="42158" xr:uid="{CDB5A29E-02D1-453D-A459-CA9E9DECE411}"/>
    <cellStyle name="40% - Accent3 2 3 6 2 5" xfId="15964" xr:uid="{0F54F69D-FECC-49F1-B11C-E90CE5047E31}"/>
    <cellStyle name="40% - Accent3 2 3 6 3" xfId="21047" xr:uid="{CABECFEA-18F0-49EB-8716-A37AAEF19DA9}"/>
    <cellStyle name="40% - Accent3 2 3 6 4" xfId="29494" xr:uid="{14FE1043-A37F-4FD8-B77B-F13F7A788DFB}"/>
    <cellStyle name="40% - Accent3 2 3 6 5" xfId="37941" xr:uid="{EC46F093-465E-4D20-AAF9-8F68B24BF347}"/>
    <cellStyle name="40% - Accent3 2 3 6 6" xfId="11747" xr:uid="{C423809B-8348-44D4-B235-63DFE869FBB8}"/>
    <cellStyle name="40% - Accent3 2 3 7" xfId="4572" xr:uid="{00000000-0005-0000-0000-00003E050000}"/>
    <cellStyle name="40% - Accent3 2 3 7 2" xfId="23198" xr:uid="{A1041F15-2F88-4F89-AB8B-F9A06A306C8D}"/>
    <cellStyle name="40% - Accent3 2 3 7 3" xfId="31645" xr:uid="{92FC8FF5-B958-49AE-946D-3F49974B0423}"/>
    <cellStyle name="40% - Accent3 2 3 7 4" xfId="40092" xr:uid="{5B408BCA-178F-4724-8913-7A87703C7866}"/>
    <cellStyle name="40% - Accent3 2 3 7 5" xfId="13898" xr:uid="{0650AA9B-5AAF-47FF-A58B-BEC56DA44D3E}"/>
    <cellStyle name="40% - Accent3 2 3 8" xfId="9007" xr:uid="{2DEFD82C-2A62-4C1E-AA8D-7F2606BD9091}"/>
    <cellStyle name="40% - Accent3 2 3 8 2" xfId="18331" xr:uid="{D2EEEA48-6101-4AAE-9C06-DA924FEE9CFE}"/>
    <cellStyle name="40% - Accent3 2 3 9" xfId="18981" xr:uid="{2FCC9432-0F21-496F-B4AB-EDD9F5337838}"/>
    <cellStyle name="40% - Accent3 2 4" xfId="635" xr:uid="{00000000-0005-0000-0000-00003F050000}"/>
    <cellStyle name="40% - Accent3 2 4 2" xfId="2906" xr:uid="{00000000-0005-0000-0000-000040050000}"/>
    <cellStyle name="40% - Accent3 2 4 2 2" xfId="7128" xr:uid="{00000000-0005-0000-0000-000041050000}"/>
    <cellStyle name="40% - Accent3 2 4 2 2 2" xfId="25754" xr:uid="{F45014D2-6773-42A1-A46A-E5AAA784A230}"/>
    <cellStyle name="40% - Accent3 2 4 2 2 3" xfId="34201" xr:uid="{CE76FAEE-49BD-4A27-BA9F-753F1CB328C8}"/>
    <cellStyle name="40% - Accent3 2 4 2 2 4" xfId="42648" xr:uid="{239249B1-3E59-4408-B8EE-54790D781291}"/>
    <cellStyle name="40% - Accent3 2 4 2 2 5" xfId="16454" xr:uid="{221E3F98-9D33-4C69-963B-18F9D94E3862}"/>
    <cellStyle name="40% - Accent3 2 4 2 3" xfId="21537" xr:uid="{55585A00-D414-4533-929D-A936D3A66737}"/>
    <cellStyle name="40% - Accent3 2 4 2 4" xfId="29984" xr:uid="{E1AF0763-297B-498C-96AD-F060E8A803F2}"/>
    <cellStyle name="40% - Accent3 2 4 2 5" xfId="38431" xr:uid="{09B94675-EF52-45FD-9B1D-FC436986670C}"/>
    <cellStyle name="40% - Accent3 2 4 2 6" xfId="12237" xr:uid="{36CAC56E-D442-426C-9450-DC52C4BD44FF}"/>
    <cellStyle name="40% - Accent3 2 4 3" xfId="4983" xr:uid="{00000000-0005-0000-0000-000042050000}"/>
    <cellStyle name="40% - Accent3 2 4 3 2" xfId="23609" xr:uid="{18F58AF3-9781-49CF-8F37-643B9145D469}"/>
    <cellStyle name="40% - Accent3 2 4 3 3" xfId="32056" xr:uid="{8C1DCF17-C5D0-4EC6-B5D6-5420F89304F2}"/>
    <cellStyle name="40% - Accent3 2 4 3 4" xfId="40503" xr:uid="{63374BCA-5DE4-46D1-826A-370FB09376E1}"/>
    <cellStyle name="40% - Accent3 2 4 3 5" xfId="14309" xr:uid="{97BBC0FF-7CFF-4ACA-870D-D345FB765DFF}"/>
    <cellStyle name="40% - Accent3 2 4 4" xfId="9224" xr:uid="{6B91012A-BFF2-4F1F-901C-A91F06F80031}"/>
    <cellStyle name="40% - Accent3 2 4 4 2" xfId="18541" xr:uid="{DDCC0437-03CC-4BD7-A2A4-23A0FEF91822}"/>
    <cellStyle name="40% - Accent3 2 4 5" xfId="19392" xr:uid="{A674490B-1A37-4288-BE2A-4B50EFD33E05}"/>
    <cellStyle name="40% - Accent3 2 4 6" xfId="27839" xr:uid="{492F9D03-476F-4AED-8539-0FC4C561161F}"/>
    <cellStyle name="40% - Accent3 2 4 7" xfId="36286" xr:uid="{DB0B0714-2591-4FF7-8E04-0F2F507F063F}"/>
    <cellStyle name="40% - Accent3 2 4 8" xfId="10092" xr:uid="{152F9413-1D9D-4FBD-A793-837397116DFE}"/>
    <cellStyle name="40% - Accent3 2 5" xfId="1088" xr:uid="{00000000-0005-0000-0000-000043050000}"/>
    <cellStyle name="40% - Accent3 2 5 2" xfId="3319" xr:uid="{00000000-0005-0000-0000-000044050000}"/>
    <cellStyle name="40% - Accent3 2 5 2 2" xfId="7541" xr:uid="{00000000-0005-0000-0000-000045050000}"/>
    <cellStyle name="40% - Accent3 2 5 2 2 2" xfId="26167" xr:uid="{1C52F979-39B0-4C4B-A476-6AC44F3383BC}"/>
    <cellStyle name="40% - Accent3 2 5 2 2 3" xfId="34614" xr:uid="{EE991D70-AEF8-42C3-A7BC-3F87D0585AE0}"/>
    <cellStyle name="40% - Accent3 2 5 2 2 4" xfId="43061" xr:uid="{A3545027-9277-42D0-AB2E-9CA22885B4B4}"/>
    <cellStyle name="40% - Accent3 2 5 2 2 5" xfId="16867" xr:uid="{2828C221-6757-426A-8AAA-A025175431A1}"/>
    <cellStyle name="40% - Accent3 2 5 2 3" xfId="21950" xr:uid="{6FE0610A-0496-4DAD-993A-BB5435A5955D}"/>
    <cellStyle name="40% - Accent3 2 5 2 4" xfId="30397" xr:uid="{2CA2377D-121A-403D-90B2-F917F5A7083F}"/>
    <cellStyle name="40% - Accent3 2 5 2 5" xfId="38844" xr:uid="{D4693901-C647-4A3B-9CA0-169ABB3B6A0E}"/>
    <cellStyle name="40% - Accent3 2 5 2 6" xfId="12650" xr:uid="{81A7820C-8595-4386-928F-56E49D06801A}"/>
    <cellStyle name="40% - Accent3 2 5 3" xfId="5396" xr:uid="{00000000-0005-0000-0000-000046050000}"/>
    <cellStyle name="40% - Accent3 2 5 3 2" xfId="24022" xr:uid="{CCFB93AD-BC27-40C4-9EF3-0E60971CBF75}"/>
    <cellStyle name="40% - Accent3 2 5 3 3" xfId="32469" xr:uid="{82733F60-7119-4AF8-B9F3-4339AE6C1D3E}"/>
    <cellStyle name="40% - Accent3 2 5 3 4" xfId="40916" xr:uid="{0A4C7FF4-F2C5-43F0-958F-87B359C4B957}"/>
    <cellStyle name="40% - Accent3 2 5 3 5" xfId="14722" xr:uid="{D101EEE7-D751-4600-BE21-A233B1AC8CD3}"/>
    <cellStyle name="40% - Accent3 2 5 4" xfId="19805" xr:uid="{855FF9FB-61A9-4BDE-B22C-358EA04164F5}"/>
    <cellStyle name="40% - Accent3 2 5 5" xfId="28252" xr:uid="{3E54B775-69A0-486F-92FB-48FE3690621D}"/>
    <cellStyle name="40% - Accent3 2 5 6" xfId="36699" xr:uid="{FCA8F8B3-9ACD-4E5D-88A6-171960EE62A6}"/>
    <cellStyle name="40% - Accent3 2 5 7" xfId="10505" xr:uid="{7A898577-1312-4125-A7B1-7F75880A920B}"/>
    <cellStyle name="40% - Accent3 2 6" xfId="1502" xr:uid="{00000000-0005-0000-0000-000047050000}"/>
    <cellStyle name="40% - Accent3 2 6 2" xfId="3732" xr:uid="{00000000-0005-0000-0000-000048050000}"/>
    <cellStyle name="40% - Accent3 2 6 2 2" xfId="7954" xr:uid="{00000000-0005-0000-0000-000049050000}"/>
    <cellStyle name="40% - Accent3 2 6 2 2 2" xfId="26580" xr:uid="{B9422AD6-64B2-42A5-B483-299B6FF969D3}"/>
    <cellStyle name="40% - Accent3 2 6 2 2 3" xfId="35027" xr:uid="{A1554185-1939-48BB-8E02-E6FC1DE45FBE}"/>
    <cellStyle name="40% - Accent3 2 6 2 2 4" xfId="43474" xr:uid="{BF2BAF0B-E34B-4EB3-9BFA-967AFC8B1CB5}"/>
    <cellStyle name="40% - Accent3 2 6 2 2 5" xfId="17280" xr:uid="{5813EAD0-3F97-45AE-9E53-7BF084BC09DE}"/>
    <cellStyle name="40% - Accent3 2 6 2 3" xfId="22363" xr:uid="{044A1928-0B2D-4823-8DAA-82F4BC0F97C9}"/>
    <cellStyle name="40% - Accent3 2 6 2 4" xfId="30810" xr:uid="{D356C57E-E129-4BC1-A67D-C0551B5F3D95}"/>
    <cellStyle name="40% - Accent3 2 6 2 5" xfId="39257" xr:uid="{72B62E33-79C8-4B60-A3B0-220664BF18DE}"/>
    <cellStyle name="40% - Accent3 2 6 2 6" xfId="13063" xr:uid="{FA98879D-303A-48B6-A871-9D9B44FA2ABF}"/>
    <cellStyle name="40% - Accent3 2 6 3" xfId="5809" xr:uid="{00000000-0005-0000-0000-00004A050000}"/>
    <cellStyle name="40% - Accent3 2 6 3 2" xfId="24435" xr:uid="{43CA5D50-DDE6-4749-AF94-563B532ABB6D}"/>
    <cellStyle name="40% - Accent3 2 6 3 3" xfId="32882" xr:uid="{01C4F55D-6048-493D-9613-52B882F4295B}"/>
    <cellStyle name="40% - Accent3 2 6 3 4" xfId="41329" xr:uid="{8E665771-622F-4D36-B6DA-B5A7CAB318EA}"/>
    <cellStyle name="40% - Accent3 2 6 3 5" xfId="15135" xr:uid="{34A18DA1-C733-4816-AD39-DF587EADB32C}"/>
    <cellStyle name="40% - Accent3 2 6 4" xfId="20218" xr:uid="{38D34DDE-BEAB-4338-87E1-05D3B5C64030}"/>
    <cellStyle name="40% - Accent3 2 6 5" xfId="28665" xr:uid="{40B05AD8-2B0F-4B62-8B9C-CA4967DC6E0E}"/>
    <cellStyle name="40% - Accent3 2 6 6" xfId="37112" xr:uid="{8FD9D305-EB22-4E1D-893C-57300054FC2C}"/>
    <cellStyle name="40% - Accent3 2 6 7" xfId="10918" xr:uid="{5879B8F7-566C-4AD2-B108-1391429005D3}"/>
    <cellStyle name="40% - Accent3 2 7" xfId="1916" xr:uid="{00000000-0005-0000-0000-00004B050000}"/>
    <cellStyle name="40% - Accent3 2 7 2" xfId="4145" xr:uid="{00000000-0005-0000-0000-00004C050000}"/>
    <cellStyle name="40% - Accent3 2 7 2 2" xfId="8367" xr:uid="{00000000-0005-0000-0000-00004D050000}"/>
    <cellStyle name="40% - Accent3 2 7 2 2 2" xfId="26993" xr:uid="{D001EFCE-F088-4E0A-B622-B7EA36E42E63}"/>
    <cellStyle name="40% - Accent3 2 7 2 2 3" xfId="35440" xr:uid="{9EF36DD1-6533-4D6D-8EE7-EC22D2AE0A39}"/>
    <cellStyle name="40% - Accent3 2 7 2 2 4" xfId="43887" xr:uid="{38732994-798F-4E29-BFFB-2664658DD48F}"/>
    <cellStyle name="40% - Accent3 2 7 2 2 5" xfId="17693" xr:uid="{54535102-53C4-43B1-BDFD-F8F4ED9A0032}"/>
    <cellStyle name="40% - Accent3 2 7 2 3" xfId="22776" xr:uid="{03B8DCBA-3B2F-4BE2-8167-E63118BBC3A2}"/>
    <cellStyle name="40% - Accent3 2 7 2 4" xfId="31223" xr:uid="{1B666324-FD60-40CD-A352-058E28277D22}"/>
    <cellStyle name="40% - Accent3 2 7 2 5" xfId="39670" xr:uid="{4BD5A00B-9008-465F-B66C-E7D8D5FE029F}"/>
    <cellStyle name="40% - Accent3 2 7 2 6" xfId="13476" xr:uid="{5A761224-4002-4EE9-9E9F-AE9267216560}"/>
    <cellStyle name="40% - Accent3 2 7 3" xfId="6222" xr:uid="{00000000-0005-0000-0000-00004E050000}"/>
    <cellStyle name="40% - Accent3 2 7 3 2" xfId="24848" xr:uid="{1C390C93-5DC5-476A-A2BC-6FE77557D5B4}"/>
    <cellStyle name="40% - Accent3 2 7 3 3" xfId="33295" xr:uid="{29E1075B-342B-440E-992F-D43315B44899}"/>
    <cellStyle name="40% - Accent3 2 7 3 4" xfId="41742" xr:uid="{30C5C95F-150B-4467-9303-7DF74B80A7F1}"/>
    <cellStyle name="40% - Accent3 2 7 3 5" xfId="15548" xr:uid="{DA983205-01ED-464D-B001-1A99C712EE70}"/>
    <cellStyle name="40% - Accent3 2 7 4" xfId="20631" xr:uid="{F78A5CED-D97A-4D45-9A45-D68F8EB953E4}"/>
    <cellStyle name="40% - Accent3 2 7 5" xfId="29078" xr:uid="{315DF4C3-E0CC-4E12-AF9B-AA944B646E95}"/>
    <cellStyle name="40% - Accent3 2 7 6" xfId="37525" xr:uid="{3853BBBD-6743-4126-B22F-0EDE9EE75038}"/>
    <cellStyle name="40% - Accent3 2 7 7" xfId="11331" xr:uid="{51F18876-585E-4AFD-BD80-6181C1431739}"/>
    <cellStyle name="40% - Accent3 2 8" xfId="2329" xr:uid="{00000000-0005-0000-0000-00004F050000}"/>
    <cellStyle name="40% - Accent3 2 8 2" xfId="6635" xr:uid="{00000000-0005-0000-0000-000050050000}"/>
    <cellStyle name="40% - Accent3 2 8 2 2" xfId="25261" xr:uid="{91D19672-A339-4F4A-AC81-B7A9604AE0F4}"/>
    <cellStyle name="40% - Accent3 2 8 2 3" xfId="33708" xr:uid="{E0294876-6961-4C0C-B06B-75E25A1C4FA9}"/>
    <cellStyle name="40% - Accent3 2 8 2 4" xfId="42155" xr:uid="{2A4E9F1B-A7AC-4481-95DF-53129655A773}"/>
    <cellStyle name="40% - Accent3 2 8 2 5" xfId="15961" xr:uid="{458031C0-0C89-492B-984B-D2BC21B23BBF}"/>
    <cellStyle name="40% - Accent3 2 8 3" xfId="21044" xr:uid="{7AD1380F-EEDF-4007-8D94-ADA3452B816C}"/>
    <cellStyle name="40% - Accent3 2 8 4" xfId="29491" xr:uid="{82FED8C2-E8DC-4989-A251-273AC62A629A}"/>
    <cellStyle name="40% - Accent3 2 8 5" xfId="37938" xr:uid="{66A8AA23-123A-42EE-9BAC-7FD26FE33005}"/>
    <cellStyle name="40% - Accent3 2 8 6" xfId="11744" xr:uid="{FD629B8B-30A1-49B8-ABEA-0E0F99331BEF}"/>
    <cellStyle name="40% - Accent3 2 9" xfId="4569" xr:uid="{00000000-0005-0000-0000-000051050000}"/>
    <cellStyle name="40% - Accent3 2 9 2" xfId="23195" xr:uid="{DF4B290D-6AEA-4321-88F0-1606BCB7D64A}"/>
    <cellStyle name="40% - Accent3 2 9 3" xfId="31642" xr:uid="{AA59CA6F-3D7F-4B3F-86C8-97B0FB5951D7}"/>
    <cellStyle name="40% - Accent3 2 9 4" xfId="40089" xr:uid="{3CAEFE17-C631-4ECE-B9E2-52CE9C1D82E0}"/>
    <cellStyle name="40% - Accent3 2 9 5" xfId="13895" xr:uid="{EDB1DC7F-A0A9-4789-9D58-8EFEB9577963}"/>
    <cellStyle name="40% - Accent3 3" xfId="70" xr:uid="{00000000-0005-0000-0000-000052050000}"/>
    <cellStyle name="40% - Accent3 3 10" xfId="18982" xr:uid="{25E2067B-23EF-4A93-B219-7E6894B48859}"/>
    <cellStyle name="40% - Accent3 3 11" xfId="27429" xr:uid="{DE8ED3F1-D814-4FA2-ADFF-E8ECEF37E648}"/>
    <cellStyle name="40% - Accent3 3 12" xfId="35876" xr:uid="{5D114D21-1C29-4B09-A2EF-ECC2A8841125}"/>
    <cellStyle name="40% - Accent3 3 13" xfId="9682" xr:uid="{1BEB82A5-4A08-4C21-874F-2699396D7171}"/>
    <cellStyle name="40% - Accent3 3 2" xfId="71" xr:uid="{00000000-0005-0000-0000-000053050000}"/>
    <cellStyle name="40% - Accent3 3 2 10" xfId="27430" xr:uid="{ED82CD03-F3DC-4820-9B4E-B854E7D4FD32}"/>
    <cellStyle name="40% - Accent3 3 2 11" xfId="35877" xr:uid="{AFCDB33E-07A1-49B2-BA7D-BD8BC7E1F9D6}"/>
    <cellStyle name="40% - Accent3 3 2 12" xfId="9683" xr:uid="{E9F9806E-18E9-433E-86A0-17C8C7C0E23D}"/>
    <cellStyle name="40% - Accent3 3 2 2" xfId="640" xr:uid="{00000000-0005-0000-0000-000054050000}"/>
    <cellStyle name="40% - Accent3 3 2 2 2" xfId="2911" xr:uid="{00000000-0005-0000-0000-000055050000}"/>
    <cellStyle name="40% - Accent3 3 2 2 2 2" xfId="7133" xr:uid="{00000000-0005-0000-0000-000056050000}"/>
    <cellStyle name="40% - Accent3 3 2 2 2 2 2" xfId="25759" xr:uid="{965C13A1-4AEF-4BBA-8CE5-978D14C42D09}"/>
    <cellStyle name="40% - Accent3 3 2 2 2 2 3" xfId="34206" xr:uid="{AACAA29F-00E0-44CD-8015-49915CB4A5E4}"/>
    <cellStyle name="40% - Accent3 3 2 2 2 2 4" xfId="42653" xr:uid="{460D2286-C359-4563-A3D5-4B7344F5E95C}"/>
    <cellStyle name="40% - Accent3 3 2 2 2 2 5" xfId="16459" xr:uid="{C3796D3E-C7DF-46D3-9809-E99C6DBEED5B}"/>
    <cellStyle name="40% - Accent3 3 2 2 2 3" xfId="21542" xr:uid="{575A9CAA-EC72-42A5-B7E9-F8CDBBAB31FF}"/>
    <cellStyle name="40% - Accent3 3 2 2 2 4" xfId="29989" xr:uid="{C894D4F1-ECBF-450E-8CC2-D49A86D258ED}"/>
    <cellStyle name="40% - Accent3 3 2 2 2 5" xfId="38436" xr:uid="{6D5D5053-BB22-4AD0-8EB7-AEE9A721B85D}"/>
    <cellStyle name="40% - Accent3 3 2 2 2 6" xfId="12242" xr:uid="{03E63D51-6C60-44C5-B027-94F547A8486A}"/>
    <cellStyle name="40% - Accent3 3 2 2 3" xfId="4988" xr:uid="{00000000-0005-0000-0000-000057050000}"/>
    <cellStyle name="40% - Accent3 3 2 2 3 2" xfId="23614" xr:uid="{3B44A052-F8DA-4519-9EDB-2BA9CA1C9C57}"/>
    <cellStyle name="40% - Accent3 3 2 2 3 3" xfId="32061" xr:uid="{C067566C-4389-4428-9CE1-F67A786B1202}"/>
    <cellStyle name="40% - Accent3 3 2 2 3 4" xfId="40508" xr:uid="{4A3F081B-5DAE-4D47-A395-D690883E6149}"/>
    <cellStyle name="40% - Accent3 3 2 2 3 5" xfId="14314" xr:uid="{DBD10F99-65CB-4BDE-9855-F5B0E0F391C3}"/>
    <cellStyle name="40% - Accent3 3 2 2 4" xfId="9498" xr:uid="{7C43CF58-5AE0-4BAA-9D2B-CAB92F3612F1}"/>
    <cellStyle name="40% - Accent3 3 2 2 4 2" xfId="18814" xr:uid="{FACEBF5E-E703-49D7-A82D-F2DAE7E43B08}"/>
    <cellStyle name="40% - Accent3 3 2 2 5" xfId="19397" xr:uid="{23F3BECA-4DC2-42C4-8D5A-C26EB1E979F6}"/>
    <cellStyle name="40% - Accent3 3 2 2 6" xfId="27844" xr:uid="{4AD80D9B-DE00-4EFB-B57E-DC911930DE1A}"/>
    <cellStyle name="40% - Accent3 3 2 2 7" xfId="36291" xr:uid="{F463BF2D-1C21-4C8B-BD8D-7F362E84F1EF}"/>
    <cellStyle name="40% - Accent3 3 2 2 8" xfId="10097" xr:uid="{5C102EEF-796E-4B4C-9E74-9C6DAC571F53}"/>
    <cellStyle name="40% - Accent3 3 2 3" xfId="1093" xr:uid="{00000000-0005-0000-0000-000058050000}"/>
    <cellStyle name="40% - Accent3 3 2 3 2" xfId="3324" xr:uid="{00000000-0005-0000-0000-000059050000}"/>
    <cellStyle name="40% - Accent3 3 2 3 2 2" xfId="7546" xr:uid="{00000000-0005-0000-0000-00005A050000}"/>
    <cellStyle name="40% - Accent3 3 2 3 2 2 2" xfId="26172" xr:uid="{3152A2F2-DCA9-4C1F-A89A-522DA3E45E78}"/>
    <cellStyle name="40% - Accent3 3 2 3 2 2 3" xfId="34619" xr:uid="{E33F1D86-D4F1-4C6F-8827-DCC0F19D99E8}"/>
    <cellStyle name="40% - Accent3 3 2 3 2 2 4" xfId="43066" xr:uid="{8125F609-98DA-48FD-B17A-14517E5ED76C}"/>
    <cellStyle name="40% - Accent3 3 2 3 2 2 5" xfId="16872" xr:uid="{3DBA48FA-80E6-4B00-A0F4-5C0FCB814973}"/>
    <cellStyle name="40% - Accent3 3 2 3 2 3" xfId="21955" xr:uid="{D7FEFC68-12FB-470E-A942-A943417F8244}"/>
    <cellStyle name="40% - Accent3 3 2 3 2 4" xfId="30402" xr:uid="{605A9C52-ECA9-4ED7-96C6-C98E18420AD0}"/>
    <cellStyle name="40% - Accent3 3 2 3 2 5" xfId="38849" xr:uid="{CB92BD45-A3C2-4F27-993A-E84FF4FF0C2C}"/>
    <cellStyle name="40% - Accent3 3 2 3 2 6" xfId="12655" xr:uid="{20A6A41F-EDEA-405C-BFC4-410D9638D9D6}"/>
    <cellStyle name="40% - Accent3 3 2 3 3" xfId="5401" xr:uid="{00000000-0005-0000-0000-00005B050000}"/>
    <cellStyle name="40% - Accent3 3 2 3 3 2" xfId="24027" xr:uid="{BDEBC475-3132-4C59-8A87-82F473667348}"/>
    <cellStyle name="40% - Accent3 3 2 3 3 3" xfId="32474" xr:uid="{A0922D60-E3E5-43DA-A75B-8AD5DBF77C7E}"/>
    <cellStyle name="40% - Accent3 3 2 3 3 4" xfId="40921" xr:uid="{84E7207F-F12B-4BBA-80AB-06A4C6902627}"/>
    <cellStyle name="40% - Accent3 3 2 3 3 5" xfId="14727" xr:uid="{6ABD7E7F-8FBC-4CC7-81FF-65615990800E}"/>
    <cellStyle name="40% - Accent3 3 2 3 4" xfId="19810" xr:uid="{C5A56BE8-AF68-4454-BCAE-B09E719F32EA}"/>
    <cellStyle name="40% - Accent3 3 2 3 5" xfId="28257" xr:uid="{8D278244-34AA-41AB-A813-B310749E9714}"/>
    <cellStyle name="40% - Accent3 3 2 3 6" xfId="36704" xr:uid="{620684EA-AA8C-440F-959A-7E46E7E120C3}"/>
    <cellStyle name="40% - Accent3 3 2 3 7" xfId="10510" xr:uid="{E04B0AC9-C36D-4EE5-B755-DAD116CD8061}"/>
    <cellStyle name="40% - Accent3 3 2 4" xfId="1507" xr:uid="{00000000-0005-0000-0000-00005C050000}"/>
    <cellStyle name="40% - Accent3 3 2 4 2" xfId="3737" xr:uid="{00000000-0005-0000-0000-00005D050000}"/>
    <cellStyle name="40% - Accent3 3 2 4 2 2" xfId="7959" xr:uid="{00000000-0005-0000-0000-00005E050000}"/>
    <cellStyle name="40% - Accent3 3 2 4 2 2 2" xfId="26585" xr:uid="{AE3A6A10-3BDF-4060-B21C-6110DC239288}"/>
    <cellStyle name="40% - Accent3 3 2 4 2 2 3" xfId="35032" xr:uid="{EF773B93-E37F-4357-A879-5752FAE8F503}"/>
    <cellStyle name="40% - Accent3 3 2 4 2 2 4" xfId="43479" xr:uid="{3A2774D0-9A43-43BA-B594-1EF592E2A248}"/>
    <cellStyle name="40% - Accent3 3 2 4 2 2 5" xfId="17285" xr:uid="{08752C6B-08EA-4835-BB93-E06B4F88D17D}"/>
    <cellStyle name="40% - Accent3 3 2 4 2 3" xfId="22368" xr:uid="{A9C8391C-883D-411E-AA5B-93A328D99D39}"/>
    <cellStyle name="40% - Accent3 3 2 4 2 4" xfId="30815" xr:uid="{42B9B8AC-170F-4EA3-AB7D-BC20197F0EE1}"/>
    <cellStyle name="40% - Accent3 3 2 4 2 5" xfId="39262" xr:uid="{36188AFB-4447-4D04-AD48-B3E7F528611A}"/>
    <cellStyle name="40% - Accent3 3 2 4 2 6" xfId="13068" xr:uid="{9D137984-7C72-4F3F-A85B-E79C07714D3A}"/>
    <cellStyle name="40% - Accent3 3 2 4 3" xfId="5814" xr:uid="{00000000-0005-0000-0000-00005F050000}"/>
    <cellStyle name="40% - Accent3 3 2 4 3 2" xfId="24440" xr:uid="{6D6FB09F-D578-41F8-879E-096621BCD488}"/>
    <cellStyle name="40% - Accent3 3 2 4 3 3" xfId="32887" xr:uid="{6A879479-11DD-4EF8-8CD0-5174C8DE78E1}"/>
    <cellStyle name="40% - Accent3 3 2 4 3 4" xfId="41334" xr:uid="{4F887A1A-C6E9-4106-8D54-32233C727B74}"/>
    <cellStyle name="40% - Accent3 3 2 4 3 5" xfId="15140" xr:uid="{7307E88D-B9D2-4C85-9C9C-643BCDD24F9B}"/>
    <cellStyle name="40% - Accent3 3 2 4 4" xfId="20223" xr:uid="{D64DD6A8-B3BD-46A5-8749-14E2801B39E0}"/>
    <cellStyle name="40% - Accent3 3 2 4 5" xfId="28670" xr:uid="{3F0A9AC1-03D1-426D-85E8-E18F3EF9DFB0}"/>
    <cellStyle name="40% - Accent3 3 2 4 6" xfId="37117" xr:uid="{AA8164FD-74DC-42D0-B62A-5BFE7B9812E4}"/>
    <cellStyle name="40% - Accent3 3 2 4 7" xfId="10923" xr:uid="{15753AA8-22A5-4276-A17B-8C6FDEBB041B}"/>
    <cellStyle name="40% - Accent3 3 2 5" xfId="1921" xr:uid="{00000000-0005-0000-0000-000060050000}"/>
    <cellStyle name="40% - Accent3 3 2 5 2" xfId="4150" xr:uid="{00000000-0005-0000-0000-000061050000}"/>
    <cellStyle name="40% - Accent3 3 2 5 2 2" xfId="8372" xr:uid="{00000000-0005-0000-0000-000062050000}"/>
    <cellStyle name="40% - Accent3 3 2 5 2 2 2" xfId="26998" xr:uid="{60B5BF4B-3D29-47B4-8F7B-2E8C98880FDD}"/>
    <cellStyle name="40% - Accent3 3 2 5 2 2 3" xfId="35445" xr:uid="{49C7B4C2-2747-4F05-B16B-4156765CA9F4}"/>
    <cellStyle name="40% - Accent3 3 2 5 2 2 4" xfId="43892" xr:uid="{8E89D11E-0D6E-4CCC-8E46-E350719FD756}"/>
    <cellStyle name="40% - Accent3 3 2 5 2 2 5" xfId="17698" xr:uid="{5B5BB3E2-4A38-4520-BB17-8E5A0C09659A}"/>
    <cellStyle name="40% - Accent3 3 2 5 2 3" xfId="22781" xr:uid="{0D8E0D16-D2F1-49CD-975E-390D0DD45B3B}"/>
    <cellStyle name="40% - Accent3 3 2 5 2 4" xfId="31228" xr:uid="{76876BA6-48B7-4F9E-8817-FFF5BFE38D10}"/>
    <cellStyle name="40% - Accent3 3 2 5 2 5" xfId="39675" xr:uid="{18FCBC65-699D-4D1C-B5FE-50D5440F7E3D}"/>
    <cellStyle name="40% - Accent3 3 2 5 2 6" xfId="13481" xr:uid="{0DC86476-45FB-4E93-8BDB-9935D81735A3}"/>
    <cellStyle name="40% - Accent3 3 2 5 3" xfId="6227" xr:uid="{00000000-0005-0000-0000-000063050000}"/>
    <cellStyle name="40% - Accent3 3 2 5 3 2" xfId="24853" xr:uid="{BE24EDF5-D730-42F4-97A3-BDA95FE4C34A}"/>
    <cellStyle name="40% - Accent3 3 2 5 3 3" xfId="33300" xr:uid="{E44195DE-2FF6-4C1A-A5B8-20DA4ADCBDB5}"/>
    <cellStyle name="40% - Accent3 3 2 5 3 4" xfId="41747" xr:uid="{E842CDEF-1712-456E-8B30-667A7573E345}"/>
    <cellStyle name="40% - Accent3 3 2 5 3 5" xfId="15553" xr:uid="{053E128E-E37B-4009-95F6-6D226A448B22}"/>
    <cellStyle name="40% - Accent3 3 2 5 4" xfId="20636" xr:uid="{4498AD5B-0436-4C14-BED7-9F87260FAC1C}"/>
    <cellStyle name="40% - Accent3 3 2 5 5" xfId="29083" xr:uid="{86E49806-04FA-4927-A563-EEBA6815BDF0}"/>
    <cellStyle name="40% - Accent3 3 2 5 6" xfId="37530" xr:uid="{41D90B79-FAC4-475B-914D-0DCF7A69CB9D}"/>
    <cellStyle name="40% - Accent3 3 2 5 7" xfId="11336" xr:uid="{75AC49E0-E926-4D06-A66A-D74936D76B8C}"/>
    <cellStyle name="40% - Accent3 3 2 6" xfId="2334" xr:uid="{00000000-0005-0000-0000-000064050000}"/>
    <cellStyle name="40% - Accent3 3 2 6 2" xfId="6640" xr:uid="{00000000-0005-0000-0000-000065050000}"/>
    <cellStyle name="40% - Accent3 3 2 6 2 2" xfId="25266" xr:uid="{387E0BAD-4DC9-4FF3-AF36-46F436630F74}"/>
    <cellStyle name="40% - Accent3 3 2 6 2 3" xfId="33713" xr:uid="{CD1B15C0-243F-4EB4-8971-0D4DCAFFFB12}"/>
    <cellStyle name="40% - Accent3 3 2 6 2 4" xfId="42160" xr:uid="{A9943030-15E7-47A4-966C-00BC7767AC38}"/>
    <cellStyle name="40% - Accent3 3 2 6 2 5" xfId="15966" xr:uid="{659AEB8C-2078-43BA-BDD5-C1F37963FE19}"/>
    <cellStyle name="40% - Accent3 3 2 6 3" xfId="21049" xr:uid="{12E06E9E-0CE0-425A-8299-5434F23B7031}"/>
    <cellStyle name="40% - Accent3 3 2 6 4" xfId="29496" xr:uid="{CEA5E561-784D-4D38-AB4B-43F2FA728993}"/>
    <cellStyle name="40% - Accent3 3 2 6 5" xfId="37943" xr:uid="{42782023-447E-492F-912C-FD741750FDD5}"/>
    <cellStyle name="40% - Accent3 3 2 6 6" xfId="11749" xr:uid="{4E430646-6B6D-4517-A206-C49D5175BC61}"/>
    <cellStyle name="40% - Accent3 3 2 7" xfId="4574" xr:uid="{00000000-0005-0000-0000-000066050000}"/>
    <cellStyle name="40% - Accent3 3 2 7 2" xfId="23200" xr:uid="{6BD39ADD-75E7-46F7-851E-929534AA8BB7}"/>
    <cellStyle name="40% - Accent3 3 2 7 3" xfId="31647" xr:uid="{1051FB6C-9A96-47AB-831F-8A25A3B362BE}"/>
    <cellStyle name="40% - Accent3 3 2 7 4" xfId="40094" xr:uid="{49541929-FBA0-4088-B2B1-E455A76E51E7}"/>
    <cellStyle name="40% - Accent3 3 2 7 5" xfId="13900" xr:uid="{93B50600-7F6A-43EE-BC0E-0C50FA2A917B}"/>
    <cellStyle name="40% - Accent3 3 2 8" xfId="9073" xr:uid="{0E71C752-2CF0-411D-A05E-4DA4A73CFC34}"/>
    <cellStyle name="40% - Accent3 3 2 8 2" xfId="18397" xr:uid="{E93CDC67-DC06-484D-AF06-F2B730AD9457}"/>
    <cellStyle name="40% - Accent3 3 2 9" xfId="18983" xr:uid="{9890F190-D994-4BC7-A9D5-08518C99CEEC}"/>
    <cellStyle name="40% - Accent3 3 3" xfId="639" xr:uid="{00000000-0005-0000-0000-000067050000}"/>
    <cellStyle name="40% - Accent3 3 3 2" xfId="2910" xr:uid="{00000000-0005-0000-0000-000068050000}"/>
    <cellStyle name="40% - Accent3 3 3 2 2" xfId="7132" xr:uid="{00000000-0005-0000-0000-000069050000}"/>
    <cellStyle name="40% - Accent3 3 3 2 2 2" xfId="25758" xr:uid="{63B12978-B546-40B7-AA4F-C33B633BD79E}"/>
    <cellStyle name="40% - Accent3 3 3 2 2 3" xfId="34205" xr:uid="{D7F95F1D-77CA-499E-93FE-F460AFB6F836}"/>
    <cellStyle name="40% - Accent3 3 3 2 2 4" xfId="42652" xr:uid="{FC699FFB-8246-4A8F-A665-13DFBE562A2A}"/>
    <cellStyle name="40% - Accent3 3 3 2 2 5" xfId="16458" xr:uid="{A5D81958-CF3F-4CFC-A9F5-F1B11A9A7393}"/>
    <cellStyle name="40% - Accent3 3 3 2 3" xfId="21541" xr:uid="{997F659C-E6E5-455E-99A0-C2C4C511E5F7}"/>
    <cellStyle name="40% - Accent3 3 3 2 4" xfId="29988" xr:uid="{5A41364C-8723-4A1D-A2E8-CB305C152338}"/>
    <cellStyle name="40% - Accent3 3 3 2 5" xfId="38435" xr:uid="{A077A322-CEB6-4564-8B2A-217FA61B6675}"/>
    <cellStyle name="40% - Accent3 3 3 2 6" xfId="12241" xr:uid="{CA7B429D-3212-4868-AF0F-5DDB8574DAA7}"/>
    <cellStyle name="40% - Accent3 3 3 3" xfId="4987" xr:uid="{00000000-0005-0000-0000-00006A050000}"/>
    <cellStyle name="40% - Accent3 3 3 3 2" xfId="23613" xr:uid="{A78DA6CA-2572-4E45-BE0F-E950F72FCBEC}"/>
    <cellStyle name="40% - Accent3 3 3 3 3" xfId="32060" xr:uid="{0C99A48B-FFD3-417E-BF33-56D81A361DC3}"/>
    <cellStyle name="40% - Accent3 3 3 3 4" xfId="40507" xr:uid="{7F0BA4F5-229D-4F41-B99D-2538021641EB}"/>
    <cellStyle name="40% - Accent3 3 3 3 5" xfId="14313" xr:uid="{09E22966-4EA3-4F4F-A155-3DF97979C69F}"/>
    <cellStyle name="40% - Accent3 3 3 4" xfId="9291" xr:uid="{59AB3F6D-A8C6-4A37-A8E3-967850079A77}"/>
    <cellStyle name="40% - Accent3 3 3 4 2" xfId="18607" xr:uid="{C505EE70-6CB5-435C-AC3F-8226D1E7A6C1}"/>
    <cellStyle name="40% - Accent3 3 3 5" xfId="19396" xr:uid="{A0C77627-F860-412B-9C56-874F384171A2}"/>
    <cellStyle name="40% - Accent3 3 3 6" xfId="27843" xr:uid="{27EF536C-8F9F-482C-B8FB-9C88845B7AA5}"/>
    <cellStyle name="40% - Accent3 3 3 7" xfId="36290" xr:uid="{A748893A-B888-4EB4-9638-4178D09588F1}"/>
    <cellStyle name="40% - Accent3 3 3 8" xfId="10096" xr:uid="{F13C2E5F-EAA0-4469-96CA-A30837E27F97}"/>
    <cellStyle name="40% - Accent3 3 4" xfId="1092" xr:uid="{00000000-0005-0000-0000-00006B050000}"/>
    <cellStyle name="40% - Accent3 3 4 2" xfId="3323" xr:uid="{00000000-0005-0000-0000-00006C050000}"/>
    <cellStyle name="40% - Accent3 3 4 2 2" xfId="7545" xr:uid="{00000000-0005-0000-0000-00006D050000}"/>
    <cellStyle name="40% - Accent3 3 4 2 2 2" xfId="26171" xr:uid="{96EF7E32-F0C2-4737-9301-FFAC64915997}"/>
    <cellStyle name="40% - Accent3 3 4 2 2 3" xfId="34618" xr:uid="{AF449EFF-7A0D-4D07-8723-DBBA8DF2EA9A}"/>
    <cellStyle name="40% - Accent3 3 4 2 2 4" xfId="43065" xr:uid="{AFAAF1F5-99C1-4DE2-AF99-7C69C6D48AEF}"/>
    <cellStyle name="40% - Accent3 3 4 2 2 5" xfId="16871" xr:uid="{0424BA5C-0D58-4535-9CA9-FBF2ACCCBF81}"/>
    <cellStyle name="40% - Accent3 3 4 2 3" xfId="21954" xr:uid="{06FDED25-6554-4574-B0BB-A5254709793B}"/>
    <cellStyle name="40% - Accent3 3 4 2 4" xfId="30401" xr:uid="{2C8425FA-71E0-4322-8052-E0A09EE345AB}"/>
    <cellStyle name="40% - Accent3 3 4 2 5" xfId="38848" xr:uid="{AA161408-4237-44F8-B397-F9F177385A18}"/>
    <cellStyle name="40% - Accent3 3 4 2 6" xfId="12654" xr:uid="{C4CDFA74-C76E-4E59-BCFE-EEE7316DC1F9}"/>
    <cellStyle name="40% - Accent3 3 4 3" xfId="5400" xr:uid="{00000000-0005-0000-0000-00006E050000}"/>
    <cellStyle name="40% - Accent3 3 4 3 2" xfId="24026" xr:uid="{30BDE4ED-0C3C-4CEC-AAD4-060DC2BD4186}"/>
    <cellStyle name="40% - Accent3 3 4 3 3" xfId="32473" xr:uid="{B256F023-4FB4-4DDE-980D-1D7F929606CD}"/>
    <cellStyle name="40% - Accent3 3 4 3 4" xfId="40920" xr:uid="{92EE8E92-7CBF-45DC-B1E9-DB75C76505BE}"/>
    <cellStyle name="40% - Accent3 3 4 3 5" xfId="14726" xr:uid="{97C6CB74-6836-4FB9-80EE-FD06DB16E310}"/>
    <cellStyle name="40% - Accent3 3 4 4" xfId="19809" xr:uid="{B27C3E03-9722-4A26-85F8-C0CA5EB9A06E}"/>
    <cellStyle name="40% - Accent3 3 4 5" xfId="28256" xr:uid="{88372C5D-FD86-42AB-A811-838D8F59FC17}"/>
    <cellStyle name="40% - Accent3 3 4 6" xfId="36703" xr:uid="{DC04F7E5-F267-4C8C-BB34-DB0521180EAC}"/>
    <cellStyle name="40% - Accent3 3 4 7" xfId="10509" xr:uid="{05F8F0C9-2A43-4B1F-B242-DE548A0B44A9}"/>
    <cellStyle name="40% - Accent3 3 5" xfId="1506" xr:uid="{00000000-0005-0000-0000-00006F050000}"/>
    <cellStyle name="40% - Accent3 3 5 2" xfId="3736" xr:uid="{00000000-0005-0000-0000-000070050000}"/>
    <cellStyle name="40% - Accent3 3 5 2 2" xfId="7958" xr:uid="{00000000-0005-0000-0000-000071050000}"/>
    <cellStyle name="40% - Accent3 3 5 2 2 2" xfId="26584" xr:uid="{AA408BA4-78AE-443A-A9A5-D88C57AB2319}"/>
    <cellStyle name="40% - Accent3 3 5 2 2 3" xfId="35031" xr:uid="{B522FC4C-DC38-410D-B3D1-05453A1968F6}"/>
    <cellStyle name="40% - Accent3 3 5 2 2 4" xfId="43478" xr:uid="{AA824BBB-D4AB-4FA4-BD17-36409B9BAA00}"/>
    <cellStyle name="40% - Accent3 3 5 2 2 5" xfId="17284" xr:uid="{45DBBDAE-EDA8-4E4B-BD70-BB62C1020958}"/>
    <cellStyle name="40% - Accent3 3 5 2 3" xfId="22367" xr:uid="{783B2452-382D-414C-817A-6B2E98893649}"/>
    <cellStyle name="40% - Accent3 3 5 2 4" xfId="30814" xr:uid="{18356631-1697-4809-94AB-A9B44DADCA18}"/>
    <cellStyle name="40% - Accent3 3 5 2 5" xfId="39261" xr:uid="{3C7F9DDA-ACB6-45FC-8751-D43E2321628C}"/>
    <cellStyle name="40% - Accent3 3 5 2 6" xfId="13067" xr:uid="{5844B6CD-56E5-475D-8DF3-7343A93E0A67}"/>
    <cellStyle name="40% - Accent3 3 5 3" xfId="5813" xr:uid="{00000000-0005-0000-0000-000072050000}"/>
    <cellStyle name="40% - Accent3 3 5 3 2" xfId="24439" xr:uid="{FA911CB7-0547-406A-816E-CF788C70A45F}"/>
    <cellStyle name="40% - Accent3 3 5 3 3" xfId="32886" xr:uid="{8F924E79-C3E8-4EEB-8B9B-95BF225CFC43}"/>
    <cellStyle name="40% - Accent3 3 5 3 4" xfId="41333" xr:uid="{7D369D01-88DA-435F-8E28-27F13B3C4DA3}"/>
    <cellStyle name="40% - Accent3 3 5 3 5" xfId="15139" xr:uid="{D0902FDD-C7F5-4DBE-BB16-B4F8ECA6C93F}"/>
    <cellStyle name="40% - Accent3 3 5 4" xfId="20222" xr:uid="{42A7AA96-89A6-4C6C-8E8D-8BD7B23951FE}"/>
    <cellStyle name="40% - Accent3 3 5 5" xfId="28669" xr:uid="{4418D5C7-0348-4EE4-986B-8C2B6740DBCD}"/>
    <cellStyle name="40% - Accent3 3 5 6" xfId="37116" xr:uid="{FC58CDDE-43CE-47E9-8A60-824BF26A4368}"/>
    <cellStyle name="40% - Accent3 3 5 7" xfId="10922" xr:uid="{EDA91A79-B936-4BF3-92B7-A717130AD432}"/>
    <cellStyle name="40% - Accent3 3 6" xfId="1920" xr:uid="{00000000-0005-0000-0000-000073050000}"/>
    <cellStyle name="40% - Accent3 3 6 2" xfId="4149" xr:uid="{00000000-0005-0000-0000-000074050000}"/>
    <cellStyle name="40% - Accent3 3 6 2 2" xfId="8371" xr:uid="{00000000-0005-0000-0000-000075050000}"/>
    <cellStyle name="40% - Accent3 3 6 2 2 2" xfId="26997" xr:uid="{DC860940-17D6-41F0-B47B-5B1AF58A9175}"/>
    <cellStyle name="40% - Accent3 3 6 2 2 3" xfId="35444" xr:uid="{241DCDE9-C821-436C-8FCA-0A52A0BDDC2E}"/>
    <cellStyle name="40% - Accent3 3 6 2 2 4" xfId="43891" xr:uid="{188E39E7-166D-4FBB-8184-B0C73B9408B5}"/>
    <cellStyle name="40% - Accent3 3 6 2 2 5" xfId="17697" xr:uid="{924B1CF9-AA0C-4E4D-8D9E-D9F4DB3AC4BF}"/>
    <cellStyle name="40% - Accent3 3 6 2 3" xfId="22780" xr:uid="{3475E1B2-13FC-4028-83C4-31478C96EF5C}"/>
    <cellStyle name="40% - Accent3 3 6 2 4" xfId="31227" xr:uid="{CA932764-CAE1-4C35-AEB5-9499CD991A16}"/>
    <cellStyle name="40% - Accent3 3 6 2 5" xfId="39674" xr:uid="{C7C2EFDD-CD17-4541-9ACC-31D6FF4B6E0C}"/>
    <cellStyle name="40% - Accent3 3 6 2 6" xfId="13480" xr:uid="{6DBC8B96-7F87-44C5-AEDC-CECE2FEA4134}"/>
    <cellStyle name="40% - Accent3 3 6 3" xfId="6226" xr:uid="{00000000-0005-0000-0000-000076050000}"/>
    <cellStyle name="40% - Accent3 3 6 3 2" xfId="24852" xr:uid="{2640C47E-EAC6-4569-805D-5FABB5B45B1B}"/>
    <cellStyle name="40% - Accent3 3 6 3 3" xfId="33299" xr:uid="{C5AE95AD-644D-40F8-B1F5-D81D6A165CC7}"/>
    <cellStyle name="40% - Accent3 3 6 3 4" xfId="41746" xr:uid="{3F36DE17-4772-4F5F-9529-BAF9079119E8}"/>
    <cellStyle name="40% - Accent3 3 6 3 5" xfId="15552" xr:uid="{AB9A9694-26A0-442D-9A07-98AB4A96217D}"/>
    <cellStyle name="40% - Accent3 3 6 4" xfId="20635" xr:uid="{D075505F-02EC-4B94-8B1E-974CC0D62557}"/>
    <cellStyle name="40% - Accent3 3 6 5" xfId="29082" xr:uid="{9177E45D-5A54-45E9-8FAB-838AF9232382}"/>
    <cellStyle name="40% - Accent3 3 6 6" xfId="37529" xr:uid="{890DF16F-F97E-444F-A55B-5B298E005A89}"/>
    <cellStyle name="40% - Accent3 3 6 7" xfId="11335" xr:uid="{599E7C30-1246-4ACD-B485-CF00A3645270}"/>
    <cellStyle name="40% - Accent3 3 7" xfId="2333" xr:uid="{00000000-0005-0000-0000-000077050000}"/>
    <cellStyle name="40% - Accent3 3 7 2" xfId="6639" xr:uid="{00000000-0005-0000-0000-000078050000}"/>
    <cellStyle name="40% - Accent3 3 7 2 2" xfId="25265" xr:uid="{F031FF0E-8352-4A0D-95E5-965D04F3E5CF}"/>
    <cellStyle name="40% - Accent3 3 7 2 3" xfId="33712" xr:uid="{F7C7DE56-0FF9-44BD-9534-6F23C66845D7}"/>
    <cellStyle name="40% - Accent3 3 7 2 4" xfId="42159" xr:uid="{DA7717B7-0D50-4DF2-9553-498BB4B67BD0}"/>
    <cellStyle name="40% - Accent3 3 7 2 5" xfId="15965" xr:uid="{BD01CB4F-AE10-4848-B00E-41D00EC05426}"/>
    <cellStyle name="40% - Accent3 3 7 3" xfId="21048" xr:uid="{9B0763D8-7C8D-4521-B7A8-072C0D42880B}"/>
    <cellStyle name="40% - Accent3 3 7 4" xfId="29495" xr:uid="{6E3C7069-E0CA-4AA4-92DD-91D2B0C89FFF}"/>
    <cellStyle name="40% - Accent3 3 7 5" xfId="37942" xr:uid="{3EB2AF20-DBB0-4E89-A436-FFEC9207CEB0}"/>
    <cellStyle name="40% - Accent3 3 7 6" xfId="11748" xr:uid="{FE115973-AEB9-45E5-9E57-E5C538B198D5}"/>
    <cellStyle name="40% - Accent3 3 8" xfId="4573" xr:uid="{00000000-0005-0000-0000-000079050000}"/>
    <cellStyle name="40% - Accent3 3 8 2" xfId="23199" xr:uid="{8B65825E-9268-4C57-8D96-AA4CCDF3938C}"/>
    <cellStyle name="40% - Accent3 3 8 3" xfId="31646" xr:uid="{E8C383F2-FB14-423C-9D0B-F8A6970EF399}"/>
    <cellStyle name="40% - Accent3 3 8 4" xfId="40093" xr:uid="{C39AA43C-8424-41E7-A6BC-6838DC44369F}"/>
    <cellStyle name="40% - Accent3 3 8 5" xfId="13899" xr:uid="{F56924DB-82BC-4023-AF44-645BC396B594}"/>
    <cellStyle name="40% - Accent3 3 9" xfId="8866" xr:uid="{1A1EF43E-4A2B-42A8-98A3-CEC34DD3B00D}"/>
    <cellStyle name="40% - Accent3 3 9 2" xfId="18190" xr:uid="{9AF5D116-7AF5-4CE5-A167-C580694697C6}"/>
    <cellStyle name="40% - Accent3 4" xfId="72" xr:uid="{00000000-0005-0000-0000-00007A050000}"/>
    <cellStyle name="40% - Accent3 4 10" xfId="27431" xr:uid="{D41EAC37-C3F5-467B-BBAC-F9433AE9A96C}"/>
    <cellStyle name="40% - Accent3 4 11" xfId="35878" xr:uid="{290A0B40-1212-40EB-8457-40C57E43985A}"/>
    <cellStyle name="40% - Accent3 4 12" xfId="9684" xr:uid="{ED39F625-E907-46D1-BD6C-931C9E656CF4}"/>
    <cellStyle name="40% - Accent3 4 2" xfId="641" xr:uid="{00000000-0005-0000-0000-00007B050000}"/>
    <cellStyle name="40% - Accent3 4 2 2" xfId="2912" xr:uid="{00000000-0005-0000-0000-00007C050000}"/>
    <cellStyle name="40% - Accent3 4 2 2 2" xfId="7134" xr:uid="{00000000-0005-0000-0000-00007D050000}"/>
    <cellStyle name="40% - Accent3 4 2 2 2 2" xfId="25760" xr:uid="{16075714-1F4B-4D03-92FC-47EB7EC4EBB8}"/>
    <cellStyle name="40% - Accent3 4 2 2 2 3" xfId="34207" xr:uid="{042D8452-4AEE-43D5-BB5C-58FBE1797F06}"/>
    <cellStyle name="40% - Accent3 4 2 2 2 4" xfId="42654" xr:uid="{73851DF6-6C27-4EFC-BFFF-27A83D65F33D}"/>
    <cellStyle name="40% - Accent3 4 2 2 2 5" xfId="16460" xr:uid="{B7304074-1320-431E-AC4A-A17B1B95E8B0}"/>
    <cellStyle name="40% - Accent3 4 2 2 3" xfId="21543" xr:uid="{AA60B066-AD3C-4F67-B1AA-1EE2572E8B47}"/>
    <cellStyle name="40% - Accent3 4 2 2 4" xfId="29990" xr:uid="{1C3C709F-85F4-4D25-B034-2B53BD56809F}"/>
    <cellStyle name="40% - Accent3 4 2 2 5" xfId="38437" xr:uid="{E55FC4DC-3700-44CE-A76A-D7B454EAB7FC}"/>
    <cellStyle name="40% - Accent3 4 2 2 6" xfId="12243" xr:uid="{770B90FF-B84A-4022-B9C0-2A4C35DF76DF}"/>
    <cellStyle name="40% - Accent3 4 2 3" xfId="4989" xr:uid="{00000000-0005-0000-0000-00007E050000}"/>
    <cellStyle name="40% - Accent3 4 2 3 2" xfId="23615" xr:uid="{E451AD1D-B87E-4A5C-8712-C879F069B0E1}"/>
    <cellStyle name="40% - Accent3 4 2 3 3" xfId="32062" xr:uid="{194CAB1D-EE92-45C0-B899-58B35B9C5CA0}"/>
    <cellStyle name="40% - Accent3 4 2 3 4" xfId="40509" xr:uid="{3C6B8DA7-E6DC-4DF8-A5E5-57F947A8A6F5}"/>
    <cellStyle name="40% - Accent3 4 2 3 5" xfId="14315" xr:uid="{0DBBC8DC-849B-457D-8B67-86DB0D03DA6F}"/>
    <cellStyle name="40% - Accent3 4 2 4" xfId="9377" xr:uid="{F4393833-4E73-4685-9332-CF918D5239A9}"/>
    <cellStyle name="40% - Accent3 4 2 4 2" xfId="18693" xr:uid="{9C468186-D6E9-4A80-AAA0-51D3054D5614}"/>
    <cellStyle name="40% - Accent3 4 2 5" xfId="19398" xr:uid="{D25FAC55-8E37-4442-B8BF-D41CFDE73ECB}"/>
    <cellStyle name="40% - Accent3 4 2 6" xfId="27845" xr:uid="{A3AC663E-8595-4614-B762-D37A981922FA}"/>
    <cellStyle name="40% - Accent3 4 2 7" xfId="36292" xr:uid="{933FA68D-5108-4DE0-B2C4-17FFD5C8E1A5}"/>
    <cellStyle name="40% - Accent3 4 2 8" xfId="10098" xr:uid="{06FB480F-2ED2-4C3C-82BA-43DA8B59B872}"/>
    <cellStyle name="40% - Accent3 4 3" xfId="1094" xr:uid="{00000000-0005-0000-0000-00007F050000}"/>
    <cellStyle name="40% - Accent3 4 3 2" xfId="3325" xr:uid="{00000000-0005-0000-0000-000080050000}"/>
    <cellStyle name="40% - Accent3 4 3 2 2" xfId="7547" xr:uid="{00000000-0005-0000-0000-000081050000}"/>
    <cellStyle name="40% - Accent3 4 3 2 2 2" xfId="26173" xr:uid="{4AC8D24A-ECCA-4754-AE50-070E271A4873}"/>
    <cellStyle name="40% - Accent3 4 3 2 2 3" xfId="34620" xr:uid="{9FD2ADDB-20BD-459A-8F93-64C2264AB144}"/>
    <cellStyle name="40% - Accent3 4 3 2 2 4" xfId="43067" xr:uid="{7A10BCD6-5592-42FC-89EC-C3CDAE28FECC}"/>
    <cellStyle name="40% - Accent3 4 3 2 2 5" xfId="16873" xr:uid="{13D0CAF0-0AAB-4B16-8C1B-7196F34DEFCD}"/>
    <cellStyle name="40% - Accent3 4 3 2 3" xfId="21956" xr:uid="{86EB9F93-C4FE-48B9-B0D4-D89C8A9934C4}"/>
    <cellStyle name="40% - Accent3 4 3 2 4" xfId="30403" xr:uid="{09B91DA5-2D26-4319-A596-4FCA7F5BCCBB}"/>
    <cellStyle name="40% - Accent3 4 3 2 5" xfId="38850" xr:uid="{C84FBF2C-701A-4FFE-8325-D5A244746988}"/>
    <cellStyle name="40% - Accent3 4 3 2 6" xfId="12656" xr:uid="{B4E04151-B4ED-48C9-8B1E-16B104B654DA}"/>
    <cellStyle name="40% - Accent3 4 3 3" xfId="5402" xr:uid="{00000000-0005-0000-0000-000082050000}"/>
    <cellStyle name="40% - Accent3 4 3 3 2" xfId="24028" xr:uid="{E16BB57C-8852-470F-8E98-E1091C01EE99}"/>
    <cellStyle name="40% - Accent3 4 3 3 3" xfId="32475" xr:uid="{668F8751-F651-45D4-BB29-CDBB27E75466}"/>
    <cellStyle name="40% - Accent3 4 3 3 4" xfId="40922" xr:uid="{8CAEE832-3572-4C94-B54E-2188A46C63EB}"/>
    <cellStyle name="40% - Accent3 4 3 3 5" xfId="14728" xr:uid="{99535795-06F1-4058-86EA-B1E526D28C8F}"/>
    <cellStyle name="40% - Accent3 4 3 4" xfId="19811" xr:uid="{A866CBB9-EB0B-44D1-8263-7437B5786058}"/>
    <cellStyle name="40% - Accent3 4 3 5" xfId="28258" xr:uid="{41C1E1E4-62BA-466F-94CD-B85D37576747}"/>
    <cellStyle name="40% - Accent3 4 3 6" xfId="36705" xr:uid="{C1AFC15D-6D01-4E77-B029-C28641C1BB57}"/>
    <cellStyle name="40% - Accent3 4 3 7" xfId="10511" xr:uid="{10C0C814-6891-48ED-BE59-C928AA94C246}"/>
    <cellStyle name="40% - Accent3 4 4" xfId="1508" xr:uid="{00000000-0005-0000-0000-000083050000}"/>
    <cellStyle name="40% - Accent3 4 4 2" xfId="3738" xr:uid="{00000000-0005-0000-0000-000084050000}"/>
    <cellStyle name="40% - Accent3 4 4 2 2" xfId="7960" xr:uid="{00000000-0005-0000-0000-000085050000}"/>
    <cellStyle name="40% - Accent3 4 4 2 2 2" xfId="26586" xr:uid="{07EED0F7-C868-4513-A533-16186647B7F5}"/>
    <cellStyle name="40% - Accent3 4 4 2 2 3" xfId="35033" xr:uid="{D0C6DDCC-4ACC-4CA9-912F-13FEB72F4F16}"/>
    <cellStyle name="40% - Accent3 4 4 2 2 4" xfId="43480" xr:uid="{94E81D14-60D6-42DE-B73B-924258710F84}"/>
    <cellStyle name="40% - Accent3 4 4 2 2 5" xfId="17286" xr:uid="{F67D87FA-E6AC-47B8-86E7-DFF89246B14E}"/>
    <cellStyle name="40% - Accent3 4 4 2 3" xfId="22369" xr:uid="{9DC7048D-1144-446B-AF4E-A69F2776132E}"/>
    <cellStyle name="40% - Accent3 4 4 2 4" xfId="30816" xr:uid="{F565BE8F-8E95-4BE6-A59D-6AFB9E8F7F12}"/>
    <cellStyle name="40% - Accent3 4 4 2 5" xfId="39263" xr:uid="{12B46200-90EC-40DC-B835-5C086DAE3AD6}"/>
    <cellStyle name="40% - Accent3 4 4 2 6" xfId="13069" xr:uid="{78829D26-349D-4FE7-B942-8C25DBCD1F18}"/>
    <cellStyle name="40% - Accent3 4 4 3" xfId="5815" xr:uid="{00000000-0005-0000-0000-000086050000}"/>
    <cellStyle name="40% - Accent3 4 4 3 2" xfId="24441" xr:uid="{121A80AA-4AD3-4EFA-86BD-3CB6CC9F5D23}"/>
    <cellStyle name="40% - Accent3 4 4 3 3" xfId="32888" xr:uid="{A6E45FB0-FCCB-46B9-A8A4-94CC73921B9B}"/>
    <cellStyle name="40% - Accent3 4 4 3 4" xfId="41335" xr:uid="{715B2A30-863D-4DC5-8326-1F30783C3F77}"/>
    <cellStyle name="40% - Accent3 4 4 3 5" xfId="15141" xr:uid="{AC9B5E1B-0020-44EC-8AAA-5ED7C4DAC2ED}"/>
    <cellStyle name="40% - Accent3 4 4 4" xfId="20224" xr:uid="{B500F99F-55A3-49B1-8DD5-69D3A2DD9BF5}"/>
    <cellStyle name="40% - Accent3 4 4 5" xfId="28671" xr:uid="{BB5A9306-0A89-43A4-8901-498125ACBB59}"/>
    <cellStyle name="40% - Accent3 4 4 6" xfId="37118" xr:uid="{B219A1FF-9F73-40D6-B380-11C43B671CAE}"/>
    <cellStyle name="40% - Accent3 4 4 7" xfId="10924" xr:uid="{B9B41DA3-3833-404B-9069-F50467485B5A}"/>
    <cellStyle name="40% - Accent3 4 5" xfId="1922" xr:uid="{00000000-0005-0000-0000-000087050000}"/>
    <cellStyle name="40% - Accent3 4 5 2" xfId="4151" xr:uid="{00000000-0005-0000-0000-000088050000}"/>
    <cellStyle name="40% - Accent3 4 5 2 2" xfId="8373" xr:uid="{00000000-0005-0000-0000-000089050000}"/>
    <cellStyle name="40% - Accent3 4 5 2 2 2" xfId="26999" xr:uid="{53263304-C09B-40F1-B37B-1CF64C7B50AB}"/>
    <cellStyle name="40% - Accent3 4 5 2 2 3" xfId="35446" xr:uid="{3C6B7CCC-4C10-40DD-880C-69AF630D711D}"/>
    <cellStyle name="40% - Accent3 4 5 2 2 4" xfId="43893" xr:uid="{269FD159-4717-46A6-94ED-F474D41A4837}"/>
    <cellStyle name="40% - Accent3 4 5 2 2 5" xfId="17699" xr:uid="{56E7310F-793A-4870-A338-C2B7E706803A}"/>
    <cellStyle name="40% - Accent3 4 5 2 3" xfId="22782" xr:uid="{7D381D02-92F6-4C49-8FDC-E2F6D31A5705}"/>
    <cellStyle name="40% - Accent3 4 5 2 4" xfId="31229" xr:uid="{1C920533-575A-4F37-962D-E70342F71906}"/>
    <cellStyle name="40% - Accent3 4 5 2 5" xfId="39676" xr:uid="{09E5DB38-CADC-4583-BB92-15B629CA371B}"/>
    <cellStyle name="40% - Accent3 4 5 2 6" xfId="13482" xr:uid="{1DFE157E-D1A8-4500-AEC6-A83B7B7EAE7D}"/>
    <cellStyle name="40% - Accent3 4 5 3" xfId="6228" xr:uid="{00000000-0005-0000-0000-00008A050000}"/>
    <cellStyle name="40% - Accent3 4 5 3 2" xfId="24854" xr:uid="{C3604D90-3B61-49F9-870D-04DCF049C097}"/>
    <cellStyle name="40% - Accent3 4 5 3 3" xfId="33301" xr:uid="{144D1384-686D-47C6-9702-0B3F804DD9FF}"/>
    <cellStyle name="40% - Accent3 4 5 3 4" xfId="41748" xr:uid="{C45DE8C3-0BBD-481E-95A0-701459D6D1D3}"/>
    <cellStyle name="40% - Accent3 4 5 3 5" xfId="15554" xr:uid="{32BDF5AC-1BEE-438A-B133-EF81E87D839E}"/>
    <cellStyle name="40% - Accent3 4 5 4" xfId="20637" xr:uid="{0872FC44-D6E7-4952-A6ED-30369B15BACE}"/>
    <cellStyle name="40% - Accent3 4 5 5" xfId="29084" xr:uid="{45A2A995-2A87-4116-9A52-903EE72630C0}"/>
    <cellStyle name="40% - Accent3 4 5 6" xfId="37531" xr:uid="{DB9B40E4-EA21-4D05-942C-92488E9E80D1}"/>
    <cellStyle name="40% - Accent3 4 5 7" xfId="11337" xr:uid="{F7A1529B-C196-4347-A15A-317F2371A2AC}"/>
    <cellStyle name="40% - Accent3 4 6" xfId="2335" xr:uid="{00000000-0005-0000-0000-00008B050000}"/>
    <cellStyle name="40% - Accent3 4 6 2" xfId="6641" xr:uid="{00000000-0005-0000-0000-00008C050000}"/>
    <cellStyle name="40% - Accent3 4 6 2 2" xfId="25267" xr:uid="{11BCD905-D7CA-4F84-858A-B55DEABD7C7E}"/>
    <cellStyle name="40% - Accent3 4 6 2 3" xfId="33714" xr:uid="{8E71B96D-5D3F-4A42-A867-38D38AC77C1E}"/>
    <cellStyle name="40% - Accent3 4 6 2 4" xfId="42161" xr:uid="{15D42835-3C4E-431F-A859-E4C8AE667AC5}"/>
    <cellStyle name="40% - Accent3 4 6 2 5" xfId="15967" xr:uid="{B19F7FF3-0522-4F48-9074-D4C5E5DF3DA2}"/>
    <cellStyle name="40% - Accent3 4 6 3" xfId="21050" xr:uid="{B105B44F-369B-47B2-B56F-C41638ECAB51}"/>
    <cellStyle name="40% - Accent3 4 6 4" xfId="29497" xr:uid="{811C3E6A-060B-464D-B56E-F8DA7A3DF603}"/>
    <cellStyle name="40% - Accent3 4 6 5" xfId="37944" xr:uid="{D001A219-6F86-456E-9B2F-5C4E8F66F40C}"/>
    <cellStyle name="40% - Accent3 4 6 6" xfId="11750" xr:uid="{00B3AF11-3F80-4F67-B6CD-94889A70032C}"/>
    <cellStyle name="40% - Accent3 4 7" xfId="4575" xr:uid="{00000000-0005-0000-0000-00008D050000}"/>
    <cellStyle name="40% - Accent3 4 7 2" xfId="23201" xr:uid="{E89FCB3E-EA24-4621-9BA4-CDA0DBD43228}"/>
    <cellStyle name="40% - Accent3 4 7 3" xfId="31648" xr:uid="{100807C0-66E6-4778-BFA3-C7248C08E6EB}"/>
    <cellStyle name="40% - Accent3 4 7 4" xfId="40095" xr:uid="{097C1BCC-1EA5-4B02-BEF7-CBCC6E178DC7}"/>
    <cellStyle name="40% - Accent3 4 7 5" xfId="13901" xr:uid="{E9DF249C-7239-4289-8A46-6983EFFF3ACE}"/>
    <cellStyle name="40% - Accent3 4 8" xfId="8952" xr:uid="{74BF8F1E-4A34-4787-9BA1-0B97E446635F}"/>
    <cellStyle name="40% - Accent3 4 8 2" xfId="18276" xr:uid="{9BAB8ACF-4535-4EDA-95DE-2DFE1A036F19}"/>
    <cellStyle name="40% - Accent3 4 9" xfId="18984" xr:uid="{42FE71DD-8BD6-40EF-A0D7-F7024AD44A35}"/>
    <cellStyle name="40% - Accent3 5" xfId="634" xr:uid="{00000000-0005-0000-0000-00008E050000}"/>
    <cellStyle name="40% - Accent3 5 2" xfId="2905" xr:uid="{00000000-0005-0000-0000-00008F050000}"/>
    <cellStyle name="40% - Accent3 5 2 2" xfId="7127" xr:uid="{00000000-0005-0000-0000-000090050000}"/>
    <cellStyle name="40% - Accent3 5 2 2 2" xfId="25753" xr:uid="{A3DCBD22-0BAC-4DD1-A211-2E6B9DA18F15}"/>
    <cellStyle name="40% - Accent3 5 2 2 3" xfId="34200" xr:uid="{66DD45A9-447E-4A70-94B6-E7C4F2B46D67}"/>
    <cellStyle name="40% - Accent3 5 2 2 4" xfId="42647" xr:uid="{9C83A7C0-FE21-4FC5-B870-24EF3ADA8B86}"/>
    <cellStyle name="40% - Accent3 5 2 2 5" xfId="16453" xr:uid="{B4DCA0A3-0E2A-4DAC-8389-D58CA01BE3ED}"/>
    <cellStyle name="40% - Accent3 5 2 3" xfId="21536" xr:uid="{7E5D17E1-9FAE-47D4-BCFE-AE19AC5EB80D}"/>
    <cellStyle name="40% - Accent3 5 2 4" xfId="29983" xr:uid="{6C837FD2-C18A-4BA0-A40B-D2117FCB2EAA}"/>
    <cellStyle name="40% - Accent3 5 2 5" xfId="38430" xr:uid="{15C8B16A-0128-4914-BBD2-F0BA546A512D}"/>
    <cellStyle name="40% - Accent3 5 2 6" xfId="12236" xr:uid="{A3681BFD-DD05-42B6-8444-F31936D90EE1}"/>
    <cellStyle name="40% - Accent3 5 3" xfId="4982" xr:uid="{00000000-0005-0000-0000-000091050000}"/>
    <cellStyle name="40% - Accent3 5 3 2" xfId="23608" xr:uid="{F475D265-6371-41CD-AFA3-9793AD11A48D}"/>
    <cellStyle name="40% - Accent3 5 3 3" xfId="32055" xr:uid="{3AB618D3-E9CC-4D08-BCF9-7C5FDDBB4D03}"/>
    <cellStyle name="40% - Accent3 5 3 4" xfId="40502" xr:uid="{C8DBE360-FB03-4C9C-9983-0DB07D4993EB}"/>
    <cellStyle name="40% - Accent3 5 3 5" xfId="14308" xr:uid="{6E68FDA3-0B03-4B8F-B38B-CB63FA5C0818}"/>
    <cellStyle name="40% - Accent3 5 4" xfId="9185" xr:uid="{526F025D-EBF7-4976-9E38-4C0631A2843B}"/>
    <cellStyle name="40% - Accent3 5 4 2" xfId="18504" xr:uid="{549B3347-26F6-432E-AAD0-82EE16D8FF73}"/>
    <cellStyle name="40% - Accent3 5 5" xfId="19391" xr:uid="{C05E9C38-93DF-4A36-9B97-0CC60D5C50F9}"/>
    <cellStyle name="40% - Accent3 5 6" xfId="27838" xr:uid="{E48EAF29-955B-4E61-A839-548CC8DFFC18}"/>
    <cellStyle name="40% - Accent3 5 7" xfId="36285" xr:uid="{483DAE09-2498-4D6A-A455-B6ED55C8C6A7}"/>
    <cellStyle name="40% - Accent3 5 8" xfId="10091" xr:uid="{BD968180-2E16-4204-9CE2-650AFB612F6C}"/>
    <cellStyle name="40% - Accent3 6" xfId="1087" xr:uid="{00000000-0005-0000-0000-000092050000}"/>
    <cellStyle name="40% - Accent3 6 2" xfId="3318" xr:uid="{00000000-0005-0000-0000-000093050000}"/>
    <cellStyle name="40% - Accent3 6 2 2" xfId="7540" xr:uid="{00000000-0005-0000-0000-000094050000}"/>
    <cellStyle name="40% - Accent3 6 2 2 2" xfId="26166" xr:uid="{A787042D-7C0D-49EC-A941-7F3463FDD18C}"/>
    <cellStyle name="40% - Accent3 6 2 2 3" xfId="34613" xr:uid="{709F2CD3-F2BE-46D9-8530-967A31415E1B}"/>
    <cellStyle name="40% - Accent3 6 2 2 4" xfId="43060" xr:uid="{6577860A-1C80-48FB-AEC4-9FA484839F3A}"/>
    <cellStyle name="40% - Accent3 6 2 2 5" xfId="16866" xr:uid="{9A4C01EE-C4A1-48E2-9CB3-45D174AE7BAE}"/>
    <cellStyle name="40% - Accent3 6 2 3" xfId="21949" xr:uid="{53D86A7E-324C-4DC2-9AAC-CBC31D407E33}"/>
    <cellStyle name="40% - Accent3 6 2 4" xfId="30396" xr:uid="{54DBF9C0-BB4D-43F0-B8D8-3C3F620BADB0}"/>
    <cellStyle name="40% - Accent3 6 2 5" xfId="38843" xr:uid="{D979BD5F-79F0-409D-B86C-22B533D9133A}"/>
    <cellStyle name="40% - Accent3 6 2 6" xfId="12649" xr:uid="{6580A8D7-BB40-442D-9D64-4E9B54A07341}"/>
    <cellStyle name="40% - Accent3 6 3" xfId="5395" xr:uid="{00000000-0005-0000-0000-000095050000}"/>
    <cellStyle name="40% - Accent3 6 3 2" xfId="24021" xr:uid="{D1CC2301-908F-4F37-AB62-055F1631E53D}"/>
    <cellStyle name="40% - Accent3 6 3 3" xfId="32468" xr:uid="{85B78719-F7BD-439E-B17A-368157B8DD11}"/>
    <cellStyle name="40% - Accent3 6 3 4" xfId="40915" xr:uid="{FDB4FB70-4C18-4A43-8828-5F47D6D3A5A5}"/>
    <cellStyle name="40% - Accent3 6 3 5" xfId="14721" xr:uid="{0C1A6A0C-33AA-426B-9DEA-6C0202417564}"/>
    <cellStyle name="40% - Accent3 6 4" xfId="19804" xr:uid="{A6CE6994-3A6E-4136-AA5B-21531EBCF4A1}"/>
    <cellStyle name="40% - Accent3 6 5" xfId="28251" xr:uid="{2429E7B5-7A67-4A85-830D-8A1F7DB7AAFA}"/>
    <cellStyle name="40% - Accent3 6 6" xfId="36698" xr:uid="{9BC5C156-C70F-480E-A7DE-FE640B0209FB}"/>
    <cellStyle name="40% - Accent3 6 7" xfId="10504" xr:uid="{1F9D1093-78A5-4A2E-9756-66CB017CAEF9}"/>
    <cellStyle name="40% - Accent3 7" xfId="1501" xr:uid="{00000000-0005-0000-0000-000096050000}"/>
    <cellStyle name="40% - Accent3 7 2" xfId="3731" xr:uid="{00000000-0005-0000-0000-000097050000}"/>
    <cellStyle name="40% - Accent3 7 2 2" xfId="7953" xr:uid="{00000000-0005-0000-0000-000098050000}"/>
    <cellStyle name="40% - Accent3 7 2 2 2" xfId="26579" xr:uid="{1A4D035F-149C-415C-BF47-906EC17AE601}"/>
    <cellStyle name="40% - Accent3 7 2 2 3" xfId="35026" xr:uid="{93D48BC8-92FD-4A4A-8808-5B7FA3687A36}"/>
    <cellStyle name="40% - Accent3 7 2 2 4" xfId="43473" xr:uid="{D66EDBAE-9CB6-4686-8308-267FB1DD9465}"/>
    <cellStyle name="40% - Accent3 7 2 2 5" xfId="17279" xr:uid="{74C5FEDD-9D54-448D-B01F-0FC900780E78}"/>
    <cellStyle name="40% - Accent3 7 2 3" xfId="22362" xr:uid="{C23FE360-61DE-41DE-8B30-61D5857A380F}"/>
    <cellStyle name="40% - Accent3 7 2 4" xfId="30809" xr:uid="{0934C3EE-8F6E-4264-B802-1BE1FAE507BD}"/>
    <cellStyle name="40% - Accent3 7 2 5" xfId="39256" xr:uid="{248D615D-52E8-414F-B0E2-55AD9482D3AB}"/>
    <cellStyle name="40% - Accent3 7 2 6" xfId="13062" xr:uid="{B3885893-85D8-4A58-94C8-84E4CE943716}"/>
    <cellStyle name="40% - Accent3 7 3" xfId="5808" xr:uid="{00000000-0005-0000-0000-000099050000}"/>
    <cellStyle name="40% - Accent3 7 3 2" xfId="24434" xr:uid="{F962800D-1839-4578-9BB1-6EF1AF784FDA}"/>
    <cellStyle name="40% - Accent3 7 3 3" xfId="32881" xr:uid="{D7CC9637-D25E-4E4C-A0CF-819624514F8B}"/>
    <cellStyle name="40% - Accent3 7 3 4" xfId="41328" xr:uid="{0AFE2586-FCFE-49AD-9C13-5BBF31DAC6DC}"/>
    <cellStyle name="40% - Accent3 7 3 5" xfId="15134" xr:uid="{718674D9-13CF-433F-81BF-266C3C3C119A}"/>
    <cellStyle name="40% - Accent3 7 4" xfId="20217" xr:uid="{E6A6C4E2-3001-4773-A68A-19AE5CD70828}"/>
    <cellStyle name="40% - Accent3 7 5" xfId="28664" xr:uid="{B5ACB058-7386-4DB9-A39D-99F1786B58AF}"/>
    <cellStyle name="40% - Accent3 7 6" xfId="37111" xr:uid="{75308FE7-69A7-4261-BDA0-0573910D068D}"/>
    <cellStyle name="40% - Accent3 7 7" xfId="10917" xr:uid="{F9034790-3B20-470C-85B0-772A171553C7}"/>
    <cellStyle name="40% - Accent3 8" xfId="1915" xr:uid="{00000000-0005-0000-0000-00009A050000}"/>
    <cellStyle name="40% - Accent3 8 2" xfId="4144" xr:uid="{00000000-0005-0000-0000-00009B050000}"/>
    <cellStyle name="40% - Accent3 8 2 2" xfId="8366" xr:uid="{00000000-0005-0000-0000-00009C050000}"/>
    <cellStyle name="40% - Accent3 8 2 2 2" xfId="26992" xr:uid="{20BF420E-883D-4302-B7D1-DB9F550DA57C}"/>
    <cellStyle name="40% - Accent3 8 2 2 3" xfId="35439" xr:uid="{87C73551-90A1-43C2-9913-B943FE00B968}"/>
    <cellStyle name="40% - Accent3 8 2 2 4" xfId="43886" xr:uid="{7C8C27FD-DB66-4228-9DA5-1433E856281F}"/>
    <cellStyle name="40% - Accent3 8 2 2 5" xfId="17692" xr:uid="{0412736F-5E99-4A4B-9A33-F17F3E23B91A}"/>
    <cellStyle name="40% - Accent3 8 2 3" xfId="22775" xr:uid="{6815B49E-7F0C-462A-AED7-2A86E44FD8B1}"/>
    <cellStyle name="40% - Accent3 8 2 4" xfId="31222" xr:uid="{805E60C9-8FDC-47B3-876A-078ABB5D7F15}"/>
    <cellStyle name="40% - Accent3 8 2 5" xfId="39669" xr:uid="{7A26A8D2-25E2-44EB-B509-272E078691D3}"/>
    <cellStyle name="40% - Accent3 8 2 6" xfId="13475" xr:uid="{C99A34DF-A689-4DE2-A0DF-7841E3AE51C6}"/>
    <cellStyle name="40% - Accent3 8 3" xfId="6221" xr:uid="{00000000-0005-0000-0000-00009D050000}"/>
    <cellStyle name="40% - Accent3 8 3 2" xfId="24847" xr:uid="{6D7B3B62-A3D1-4257-A207-3DC6568FB295}"/>
    <cellStyle name="40% - Accent3 8 3 3" xfId="33294" xr:uid="{F958558C-3775-4339-BA9C-D7522288157A}"/>
    <cellStyle name="40% - Accent3 8 3 4" xfId="41741" xr:uid="{85A9D0E5-6595-4280-9895-2A70457C8483}"/>
    <cellStyle name="40% - Accent3 8 3 5" xfId="15547" xr:uid="{9E2792F3-E558-4911-ABC1-EE250AAD76D9}"/>
    <cellStyle name="40% - Accent3 8 4" xfId="20630" xr:uid="{693EE735-4AF0-4F58-8248-E4FBC2FC0F7D}"/>
    <cellStyle name="40% - Accent3 8 5" xfId="29077" xr:uid="{B0604785-C165-4D9D-8403-8BB55B56A5AE}"/>
    <cellStyle name="40% - Accent3 8 6" xfId="37524" xr:uid="{8CE6EFCC-ED48-40BE-AB54-8C6536D9D3B5}"/>
    <cellStyle name="40% - Accent3 8 7" xfId="11330" xr:uid="{FD66C640-86C0-48A0-A614-520AF9F35B85}"/>
    <cellStyle name="40% - Accent3 9" xfId="2328" xr:uid="{00000000-0005-0000-0000-00009E050000}"/>
    <cellStyle name="40% - Accent3 9 2" xfId="6634" xr:uid="{00000000-0005-0000-0000-00009F050000}"/>
    <cellStyle name="40% - Accent3 9 2 2" xfId="25260" xr:uid="{FC665FCC-B302-43E5-A6D7-440D7002A8CE}"/>
    <cellStyle name="40% - Accent3 9 2 3" xfId="33707" xr:uid="{33472AE7-DD97-4062-8511-BC701193A692}"/>
    <cellStyle name="40% - Accent3 9 2 4" xfId="42154" xr:uid="{A6D68619-ECDE-4C89-B1A4-44395715CCA3}"/>
    <cellStyle name="40% - Accent3 9 2 5" xfId="15960" xr:uid="{E35244F7-6228-4C69-BF91-682FB787294A}"/>
    <cellStyle name="40% - Accent3 9 3" xfId="21043" xr:uid="{64E0AA9C-DEA3-467F-AE07-6C1F48FF2B6C}"/>
    <cellStyle name="40% - Accent3 9 4" xfId="29490" xr:uid="{B3D3EF83-200A-42A5-9111-0F6EECBE2133}"/>
    <cellStyle name="40% - Accent3 9 5" xfId="37937" xr:uid="{8B422243-3067-49EB-94E3-8C7EA1CA60D2}"/>
    <cellStyle name="40% - Accent3 9 6" xfId="11743" xr:uid="{0D92C213-6B05-4618-8335-7D1F271EF6F0}"/>
    <cellStyle name="40% - Accent4" xfId="73" builtinId="43" customBuiltin="1"/>
    <cellStyle name="40% - Accent4 10" xfId="4576" xr:uid="{00000000-0005-0000-0000-0000A1050000}"/>
    <cellStyle name="40% - Accent4 10 2" xfId="23202" xr:uid="{9D61E431-66E1-482A-A6E3-ABC557A70440}"/>
    <cellStyle name="40% - Accent4 10 3" xfId="31649" xr:uid="{AA1EAC5D-87CC-435A-B4CF-7B38456F1E18}"/>
    <cellStyle name="40% - Accent4 10 4" xfId="40096" xr:uid="{9CCF4A8E-5CD3-4A65-8E6A-4C4BFF61E249}"/>
    <cellStyle name="40% - Accent4 10 5" xfId="13902" xr:uid="{24842C47-DABB-45C9-9D36-FD6B1D451D63}"/>
    <cellStyle name="40% - Accent4 11" xfId="8765" xr:uid="{18B6B6D6-5043-43D1-BB02-3855BF7027C3}"/>
    <cellStyle name="40% - Accent4 11 2" xfId="18089" xr:uid="{D9878CDA-93E2-472F-8AD1-87B320CFEDF1}"/>
    <cellStyle name="40% - Accent4 12" xfId="18985" xr:uid="{E92F6C1B-1E53-47B6-8571-8ED4804F005A}"/>
    <cellStyle name="40% - Accent4 13" xfId="27432" xr:uid="{8C69819F-8D30-438E-9626-11C442D828E4}"/>
    <cellStyle name="40% - Accent4 14" xfId="35879" xr:uid="{438CDF37-8CB2-4B94-BBA8-8CC9BE056AB4}"/>
    <cellStyle name="40% - Accent4 15" xfId="9685" xr:uid="{4162DBD9-F7B3-4D86-8795-8451FA60BEB7}"/>
    <cellStyle name="40% - Accent4 2" xfId="74" xr:uid="{00000000-0005-0000-0000-0000A2050000}"/>
    <cellStyle name="40% - Accent4 2 10" xfId="8801" xr:uid="{223FCC58-A05E-4022-8080-E75A80678FA6}"/>
    <cellStyle name="40% - Accent4 2 10 2" xfId="18125" xr:uid="{B04CFE8C-3A13-4811-A13A-E6609ADF96FD}"/>
    <cellStyle name="40% - Accent4 2 11" xfId="18986" xr:uid="{29293E9F-D458-4C25-925E-357AF80EA2EA}"/>
    <cellStyle name="40% - Accent4 2 12" xfId="27433" xr:uid="{565E9FD6-0E4B-480A-93D8-16737E8633F4}"/>
    <cellStyle name="40% - Accent4 2 13" xfId="35880" xr:uid="{2ED0495D-AFAC-4768-BA9D-748079BF30B6}"/>
    <cellStyle name="40% - Accent4 2 14" xfId="9686" xr:uid="{497FA2A2-AB11-41B3-92B6-2CE88C62FC14}"/>
    <cellStyle name="40% - Accent4 2 2" xfId="75" xr:uid="{00000000-0005-0000-0000-0000A3050000}"/>
    <cellStyle name="40% - Accent4 2 2 10" xfId="18987" xr:uid="{13B9F746-5541-4835-8DAF-370B61575743}"/>
    <cellStyle name="40% - Accent4 2 2 11" xfId="27434" xr:uid="{8559DAF2-13F1-48F8-B86B-8309AE0A90D8}"/>
    <cellStyle name="40% - Accent4 2 2 12" xfId="35881" xr:uid="{D9CC6F3D-4602-4097-BCE3-D7E26DD01053}"/>
    <cellStyle name="40% - Accent4 2 2 13" xfId="9687" xr:uid="{B1E89185-AC81-4473-A4E8-23B32D3283A1}"/>
    <cellStyle name="40% - Accent4 2 2 2" xfId="76" xr:uid="{00000000-0005-0000-0000-0000A4050000}"/>
    <cellStyle name="40% - Accent4 2 2 2 10" xfId="27435" xr:uid="{CAF2D7AF-09DF-4499-9452-E1569A64D234}"/>
    <cellStyle name="40% - Accent4 2 2 2 11" xfId="35882" xr:uid="{3676146E-B2C5-484A-BC15-4BB33FD5D16D}"/>
    <cellStyle name="40% - Accent4 2 2 2 12" xfId="9688" xr:uid="{F5CD9FB0-3912-406A-8E24-2B10EF9E1604}"/>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2 2 2" xfId="25764" xr:uid="{83C7A08F-2073-4071-B871-57B3F73AEE40}"/>
    <cellStyle name="40% - Accent4 2 2 2 2 2 2 3" xfId="34211" xr:uid="{7DA1CC69-1381-4753-AA89-8BFC55E74EBE}"/>
    <cellStyle name="40% - Accent4 2 2 2 2 2 2 4" xfId="42658" xr:uid="{B3D4A0F4-5778-4057-832C-1F757DE28F9A}"/>
    <cellStyle name="40% - Accent4 2 2 2 2 2 2 5" xfId="16464" xr:uid="{662A8C1E-C370-428F-AE51-7DF2C50F9E98}"/>
    <cellStyle name="40% - Accent4 2 2 2 2 2 3" xfId="21547" xr:uid="{D7A3F6F7-87FE-41ED-B50E-CC57B7A45FE9}"/>
    <cellStyle name="40% - Accent4 2 2 2 2 2 4" xfId="29994" xr:uid="{BBA1C15F-C5AE-4EAF-93CF-2033B3E719D1}"/>
    <cellStyle name="40% - Accent4 2 2 2 2 2 5" xfId="38441" xr:uid="{EBA97BC2-9889-426A-8E08-1911B306CAC3}"/>
    <cellStyle name="40% - Accent4 2 2 2 2 2 6" xfId="12247" xr:uid="{FB814D70-9560-484F-9D14-35E8952389C8}"/>
    <cellStyle name="40% - Accent4 2 2 2 2 3" xfId="4993" xr:uid="{00000000-0005-0000-0000-0000A8050000}"/>
    <cellStyle name="40% - Accent4 2 2 2 2 3 2" xfId="23619" xr:uid="{5624C3C4-A93E-45C9-9B05-D37F08DE8CEA}"/>
    <cellStyle name="40% - Accent4 2 2 2 2 3 3" xfId="32066" xr:uid="{BA8E18C0-3A32-4F99-A5EF-AA3BEE234E9A}"/>
    <cellStyle name="40% - Accent4 2 2 2 2 3 4" xfId="40513" xr:uid="{B9A0AB5D-4D3D-4CB0-8297-EA8966D9F8DA}"/>
    <cellStyle name="40% - Accent4 2 2 2 2 3 5" xfId="14319" xr:uid="{E7C97111-6D14-4B72-9667-4CBA4C07D616}"/>
    <cellStyle name="40% - Accent4 2 2 2 2 4" xfId="9536" xr:uid="{4351D24F-CE30-4CFD-968F-4B882F0FC9B5}"/>
    <cellStyle name="40% - Accent4 2 2 2 2 4 2" xfId="18852" xr:uid="{EA881B88-C26E-4EA4-949C-19991EEC4038}"/>
    <cellStyle name="40% - Accent4 2 2 2 2 5" xfId="19402" xr:uid="{93A05BA7-65E1-4C70-A4FF-88151D5FA23F}"/>
    <cellStyle name="40% - Accent4 2 2 2 2 6" xfId="27849" xr:uid="{4F7687AF-21A8-4267-85C9-47B5EB4AF4BD}"/>
    <cellStyle name="40% - Accent4 2 2 2 2 7" xfId="36296" xr:uid="{1FA9D675-4CB5-4F1A-9505-9CD0FFE9AD48}"/>
    <cellStyle name="40% - Accent4 2 2 2 2 8" xfId="10102" xr:uid="{A45EF4D1-77BB-4BC6-8FB3-E4E2A4FFA3AF}"/>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2 2 2" xfId="26177" xr:uid="{7A1AAC32-0B37-403B-925B-F0C3DDBE0E31}"/>
    <cellStyle name="40% - Accent4 2 2 2 3 2 2 3" xfId="34624" xr:uid="{F2905881-EEC4-4349-8E0A-C2ADC3F83C87}"/>
    <cellStyle name="40% - Accent4 2 2 2 3 2 2 4" xfId="43071" xr:uid="{B3632608-2AA5-4DB6-BA37-074C557DD763}"/>
    <cellStyle name="40% - Accent4 2 2 2 3 2 2 5" xfId="16877" xr:uid="{81CF3A11-3698-42BE-AF37-3F5475CC1DEA}"/>
    <cellStyle name="40% - Accent4 2 2 2 3 2 3" xfId="21960" xr:uid="{0F67AC6B-9CD8-4D8F-AF35-D299BD85B46C}"/>
    <cellStyle name="40% - Accent4 2 2 2 3 2 4" xfId="30407" xr:uid="{384064ED-A1CB-47DA-A7BD-7203FE7AD79E}"/>
    <cellStyle name="40% - Accent4 2 2 2 3 2 5" xfId="38854" xr:uid="{E37B42E7-FC08-4A83-9632-67895FD3C23A}"/>
    <cellStyle name="40% - Accent4 2 2 2 3 2 6" xfId="12660" xr:uid="{4EE21C22-FCFF-4F67-A314-1EE7DE420891}"/>
    <cellStyle name="40% - Accent4 2 2 2 3 3" xfId="5406" xr:uid="{00000000-0005-0000-0000-0000AC050000}"/>
    <cellStyle name="40% - Accent4 2 2 2 3 3 2" xfId="24032" xr:uid="{4B6C4917-C4EE-494C-841F-0C0E4B62B689}"/>
    <cellStyle name="40% - Accent4 2 2 2 3 3 3" xfId="32479" xr:uid="{4B5689F6-76DB-4FDD-B9A4-9E48EB1184AC}"/>
    <cellStyle name="40% - Accent4 2 2 2 3 3 4" xfId="40926" xr:uid="{C7501D59-DE18-4EB6-8276-8652700DFD6A}"/>
    <cellStyle name="40% - Accent4 2 2 2 3 3 5" xfId="14732" xr:uid="{C83FFD68-874E-487A-98ED-FF1C2F245C44}"/>
    <cellStyle name="40% - Accent4 2 2 2 3 4" xfId="19815" xr:uid="{A934824F-A61C-4BF3-935C-6D3E830ADB59}"/>
    <cellStyle name="40% - Accent4 2 2 2 3 5" xfId="28262" xr:uid="{89CA880A-BE27-4CD1-9A38-13BB759EC249}"/>
    <cellStyle name="40% - Accent4 2 2 2 3 6" xfId="36709" xr:uid="{F65C7C67-4A02-4208-8561-A719556E6D73}"/>
    <cellStyle name="40% - Accent4 2 2 2 3 7" xfId="10515" xr:uid="{8D24C2BE-6F36-42D7-BEC8-B982344F2FF1}"/>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2 2 2" xfId="26590" xr:uid="{42885B8A-1E27-4335-968C-AE0B647B9DEF}"/>
    <cellStyle name="40% - Accent4 2 2 2 4 2 2 3" xfId="35037" xr:uid="{5373ECE8-4595-4777-BCD4-0EEC6C011456}"/>
    <cellStyle name="40% - Accent4 2 2 2 4 2 2 4" xfId="43484" xr:uid="{8F5B0CDA-3D71-4728-8CCE-ED0A026F29E3}"/>
    <cellStyle name="40% - Accent4 2 2 2 4 2 2 5" xfId="17290" xr:uid="{33E74DD9-4873-4554-AF4A-FBD5F7E5D572}"/>
    <cellStyle name="40% - Accent4 2 2 2 4 2 3" xfId="22373" xr:uid="{258E8D74-C686-4B6E-B2CE-18E5B318F207}"/>
    <cellStyle name="40% - Accent4 2 2 2 4 2 4" xfId="30820" xr:uid="{13B89BFD-448E-4968-B7DB-9ACF7FADA78C}"/>
    <cellStyle name="40% - Accent4 2 2 2 4 2 5" xfId="39267" xr:uid="{6006C723-2AE8-4964-971F-917A5AD8A50D}"/>
    <cellStyle name="40% - Accent4 2 2 2 4 2 6" xfId="13073" xr:uid="{ED725F70-FD41-4D7E-AE43-912A334DFB6E}"/>
    <cellStyle name="40% - Accent4 2 2 2 4 3" xfId="5819" xr:uid="{00000000-0005-0000-0000-0000B0050000}"/>
    <cellStyle name="40% - Accent4 2 2 2 4 3 2" xfId="24445" xr:uid="{8795A2DC-6E3A-4E49-AE94-75130FB5A928}"/>
    <cellStyle name="40% - Accent4 2 2 2 4 3 3" xfId="32892" xr:uid="{90ACB38C-31D3-434A-B017-74F7BD86EC6C}"/>
    <cellStyle name="40% - Accent4 2 2 2 4 3 4" xfId="41339" xr:uid="{8141CF35-4DF3-4A15-88F3-28DCC9463051}"/>
    <cellStyle name="40% - Accent4 2 2 2 4 3 5" xfId="15145" xr:uid="{368C5C8F-BBE2-4BFA-8696-8FC21212AA4B}"/>
    <cellStyle name="40% - Accent4 2 2 2 4 4" xfId="20228" xr:uid="{57A9EC57-9DB2-4FB0-A2A1-1B85AB1688C8}"/>
    <cellStyle name="40% - Accent4 2 2 2 4 5" xfId="28675" xr:uid="{58F6B61E-4413-4FB7-B9A1-A678F1048FE3}"/>
    <cellStyle name="40% - Accent4 2 2 2 4 6" xfId="37122" xr:uid="{499092B5-DC3C-48C3-8F7F-136007BD90B0}"/>
    <cellStyle name="40% - Accent4 2 2 2 4 7" xfId="10928" xr:uid="{C11E354D-CAA5-4149-A3C7-DBF997A58958}"/>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2 2 2" xfId="27003" xr:uid="{508FEB38-35BC-4276-A9E3-8F47809D3059}"/>
    <cellStyle name="40% - Accent4 2 2 2 5 2 2 3" xfId="35450" xr:uid="{9621D37D-FC43-4050-A90A-874F029ADE16}"/>
    <cellStyle name="40% - Accent4 2 2 2 5 2 2 4" xfId="43897" xr:uid="{F6DEC175-9264-4EAB-A95E-067E6C0ACCE8}"/>
    <cellStyle name="40% - Accent4 2 2 2 5 2 2 5" xfId="17703" xr:uid="{DA2AA297-6375-4460-BBD8-CB54885EF52A}"/>
    <cellStyle name="40% - Accent4 2 2 2 5 2 3" xfId="22786" xr:uid="{DB991624-E7D7-4C0F-8D17-72AD760E9E0B}"/>
    <cellStyle name="40% - Accent4 2 2 2 5 2 4" xfId="31233" xr:uid="{1A4F69AB-079C-44BE-BBA8-D46848F1149C}"/>
    <cellStyle name="40% - Accent4 2 2 2 5 2 5" xfId="39680" xr:uid="{5B122B7A-BE4F-49D5-8AC6-33990571A973}"/>
    <cellStyle name="40% - Accent4 2 2 2 5 2 6" xfId="13486" xr:uid="{4910D39C-4AE3-4171-B44A-DC276C437AC8}"/>
    <cellStyle name="40% - Accent4 2 2 2 5 3" xfId="6232" xr:uid="{00000000-0005-0000-0000-0000B4050000}"/>
    <cellStyle name="40% - Accent4 2 2 2 5 3 2" xfId="24858" xr:uid="{9D62BBE5-D544-4A15-B805-DDC9D242B7EE}"/>
    <cellStyle name="40% - Accent4 2 2 2 5 3 3" xfId="33305" xr:uid="{A666AAC3-9F70-4F2D-879A-45271F7322E6}"/>
    <cellStyle name="40% - Accent4 2 2 2 5 3 4" xfId="41752" xr:uid="{613751CE-6E09-445E-ACB6-7FC4FE614652}"/>
    <cellStyle name="40% - Accent4 2 2 2 5 3 5" xfId="15558" xr:uid="{6A55CDAF-18BE-4B41-BF55-D6A654FA27B5}"/>
    <cellStyle name="40% - Accent4 2 2 2 5 4" xfId="20641" xr:uid="{4580F5FB-A01B-4BB5-B131-A3D7031C014E}"/>
    <cellStyle name="40% - Accent4 2 2 2 5 5" xfId="29088" xr:uid="{CF9D1017-B656-4C18-B16F-75F84E427BFC}"/>
    <cellStyle name="40% - Accent4 2 2 2 5 6" xfId="37535" xr:uid="{C695EE84-D2B8-4A3D-B154-7C17C09E0F3A}"/>
    <cellStyle name="40% - Accent4 2 2 2 5 7" xfId="11341" xr:uid="{ADA6559C-E40D-4DDE-A91F-AD8F2BCE5DD4}"/>
    <cellStyle name="40% - Accent4 2 2 2 6" xfId="2339" xr:uid="{00000000-0005-0000-0000-0000B5050000}"/>
    <cellStyle name="40% - Accent4 2 2 2 6 2" xfId="6645" xr:uid="{00000000-0005-0000-0000-0000B6050000}"/>
    <cellStyle name="40% - Accent4 2 2 2 6 2 2" xfId="25271" xr:uid="{63F2AC6E-24CA-4633-8E87-9CCE6B08C322}"/>
    <cellStyle name="40% - Accent4 2 2 2 6 2 3" xfId="33718" xr:uid="{B4283A52-A348-4949-BE4C-545E546D7CE4}"/>
    <cellStyle name="40% - Accent4 2 2 2 6 2 4" xfId="42165" xr:uid="{3170E2CB-28FB-437F-B4A4-8443472166BF}"/>
    <cellStyle name="40% - Accent4 2 2 2 6 2 5" xfId="15971" xr:uid="{38696CAA-4AA7-4F29-874A-345C7B107A48}"/>
    <cellStyle name="40% - Accent4 2 2 2 6 3" xfId="21054" xr:uid="{B5F14BF4-2417-4E13-BC4F-AB92D5F0D8AD}"/>
    <cellStyle name="40% - Accent4 2 2 2 6 4" xfId="29501" xr:uid="{1C79D165-0B62-45A3-BE75-E31726E06DA5}"/>
    <cellStyle name="40% - Accent4 2 2 2 6 5" xfId="37948" xr:uid="{E4A026AB-CF5F-47BC-A405-20F6F51F3C88}"/>
    <cellStyle name="40% - Accent4 2 2 2 6 6" xfId="11754" xr:uid="{527E5FDE-E128-4E63-B5F0-AC0469D052B5}"/>
    <cellStyle name="40% - Accent4 2 2 2 7" xfId="4579" xr:uid="{00000000-0005-0000-0000-0000B7050000}"/>
    <cellStyle name="40% - Accent4 2 2 2 7 2" xfId="23205" xr:uid="{8DB06190-EF02-40B7-97A1-EEA7C9E7368D}"/>
    <cellStyle name="40% - Accent4 2 2 2 7 3" xfId="31652" xr:uid="{12C553D2-22AF-45B6-8CBC-C4497F4CB227}"/>
    <cellStyle name="40% - Accent4 2 2 2 7 4" xfId="40099" xr:uid="{4566A29B-C851-419E-9D4E-B6011C4D0815}"/>
    <cellStyle name="40% - Accent4 2 2 2 7 5" xfId="13905" xr:uid="{4DB7B415-A858-4D9E-832E-2E7A695063E2}"/>
    <cellStyle name="40% - Accent4 2 2 2 8" xfId="9111" xr:uid="{1DD86F12-0D11-497C-88D9-78D90E1EF65F}"/>
    <cellStyle name="40% - Accent4 2 2 2 8 2" xfId="18435" xr:uid="{AE4CC55A-45CA-4E25-B3C3-214A36A710AF}"/>
    <cellStyle name="40% - Accent4 2 2 2 9" xfId="18988" xr:uid="{9E3CF18C-F381-4B6B-9FDA-C49D39B5E3CB}"/>
    <cellStyle name="40% - Accent4 2 2 3" xfId="644" xr:uid="{00000000-0005-0000-0000-0000B8050000}"/>
    <cellStyle name="40% - Accent4 2 2 3 2" xfId="2915" xr:uid="{00000000-0005-0000-0000-0000B9050000}"/>
    <cellStyle name="40% - Accent4 2 2 3 2 2" xfId="7137" xr:uid="{00000000-0005-0000-0000-0000BA050000}"/>
    <cellStyle name="40% - Accent4 2 2 3 2 2 2" xfId="25763" xr:uid="{273C6BBA-BF26-4205-9A9A-BFA45F2AA203}"/>
    <cellStyle name="40% - Accent4 2 2 3 2 2 3" xfId="34210" xr:uid="{0A876151-1C93-4A11-B258-89E94DDF99AB}"/>
    <cellStyle name="40% - Accent4 2 2 3 2 2 4" xfId="42657" xr:uid="{454658BE-1142-4184-AD3C-0CF1D9A7613C}"/>
    <cellStyle name="40% - Accent4 2 2 3 2 2 5" xfId="16463" xr:uid="{DE5C0337-8A72-4044-A2FE-A5BF4E851F0A}"/>
    <cellStyle name="40% - Accent4 2 2 3 2 3" xfId="21546" xr:uid="{760C4351-95B7-4006-97A7-E705B8397FF7}"/>
    <cellStyle name="40% - Accent4 2 2 3 2 4" xfId="29993" xr:uid="{B1843401-28D0-4FDF-97E2-421F1A0641F3}"/>
    <cellStyle name="40% - Accent4 2 2 3 2 5" xfId="38440" xr:uid="{CBEEA7EA-B52F-43AF-B87D-A422C4771178}"/>
    <cellStyle name="40% - Accent4 2 2 3 2 6" xfId="12246" xr:uid="{B2D60524-7D50-404E-A5DD-843EDF0C37C9}"/>
    <cellStyle name="40% - Accent4 2 2 3 3" xfId="4992" xr:uid="{00000000-0005-0000-0000-0000BB050000}"/>
    <cellStyle name="40% - Accent4 2 2 3 3 2" xfId="23618" xr:uid="{5007A3C3-6903-4A09-9E6A-4310FEBB3F09}"/>
    <cellStyle name="40% - Accent4 2 2 3 3 3" xfId="32065" xr:uid="{D712AE06-F8FC-4F3C-96E7-2FEAFA7B0A6E}"/>
    <cellStyle name="40% - Accent4 2 2 3 3 4" xfId="40512" xr:uid="{69D68D8E-91BC-44B7-9E76-5DDC7779786D}"/>
    <cellStyle name="40% - Accent4 2 2 3 3 5" xfId="14318" xr:uid="{984FED16-2837-48C0-8F68-8D05A7701C5F}"/>
    <cellStyle name="40% - Accent4 2 2 3 4" xfId="9329" xr:uid="{62CB3536-9FC4-4DBF-9121-AD0025D891C9}"/>
    <cellStyle name="40% - Accent4 2 2 3 4 2" xfId="18645" xr:uid="{51B40F69-92B6-4392-96CE-601A4F306651}"/>
    <cellStyle name="40% - Accent4 2 2 3 5" xfId="19401" xr:uid="{B718F640-0ACF-4213-A5C4-67ED73F2C800}"/>
    <cellStyle name="40% - Accent4 2 2 3 6" xfId="27848" xr:uid="{E91C5BBF-7C9B-44CF-B90B-B62B970EFFFD}"/>
    <cellStyle name="40% - Accent4 2 2 3 7" xfId="36295" xr:uid="{DCA8DF6E-497D-4266-ABC8-AB8BEB97BCFA}"/>
    <cellStyle name="40% - Accent4 2 2 3 8" xfId="10101" xr:uid="{723617FF-616E-4FE7-9226-93B4D32A4ED2}"/>
    <cellStyle name="40% - Accent4 2 2 4" xfId="1097" xr:uid="{00000000-0005-0000-0000-0000BC050000}"/>
    <cellStyle name="40% - Accent4 2 2 4 2" xfId="3328" xr:uid="{00000000-0005-0000-0000-0000BD050000}"/>
    <cellStyle name="40% - Accent4 2 2 4 2 2" xfId="7550" xr:uid="{00000000-0005-0000-0000-0000BE050000}"/>
    <cellStyle name="40% - Accent4 2 2 4 2 2 2" xfId="26176" xr:uid="{46C79307-0DD0-4E75-83B9-632A624AFFD7}"/>
    <cellStyle name="40% - Accent4 2 2 4 2 2 3" xfId="34623" xr:uid="{D2AE0BF6-E432-4203-9E09-C01488AA5DC7}"/>
    <cellStyle name="40% - Accent4 2 2 4 2 2 4" xfId="43070" xr:uid="{144CEFA2-1862-492A-92A9-3FE0CC824D12}"/>
    <cellStyle name="40% - Accent4 2 2 4 2 2 5" xfId="16876" xr:uid="{B12AF81C-1EE6-485E-A31D-947E2718F3A2}"/>
    <cellStyle name="40% - Accent4 2 2 4 2 3" xfId="21959" xr:uid="{67CBE100-EAC2-4DED-937C-FB878566D394}"/>
    <cellStyle name="40% - Accent4 2 2 4 2 4" xfId="30406" xr:uid="{511AE820-266B-4BB3-84E0-99C927DDA42C}"/>
    <cellStyle name="40% - Accent4 2 2 4 2 5" xfId="38853" xr:uid="{2865BB92-26F8-446B-8502-D958D85BA1F8}"/>
    <cellStyle name="40% - Accent4 2 2 4 2 6" xfId="12659" xr:uid="{894C052E-EEE9-4642-8CA1-A9046AF170C5}"/>
    <cellStyle name="40% - Accent4 2 2 4 3" xfId="5405" xr:uid="{00000000-0005-0000-0000-0000BF050000}"/>
    <cellStyle name="40% - Accent4 2 2 4 3 2" xfId="24031" xr:uid="{770A7EAF-69D6-413B-9A8D-C072C04FAA16}"/>
    <cellStyle name="40% - Accent4 2 2 4 3 3" xfId="32478" xr:uid="{7D6118E6-4219-43B3-8F10-F0437CAB6E81}"/>
    <cellStyle name="40% - Accent4 2 2 4 3 4" xfId="40925" xr:uid="{5A358EB7-E931-4FF9-A857-525012EEDC6A}"/>
    <cellStyle name="40% - Accent4 2 2 4 3 5" xfId="14731" xr:uid="{DF2EE35D-74C9-4B57-A951-D4C722C6D2FF}"/>
    <cellStyle name="40% - Accent4 2 2 4 4" xfId="19814" xr:uid="{E790C951-DBB7-4AEA-A60B-9CFF7052F375}"/>
    <cellStyle name="40% - Accent4 2 2 4 5" xfId="28261" xr:uid="{5A3BF330-5AFF-4306-966F-CEA0D881EC5B}"/>
    <cellStyle name="40% - Accent4 2 2 4 6" xfId="36708" xr:uid="{734481B2-0528-41F7-960D-002872420562}"/>
    <cellStyle name="40% - Accent4 2 2 4 7" xfId="10514" xr:uid="{F959779B-8D4C-4906-8668-FA57699F00DF}"/>
    <cellStyle name="40% - Accent4 2 2 5" xfId="1511" xr:uid="{00000000-0005-0000-0000-0000C0050000}"/>
    <cellStyle name="40% - Accent4 2 2 5 2" xfId="3741" xr:uid="{00000000-0005-0000-0000-0000C1050000}"/>
    <cellStyle name="40% - Accent4 2 2 5 2 2" xfId="7963" xr:uid="{00000000-0005-0000-0000-0000C2050000}"/>
    <cellStyle name="40% - Accent4 2 2 5 2 2 2" xfId="26589" xr:uid="{175B3940-2F23-4A63-9B74-7235C619CCE9}"/>
    <cellStyle name="40% - Accent4 2 2 5 2 2 3" xfId="35036" xr:uid="{4D4C9C70-7022-40E8-B283-804FDD94D680}"/>
    <cellStyle name="40% - Accent4 2 2 5 2 2 4" xfId="43483" xr:uid="{7B2DBA89-B96A-4380-BCCF-5EDA8B73B947}"/>
    <cellStyle name="40% - Accent4 2 2 5 2 2 5" xfId="17289" xr:uid="{907B825D-5D81-4D73-AFB1-62DCA2D81A4A}"/>
    <cellStyle name="40% - Accent4 2 2 5 2 3" xfId="22372" xr:uid="{EBDDFFEF-8DAF-4B20-BB4D-EF43CF908495}"/>
    <cellStyle name="40% - Accent4 2 2 5 2 4" xfId="30819" xr:uid="{8846E41F-4FE2-40FD-870E-0E244A97F1AB}"/>
    <cellStyle name="40% - Accent4 2 2 5 2 5" xfId="39266" xr:uid="{02D88B13-D310-4601-9D66-469B4F66E62B}"/>
    <cellStyle name="40% - Accent4 2 2 5 2 6" xfId="13072" xr:uid="{B1E114B3-CBF3-4B7A-A18D-6354485FD9CC}"/>
    <cellStyle name="40% - Accent4 2 2 5 3" xfId="5818" xr:uid="{00000000-0005-0000-0000-0000C3050000}"/>
    <cellStyle name="40% - Accent4 2 2 5 3 2" xfId="24444" xr:uid="{28E466FE-CF32-4E90-B66C-D320C570313D}"/>
    <cellStyle name="40% - Accent4 2 2 5 3 3" xfId="32891" xr:uid="{B51D401F-61D2-4028-A0F5-5E209FFDC03C}"/>
    <cellStyle name="40% - Accent4 2 2 5 3 4" xfId="41338" xr:uid="{DB6A920F-5B25-422C-B2A2-8D7E0F5A18EE}"/>
    <cellStyle name="40% - Accent4 2 2 5 3 5" xfId="15144" xr:uid="{DB4B99F3-427B-47DE-A4AC-07C85AFA35BA}"/>
    <cellStyle name="40% - Accent4 2 2 5 4" xfId="20227" xr:uid="{91C86037-B608-44BB-B3FB-FD1645530231}"/>
    <cellStyle name="40% - Accent4 2 2 5 5" xfId="28674" xr:uid="{A0416D74-491E-417E-944B-8DC661CD8943}"/>
    <cellStyle name="40% - Accent4 2 2 5 6" xfId="37121" xr:uid="{46957926-C3CF-40DB-8234-A40A10833E72}"/>
    <cellStyle name="40% - Accent4 2 2 5 7" xfId="10927" xr:uid="{8B319244-C267-4F87-8C93-46F13697FCEE}"/>
    <cellStyle name="40% - Accent4 2 2 6" xfId="1925" xr:uid="{00000000-0005-0000-0000-0000C4050000}"/>
    <cellStyle name="40% - Accent4 2 2 6 2" xfId="4154" xr:uid="{00000000-0005-0000-0000-0000C5050000}"/>
    <cellStyle name="40% - Accent4 2 2 6 2 2" xfId="8376" xr:uid="{00000000-0005-0000-0000-0000C6050000}"/>
    <cellStyle name="40% - Accent4 2 2 6 2 2 2" xfId="27002" xr:uid="{39C179E8-0B72-40B2-A0F7-D1DF13564A71}"/>
    <cellStyle name="40% - Accent4 2 2 6 2 2 3" xfId="35449" xr:uid="{B711E365-4D66-406A-B8C2-73A58DB8B349}"/>
    <cellStyle name="40% - Accent4 2 2 6 2 2 4" xfId="43896" xr:uid="{E5618765-7EE1-4C80-BB05-B1D3025BCF8A}"/>
    <cellStyle name="40% - Accent4 2 2 6 2 2 5" xfId="17702" xr:uid="{188335CD-8897-4651-8A21-6EA16853DA77}"/>
    <cellStyle name="40% - Accent4 2 2 6 2 3" xfId="22785" xr:uid="{E7061B63-4556-48F4-8716-A97B57449029}"/>
    <cellStyle name="40% - Accent4 2 2 6 2 4" xfId="31232" xr:uid="{98DC9CCA-ED3C-4C88-BCF4-342774E0D44E}"/>
    <cellStyle name="40% - Accent4 2 2 6 2 5" xfId="39679" xr:uid="{82614382-C77B-4BF2-ABCD-65BC58D16214}"/>
    <cellStyle name="40% - Accent4 2 2 6 2 6" xfId="13485" xr:uid="{0540D5A7-D814-4FA8-8317-F49B4BA5B310}"/>
    <cellStyle name="40% - Accent4 2 2 6 3" xfId="6231" xr:uid="{00000000-0005-0000-0000-0000C7050000}"/>
    <cellStyle name="40% - Accent4 2 2 6 3 2" xfId="24857" xr:uid="{378CE3E9-2290-4D3F-AD2F-03C13A11B49D}"/>
    <cellStyle name="40% - Accent4 2 2 6 3 3" xfId="33304" xr:uid="{8DDC3CB0-3219-43AE-B180-6983FE310290}"/>
    <cellStyle name="40% - Accent4 2 2 6 3 4" xfId="41751" xr:uid="{1227A75C-7ED5-44DF-AD0D-FB378CAFF4C1}"/>
    <cellStyle name="40% - Accent4 2 2 6 3 5" xfId="15557" xr:uid="{76E11438-2783-4C31-85FE-3DA4140DD086}"/>
    <cellStyle name="40% - Accent4 2 2 6 4" xfId="20640" xr:uid="{1DC3618F-9527-4630-9D1A-68D5810C8689}"/>
    <cellStyle name="40% - Accent4 2 2 6 5" xfId="29087" xr:uid="{BD4AB7A6-1C54-4378-B7EF-4E06B6893541}"/>
    <cellStyle name="40% - Accent4 2 2 6 6" xfId="37534" xr:uid="{129CB3A6-816E-47B1-9783-B5824B9FE6FB}"/>
    <cellStyle name="40% - Accent4 2 2 6 7" xfId="11340" xr:uid="{AD3AE5C3-0308-414A-AE84-9D432BC78594}"/>
    <cellStyle name="40% - Accent4 2 2 7" xfId="2338" xr:uid="{00000000-0005-0000-0000-0000C8050000}"/>
    <cellStyle name="40% - Accent4 2 2 7 2" xfId="6644" xr:uid="{00000000-0005-0000-0000-0000C9050000}"/>
    <cellStyle name="40% - Accent4 2 2 7 2 2" xfId="25270" xr:uid="{264036DB-511B-4241-964B-3B9ABD1380CB}"/>
    <cellStyle name="40% - Accent4 2 2 7 2 3" xfId="33717" xr:uid="{6EB6C922-E4F9-457E-8F95-4A2B1BE264E9}"/>
    <cellStyle name="40% - Accent4 2 2 7 2 4" xfId="42164" xr:uid="{AD4E5731-69A4-4E54-A346-E4642A3CE5E5}"/>
    <cellStyle name="40% - Accent4 2 2 7 2 5" xfId="15970" xr:uid="{8E30DBA2-0980-4B60-800F-67EC5E723426}"/>
    <cellStyle name="40% - Accent4 2 2 7 3" xfId="21053" xr:uid="{DD771DE3-7917-4105-81A6-F375325348C3}"/>
    <cellStyle name="40% - Accent4 2 2 7 4" xfId="29500" xr:uid="{5A1128D1-5BB9-4C63-BEDC-AA9BEA8190DF}"/>
    <cellStyle name="40% - Accent4 2 2 7 5" xfId="37947" xr:uid="{B2BCC92A-6E8A-45CF-9301-302DE6D861C8}"/>
    <cellStyle name="40% - Accent4 2 2 7 6" xfId="11753" xr:uid="{1C63340D-5E11-4016-A794-5937EC2FD839}"/>
    <cellStyle name="40% - Accent4 2 2 8" xfId="4578" xr:uid="{00000000-0005-0000-0000-0000CA050000}"/>
    <cellStyle name="40% - Accent4 2 2 8 2" xfId="23204" xr:uid="{5A1BCD41-2BCE-4A65-B427-51FD908EA29B}"/>
    <cellStyle name="40% - Accent4 2 2 8 3" xfId="31651" xr:uid="{FD61914B-7F44-4471-BEE2-A094FE11D2A6}"/>
    <cellStyle name="40% - Accent4 2 2 8 4" xfId="40098" xr:uid="{F380090B-45CA-4C04-A513-0AD91C490BBF}"/>
    <cellStyle name="40% - Accent4 2 2 8 5" xfId="13904" xr:uid="{C3DB66BD-94B0-416D-8308-F5FC7FC8A3CF}"/>
    <cellStyle name="40% - Accent4 2 2 9" xfId="8904" xr:uid="{64C959C5-2FAF-462D-88B6-14B59CDC763B}"/>
    <cellStyle name="40% - Accent4 2 2 9 2" xfId="18228" xr:uid="{3BB72027-E407-4B0B-9C89-0AF7C2FF8999}"/>
    <cellStyle name="40% - Accent4 2 3" xfId="77" xr:uid="{00000000-0005-0000-0000-0000CB050000}"/>
    <cellStyle name="40% - Accent4 2 3 10" xfId="27436" xr:uid="{16727D27-7402-4EE8-9540-D9CCEEA37712}"/>
    <cellStyle name="40% - Accent4 2 3 11" xfId="35883" xr:uid="{180B9EE2-AD25-4FC0-9121-3C5385659FAF}"/>
    <cellStyle name="40% - Accent4 2 3 12" xfId="9689" xr:uid="{EC8248AB-904B-41B8-AB77-CF00F6652B27}"/>
    <cellStyle name="40% - Accent4 2 3 2" xfId="646" xr:uid="{00000000-0005-0000-0000-0000CC050000}"/>
    <cellStyle name="40% - Accent4 2 3 2 2" xfId="2917" xr:uid="{00000000-0005-0000-0000-0000CD050000}"/>
    <cellStyle name="40% - Accent4 2 3 2 2 2" xfId="7139" xr:uid="{00000000-0005-0000-0000-0000CE050000}"/>
    <cellStyle name="40% - Accent4 2 3 2 2 2 2" xfId="25765" xr:uid="{2BB2DA33-FB2F-4494-9205-C4B2FC0AFF2E}"/>
    <cellStyle name="40% - Accent4 2 3 2 2 2 3" xfId="34212" xr:uid="{83F4E369-CDE9-4D84-B925-12C78880B363}"/>
    <cellStyle name="40% - Accent4 2 3 2 2 2 4" xfId="42659" xr:uid="{C4D98B06-FC1E-4D80-976E-5B1FA2D718A0}"/>
    <cellStyle name="40% - Accent4 2 3 2 2 2 5" xfId="16465" xr:uid="{A733DBB4-9F02-4C17-9FF2-98C5EB1B20AA}"/>
    <cellStyle name="40% - Accent4 2 3 2 2 3" xfId="21548" xr:uid="{1865948A-DEEB-4361-9D6C-D5DEF0E50BE5}"/>
    <cellStyle name="40% - Accent4 2 3 2 2 4" xfId="29995" xr:uid="{538CCC51-DF53-42D0-BAD8-D1161D8664A1}"/>
    <cellStyle name="40% - Accent4 2 3 2 2 5" xfId="38442" xr:uid="{0C23FFCD-A0F4-4B91-A584-77FCE7C0FCC1}"/>
    <cellStyle name="40% - Accent4 2 3 2 2 6" xfId="12248" xr:uid="{55A46709-0264-44D1-9B12-A310C806BFC2}"/>
    <cellStyle name="40% - Accent4 2 3 2 3" xfId="4994" xr:uid="{00000000-0005-0000-0000-0000CF050000}"/>
    <cellStyle name="40% - Accent4 2 3 2 3 2" xfId="23620" xr:uid="{A2B2FC8D-8365-4F33-B3A8-C80D7740CA01}"/>
    <cellStyle name="40% - Accent4 2 3 2 3 3" xfId="32067" xr:uid="{04C54DF0-4323-47E3-9599-AFD3B369CF12}"/>
    <cellStyle name="40% - Accent4 2 3 2 3 4" xfId="40514" xr:uid="{8A54BB39-BC84-403B-87AE-3106B5894441}"/>
    <cellStyle name="40% - Accent4 2 3 2 3 5" xfId="14320" xr:uid="{5D04199A-582D-4DE2-A0D9-5ED9D0478967}"/>
    <cellStyle name="40% - Accent4 2 3 2 4" xfId="9433" xr:uid="{058786D1-7E7D-40D9-9218-B4C7219F4E53}"/>
    <cellStyle name="40% - Accent4 2 3 2 4 2" xfId="18749" xr:uid="{21EE6218-BA25-4F8E-8C8F-D41086EBDD69}"/>
    <cellStyle name="40% - Accent4 2 3 2 5" xfId="19403" xr:uid="{E9030EE7-8E05-46C3-88F5-2F8538280B6C}"/>
    <cellStyle name="40% - Accent4 2 3 2 6" xfId="27850" xr:uid="{D2EF1572-2224-48A4-934A-7B5D96B9972A}"/>
    <cellStyle name="40% - Accent4 2 3 2 7" xfId="36297" xr:uid="{CCB27812-C5B1-4438-8DD7-1F34D8CE5DC7}"/>
    <cellStyle name="40% - Accent4 2 3 2 8" xfId="10103" xr:uid="{6DC9A1A8-F53D-41FD-8F09-A0D3694F129D}"/>
    <cellStyle name="40% - Accent4 2 3 3" xfId="1099" xr:uid="{00000000-0005-0000-0000-0000D0050000}"/>
    <cellStyle name="40% - Accent4 2 3 3 2" xfId="3330" xr:uid="{00000000-0005-0000-0000-0000D1050000}"/>
    <cellStyle name="40% - Accent4 2 3 3 2 2" xfId="7552" xr:uid="{00000000-0005-0000-0000-0000D2050000}"/>
    <cellStyle name="40% - Accent4 2 3 3 2 2 2" xfId="26178" xr:uid="{D403BF3E-3F20-4670-A89B-5A20F4010C89}"/>
    <cellStyle name="40% - Accent4 2 3 3 2 2 3" xfId="34625" xr:uid="{0C0B16B5-1091-4FFE-9F27-2FAC8A1B893A}"/>
    <cellStyle name="40% - Accent4 2 3 3 2 2 4" xfId="43072" xr:uid="{F35000AB-7A0A-4607-8D26-2C62335904BD}"/>
    <cellStyle name="40% - Accent4 2 3 3 2 2 5" xfId="16878" xr:uid="{DFAE733E-715E-42FD-A9A4-28F6AB252F6D}"/>
    <cellStyle name="40% - Accent4 2 3 3 2 3" xfId="21961" xr:uid="{7DD804CD-4091-4B6A-B112-3B33185D30C8}"/>
    <cellStyle name="40% - Accent4 2 3 3 2 4" xfId="30408" xr:uid="{FDFC38CD-95B8-42D3-92C1-AF182DCAA6D3}"/>
    <cellStyle name="40% - Accent4 2 3 3 2 5" xfId="38855" xr:uid="{5A1F1090-7997-47CC-8272-8CBE4EAA4DC2}"/>
    <cellStyle name="40% - Accent4 2 3 3 2 6" xfId="12661" xr:uid="{873183A8-4873-4A46-AD2C-C8204C071F8B}"/>
    <cellStyle name="40% - Accent4 2 3 3 3" xfId="5407" xr:uid="{00000000-0005-0000-0000-0000D3050000}"/>
    <cellStyle name="40% - Accent4 2 3 3 3 2" xfId="24033" xr:uid="{95E95563-2E95-4CEA-9C22-5F932999F124}"/>
    <cellStyle name="40% - Accent4 2 3 3 3 3" xfId="32480" xr:uid="{5D2D78B1-4A76-4D0F-9B4B-B973963A4DDC}"/>
    <cellStyle name="40% - Accent4 2 3 3 3 4" xfId="40927" xr:uid="{C5A2DCDA-E56F-405A-96C0-42A733498869}"/>
    <cellStyle name="40% - Accent4 2 3 3 3 5" xfId="14733" xr:uid="{23E13337-E1EF-4977-9A42-1ABAFEB9FAF6}"/>
    <cellStyle name="40% - Accent4 2 3 3 4" xfId="19816" xr:uid="{BB06814A-C37D-4E4E-998A-7435547877A8}"/>
    <cellStyle name="40% - Accent4 2 3 3 5" xfId="28263" xr:uid="{0D36CD30-E2D7-44B8-87F3-C1D1B2043459}"/>
    <cellStyle name="40% - Accent4 2 3 3 6" xfId="36710" xr:uid="{E2FE993A-1B71-4CEC-B15E-1825A26F01EA}"/>
    <cellStyle name="40% - Accent4 2 3 3 7" xfId="10516" xr:uid="{3B7CE581-55D9-4A60-864C-3A5BC117BD79}"/>
    <cellStyle name="40% - Accent4 2 3 4" xfId="1513" xr:uid="{00000000-0005-0000-0000-0000D4050000}"/>
    <cellStyle name="40% - Accent4 2 3 4 2" xfId="3743" xr:uid="{00000000-0005-0000-0000-0000D5050000}"/>
    <cellStyle name="40% - Accent4 2 3 4 2 2" xfId="7965" xr:uid="{00000000-0005-0000-0000-0000D6050000}"/>
    <cellStyle name="40% - Accent4 2 3 4 2 2 2" xfId="26591" xr:uid="{8E5C5C10-D184-40D4-B1EA-32D422EF1C0B}"/>
    <cellStyle name="40% - Accent4 2 3 4 2 2 3" xfId="35038" xr:uid="{160D7B02-4D4B-4E6A-86D8-242A27EEEAFB}"/>
    <cellStyle name="40% - Accent4 2 3 4 2 2 4" xfId="43485" xr:uid="{1722AEA9-B0DC-42F2-9E60-EE399085C298}"/>
    <cellStyle name="40% - Accent4 2 3 4 2 2 5" xfId="17291" xr:uid="{62398E31-3E09-47A1-A470-4CE8F3F2EAA9}"/>
    <cellStyle name="40% - Accent4 2 3 4 2 3" xfId="22374" xr:uid="{38E4E2D2-E822-4EB7-901D-D4F1C1B71120}"/>
    <cellStyle name="40% - Accent4 2 3 4 2 4" xfId="30821" xr:uid="{20F24565-8BE6-45D4-9D29-D296E71CE05E}"/>
    <cellStyle name="40% - Accent4 2 3 4 2 5" xfId="39268" xr:uid="{CE14080C-CA93-4FD1-BE7B-157F7F9C4F47}"/>
    <cellStyle name="40% - Accent4 2 3 4 2 6" xfId="13074" xr:uid="{807E4FEC-8CA5-42D6-95BC-929DE1B42880}"/>
    <cellStyle name="40% - Accent4 2 3 4 3" xfId="5820" xr:uid="{00000000-0005-0000-0000-0000D7050000}"/>
    <cellStyle name="40% - Accent4 2 3 4 3 2" xfId="24446" xr:uid="{D0DB99B4-2C8F-4732-A4B7-903F6EF990F3}"/>
    <cellStyle name="40% - Accent4 2 3 4 3 3" xfId="32893" xr:uid="{D687FF02-6B27-4BCD-864D-797A3EB5DD8D}"/>
    <cellStyle name="40% - Accent4 2 3 4 3 4" xfId="41340" xr:uid="{7D319733-C36B-4E8C-9035-FCC31D9EB6AC}"/>
    <cellStyle name="40% - Accent4 2 3 4 3 5" xfId="15146" xr:uid="{1907A641-282F-46F1-A6D9-0276F792D183}"/>
    <cellStyle name="40% - Accent4 2 3 4 4" xfId="20229" xr:uid="{4AB5B06F-65F8-4A27-827F-C1CC26F67999}"/>
    <cellStyle name="40% - Accent4 2 3 4 5" xfId="28676" xr:uid="{3E51E9DA-3A75-4620-A72F-2B2ADCFD7BD1}"/>
    <cellStyle name="40% - Accent4 2 3 4 6" xfId="37123" xr:uid="{F55505D1-E8A1-4708-BBEE-3CD5F4766163}"/>
    <cellStyle name="40% - Accent4 2 3 4 7" xfId="10929" xr:uid="{8E80F1E3-05B8-4324-A548-01F89AB97288}"/>
    <cellStyle name="40% - Accent4 2 3 5" xfId="1927" xr:uid="{00000000-0005-0000-0000-0000D8050000}"/>
    <cellStyle name="40% - Accent4 2 3 5 2" xfId="4156" xr:uid="{00000000-0005-0000-0000-0000D9050000}"/>
    <cellStyle name="40% - Accent4 2 3 5 2 2" xfId="8378" xr:uid="{00000000-0005-0000-0000-0000DA050000}"/>
    <cellStyle name="40% - Accent4 2 3 5 2 2 2" xfId="27004" xr:uid="{707A3ADC-8889-45E3-AF7B-66AD37A56141}"/>
    <cellStyle name="40% - Accent4 2 3 5 2 2 3" xfId="35451" xr:uid="{7095910F-7B00-4E77-B604-2EBEA9A38FE9}"/>
    <cellStyle name="40% - Accent4 2 3 5 2 2 4" xfId="43898" xr:uid="{66442F49-6909-4816-A532-0047EC941789}"/>
    <cellStyle name="40% - Accent4 2 3 5 2 2 5" xfId="17704" xr:uid="{BB54AA21-7987-4FB3-92E2-7DF98E441BB9}"/>
    <cellStyle name="40% - Accent4 2 3 5 2 3" xfId="22787" xr:uid="{0575ABCB-A99D-4CEE-A84D-C370CD3932E6}"/>
    <cellStyle name="40% - Accent4 2 3 5 2 4" xfId="31234" xr:uid="{860D8DDF-259F-4EA8-955B-59CF8E234B7F}"/>
    <cellStyle name="40% - Accent4 2 3 5 2 5" xfId="39681" xr:uid="{BFF5FDB0-C186-4D0E-A45B-4D013267AA85}"/>
    <cellStyle name="40% - Accent4 2 3 5 2 6" xfId="13487" xr:uid="{E9EEBB6C-E068-48AF-B612-80040FEE1175}"/>
    <cellStyle name="40% - Accent4 2 3 5 3" xfId="6233" xr:uid="{00000000-0005-0000-0000-0000DB050000}"/>
    <cellStyle name="40% - Accent4 2 3 5 3 2" xfId="24859" xr:uid="{E309063D-E73D-4BE1-8343-A89FA6526219}"/>
    <cellStyle name="40% - Accent4 2 3 5 3 3" xfId="33306" xr:uid="{9497D84A-E75F-421D-8A30-C9514BD9CF1B}"/>
    <cellStyle name="40% - Accent4 2 3 5 3 4" xfId="41753" xr:uid="{2E2266F2-E896-45CF-8332-F8CE61034E31}"/>
    <cellStyle name="40% - Accent4 2 3 5 3 5" xfId="15559" xr:uid="{0E1F4BD2-318D-4D3A-BA64-C53AFD8840D0}"/>
    <cellStyle name="40% - Accent4 2 3 5 4" xfId="20642" xr:uid="{73386A41-2974-4BEB-B47F-FF8E8DE820AD}"/>
    <cellStyle name="40% - Accent4 2 3 5 5" xfId="29089" xr:uid="{836C2C83-3866-43C7-AE3F-9685A4324467}"/>
    <cellStyle name="40% - Accent4 2 3 5 6" xfId="37536" xr:uid="{F7DC49DA-EE65-48C1-A355-39DF0308C32D}"/>
    <cellStyle name="40% - Accent4 2 3 5 7" xfId="11342" xr:uid="{F54974BE-30F9-4055-B99C-DC0A8A8EDCAE}"/>
    <cellStyle name="40% - Accent4 2 3 6" xfId="2340" xr:uid="{00000000-0005-0000-0000-0000DC050000}"/>
    <cellStyle name="40% - Accent4 2 3 6 2" xfId="6646" xr:uid="{00000000-0005-0000-0000-0000DD050000}"/>
    <cellStyle name="40% - Accent4 2 3 6 2 2" xfId="25272" xr:uid="{92D26903-7E50-487B-8181-DDEE790B2DD1}"/>
    <cellStyle name="40% - Accent4 2 3 6 2 3" xfId="33719" xr:uid="{B23A2E16-3876-4DA0-9266-DE3E169BEB23}"/>
    <cellStyle name="40% - Accent4 2 3 6 2 4" xfId="42166" xr:uid="{063DA90F-99E5-4545-8DF9-3DEEF373D997}"/>
    <cellStyle name="40% - Accent4 2 3 6 2 5" xfId="15972" xr:uid="{F9605C00-E20D-4817-8489-A092579F0673}"/>
    <cellStyle name="40% - Accent4 2 3 6 3" xfId="21055" xr:uid="{D4676620-6CCA-457F-9103-A9D1D6CBC716}"/>
    <cellStyle name="40% - Accent4 2 3 6 4" xfId="29502" xr:uid="{B2E1FB2D-D22F-4DD4-B516-31E3051FEA23}"/>
    <cellStyle name="40% - Accent4 2 3 6 5" xfId="37949" xr:uid="{F1D1E9B5-9528-423C-B160-9453CB28B3C4}"/>
    <cellStyle name="40% - Accent4 2 3 6 6" xfId="11755" xr:uid="{E0C4CE81-5E9B-48DD-BA51-131C4048ED89}"/>
    <cellStyle name="40% - Accent4 2 3 7" xfId="4580" xr:uid="{00000000-0005-0000-0000-0000DE050000}"/>
    <cellStyle name="40% - Accent4 2 3 7 2" xfId="23206" xr:uid="{6BBB170C-F2C4-4DC3-8FDA-69AEE8DAED9E}"/>
    <cellStyle name="40% - Accent4 2 3 7 3" xfId="31653" xr:uid="{BD7894CF-C64C-4D72-81EA-5AA122E2DBF0}"/>
    <cellStyle name="40% - Accent4 2 3 7 4" xfId="40100" xr:uid="{1D31A994-FAA2-4838-A84B-A37AD2B4D07C}"/>
    <cellStyle name="40% - Accent4 2 3 7 5" xfId="13906" xr:uid="{41CB863D-1810-40DB-B3B9-5C0EFBE8553B}"/>
    <cellStyle name="40% - Accent4 2 3 8" xfId="9008" xr:uid="{270F4CAB-C86F-4D9D-804F-69497913908B}"/>
    <cellStyle name="40% - Accent4 2 3 8 2" xfId="18332" xr:uid="{B850BD2A-29C7-416A-BD97-2664091196E1}"/>
    <cellStyle name="40% - Accent4 2 3 9" xfId="18989" xr:uid="{0483BDBC-9A23-49C4-BF89-32D325500F07}"/>
    <cellStyle name="40% - Accent4 2 4" xfId="643" xr:uid="{00000000-0005-0000-0000-0000DF050000}"/>
    <cellStyle name="40% - Accent4 2 4 2" xfId="2914" xr:uid="{00000000-0005-0000-0000-0000E0050000}"/>
    <cellStyle name="40% - Accent4 2 4 2 2" xfId="7136" xr:uid="{00000000-0005-0000-0000-0000E1050000}"/>
    <cellStyle name="40% - Accent4 2 4 2 2 2" xfId="25762" xr:uid="{F5B1CEE5-3B52-433A-980D-1A1E6DEA1317}"/>
    <cellStyle name="40% - Accent4 2 4 2 2 3" xfId="34209" xr:uid="{620EC89C-C487-4B7D-956D-EC90714C8093}"/>
    <cellStyle name="40% - Accent4 2 4 2 2 4" xfId="42656" xr:uid="{47794B42-E76A-494A-B123-A3AE4D8A10AF}"/>
    <cellStyle name="40% - Accent4 2 4 2 2 5" xfId="16462" xr:uid="{E36B2DA0-04B7-4C9E-A4B1-260553804CBE}"/>
    <cellStyle name="40% - Accent4 2 4 2 3" xfId="21545" xr:uid="{9129035F-B0E1-4F89-A609-8E677BF19973}"/>
    <cellStyle name="40% - Accent4 2 4 2 4" xfId="29992" xr:uid="{33E26B6B-F0EC-4864-86E2-F5CAE8409BA7}"/>
    <cellStyle name="40% - Accent4 2 4 2 5" xfId="38439" xr:uid="{B5F65CFA-DAAA-4009-B45D-28A49405AB42}"/>
    <cellStyle name="40% - Accent4 2 4 2 6" xfId="12245" xr:uid="{C7357F3B-9B32-4E7C-AB8A-E3990647B862}"/>
    <cellStyle name="40% - Accent4 2 4 3" xfId="4991" xr:uid="{00000000-0005-0000-0000-0000E2050000}"/>
    <cellStyle name="40% - Accent4 2 4 3 2" xfId="23617" xr:uid="{EBD66A25-2F01-40C5-A726-284CFFA3A527}"/>
    <cellStyle name="40% - Accent4 2 4 3 3" xfId="32064" xr:uid="{952C0B99-D211-4D76-8D22-1CF5E8AD344B}"/>
    <cellStyle name="40% - Accent4 2 4 3 4" xfId="40511" xr:uid="{9C4C735C-77D8-4D67-8114-16C7725DABDF}"/>
    <cellStyle name="40% - Accent4 2 4 3 5" xfId="14317" xr:uid="{F03CDC3F-6511-446B-89BD-B96C5B3BE74C}"/>
    <cellStyle name="40% - Accent4 2 4 4" xfId="9225" xr:uid="{40EEB981-54C4-40E4-A2F9-BCD479248D23}"/>
    <cellStyle name="40% - Accent4 2 4 4 2" xfId="18542" xr:uid="{9C2B1761-33FA-48B1-AB1A-4732A3039C85}"/>
    <cellStyle name="40% - Accent4 2 4 5" xfId="19400" xr:uid="{F4167103-F20C-4C53-A49D-0C4C0551882A}"/>
    <cellStyle name="40% - Accent4 2 4 6" xfId="27847" xr:uid="{63DE888C-806E-4CA4-B3C7-52E02AF26D19}"/>
    <cellStyle name="40% - Accent4 2 4 7" xfId="36294" xr:uid="{69FE7E16-B2AB-4A52-BB1C-580FE9D8CA82}"/>
    <cellStyle name="40% - Accent4 2 4 8" xfId="10100" xr:uid="{56021A15-8CAC-4267-89A9-87E362CFD756}"/>
    <cellStyle name="40% - Accent4 2 5" xfId="1096" xr:uid="{00000000-0005-0000-0000-0000E3050000}"/>
    <cellStyle name="40% - Accent4 2 5 2" xfId="3327" xr:uid="{00000000-0005-0000-0000-0000E4050000}"/>
    <cellStyle name="40% - Accent4 2 5 2 2" xfId="7549" xr:uid="{00000000-0005-0000-0000-0000E5050000}"/>
    <cellStyle name="40% - Accent4 2 5 2 2 2" xfId="26175" xr:uid="{CCFBFA06-D50A-4A2E-AC41-B2D6ED04E52B}"/>
    <cellStyle name="40% - Accent4 2 5 2 2 3" xfId="34622" xr:uid="{41F8C487-98B4-41AA-A0ED-B2A37B48EABA}"/>
    <cellStyle name="40% - Accent4 2 5 2 2 4" xfId="43069" xr:uid="{F5FC87BB-DD38-4FCA-8945-299EE20DFF4F}"/>
    <cellStyle name="40% - Accent4 2 5 2 2 5" xfId="16875" xr:uid="{3EFE223E-188D-4502-96D6-7E2EE6673867}"/>
    <cellStyle name="40% - Accent4 2 5 2 3" xfId="21958" xr:uid="{F3783559-6BFC-47DF-B7B8-1CA88477D338}"/>
    <cellStyle name="40% - Accent4 2 5 2 4" xfId="30405" xr:uid="{658F8632-E046-4C0B-B5FE-6183456271D1}"/>
    <cellStyle name="40% - Accent4 2 5 2 5" xfId="38852" xr:uid="{7B17721E-310B-4E3B-A870-C94D2A163498}"/>
    <cellStyle name="40% - Accent4 2 5 2 6" xfId="12658" xr:uid="{22009A6E-ECDF-4A85-B7FA-39D2926FFA06}"/>
    <cellStyle name="40% - Accent4 2 5 3" xfId="5404" xr:uid="{00000000-0005-0000-0000-0000E6050000}"/>
    <cellStyle name="40% - Accent4 2 5 3 2" xfId="24030" xr:uid="{99FEB989-CD29-45BE-9C05-56197EACFBE0}"/>
    <cellStyle name="40% - Accent4 2 5 3 3" xfId="32477" xr:uid="{309052AA-A63F-4654-AA23-A0417E167D14}"/>
    <cellStyle name="40% - Accent4 2 5 3 4" xfId="40924" xr:uid="{BCE84704-FE3F-4B3D-8CEE-F51B086ECDD1}"/>
    <cellStyle name="40% - Accent4 2 5 3 5" xfId="14730" xr:uid="{91D02CD7-4C9E-4A52-9994-6460C37D0831}"/>
    <cellStyle name="40% - Accent4 2 5 4" xfId="19813" xr:uid="{8BF63024-B29C-4F77-8537-05C50086A8A0}"/>
    <cellStyle name="40% - Accent4 2 5 5" xfId="28260" xr:uid="{CE762F2F-BBAE-4BAB-8909-54C993372934}"/>
    <cellStyle name="40% - Accent4 2 5 6" xfId="36707" xr:uid="{5BAF6566-DF64-40B1-AC4B-1EDA0CE3FEAA}"/>
    <cellStyle name="40% - Accent4 2 5 7" xfId="10513" xr:uid="{5AAC41A2-7494-4A80-AE58-69F06ADDD72C}"/>
    <cellStyle name="40% - Accent4 2 6" xfId="1510" xr:uid="{00000000-0005-0000-0000-0000E7050000}"/>
    <cellStyle name="40% - Accent4 2 6 2" xfId="3740" xr:uid="{00000000-0005-0000-0000-0000E8050000}"/>
    <cellStyle name="40% - Accent4 2 6 2 2" xfId="7962" xr:uid="{00000000-0005-0000-0000-0000E9050000}"/>
    <cellStyle name="40% - Accent4 2 6 2 2 2" xfId="26588" xr:uid="{13C18112-44FA-4DE5-823A-B78D2003365B}"/>
    <cellStyle name="40% - Accent4 2 6 2 2 3" xfId="35035" xr:uid="{D91B367F-6E9C-440B-ACE9-E94ED88C15AB}"/>
    <cellStyle name="40% - Accent4 2 6 2 2 4" xfId="43482" xr:uid="{26EE03A5-FC02-49D3-BB13-48459FEA6D5B}"/>
    <cellStyle name="40% - Accent4 2 6 2 2 5" xfId="17288" xr:uid="{8ED0231C-09B3-4DC5-AC93-2F0BB7ECEBAB}"/>
    <cellStyle name="40% - Accent4 2 6 2 3" xfId="22371" xr:uid="{9CD1F5F6-3DDA-4B99-8902-95D2A6D5FB18}"/>
    <cellStyle name="40% - Accent4 2 6 2 4" xfId="30818" xr:uid="{B8B82640-7FCF-4A80-8709-50BFC59D05B7}"/>
    <cellStyle name="40% - Accent4 2 6 2 5" xfId="39265" xr:uid="{C8D9AA92-595F-483A-BFE1-6AA848AE2775}"/>
    <cellStyle name="40% - Accent4 2 6 2 6" xfId="13071" xr:uid="{6BD3DE13-E099-45F5-9428-4EA5410FDCEE}"/>
    <cellStyle name="40% - Accent4 2 6 3" xfId="5817" xr:uid="{00000000-0005-0000-0000-0000EA050000}"/>
    <cellStyle name="40% - Accent4 2 6 3 2" xfId="24443" xr:uid="{93E8F538-12BE-43AF-ADF9-FE0903571A49}"/>
    <cellStyle name="40% - Accent4 2 6 3 3" xfId="32890" xr:uid="{889AC243-9267-4573-BF1E-D66C1601F13C}"/>
    <cellStyle name="40% - Accent4 2 6 3 4" xfId="41337" xr:uid="{D5920F40-446E-41F1-B3C0-52B48D66EBA8}"/>
    <cellStyle name="40% - Accent4 2 6 3 5" xfId="15143" xr:uid="{A3914E77-1A07-43C0-972C-068D519E1F36}"/>
    <cellStyle name="40% - Accent4 2 6 4" xfId="20226" xr:uid="{81203A7B-F6B4-4F6C-B847-1BD77ADDCD17}"/>
    <cellStyle name="40% - Accent4 2 6 5" xfId="28673" xr:uid="{B6E4C253-0C7E-4FBA-BBED-14B13F0B841A}"/>
    <cellStyle name="40% - Accent4 2 6 6" xfId="37120" xr:uid="{E80D3AD7-81F7-47F9-9901-C121DB3911EE}"/>
    <cellStyle name="40% - Accent4 2 6 7" xfId="10926" xr:uid="{D32FF90A-6403-49D0-A9B2-57BFE3FB093B}"/>
    <cellStyle name="40% - Accent4 2 7" xfId="1924" xr:uid="{00000000-0005-0000-0000-0000EB050000}"/>
    <cellStyle name="40% - Accent4 2 7 2" xfId="4153" xr:uid="{00000000-0005-0000-0000-0000EC050000}"/>
    <cellStyle name="40% - Accent4 2 7 2 2" xfId="8375" xr:uid="{00000000-0005-0000-0000-0000ED050000}"/>
    <cellStyle name="40% - Accent4 2 7 2 2 2" xfId="27001" xr:uid="{7074042C-76E4-4523-8052-FB796E87B202}"/>
    <cellStyle name="40% - Accent4 2 7 2 2 3" xfId="35448" xr:uid="{47045956-D05F-4789-A45B-E00CDFAC67C1}"/>
    <cellStyle name="40% - Accent4 2 7 2 2 4" xfId="43895" xr:uid="{6BBFAA6B-82F7-4B85-B8C4-6B83BF650B69}"/>
    <cellStyle name="40% - Accent4 2 7 2 2 5" xfId="17701" xr:uid="{72BF72B3-A13B-4A1D-9E7F-DA3382DAAB65}"/>
    <cellStyle name="40% - Accent4 2 7 2 3" xfId="22784" xr:uid="{10A0699E-180F-456B-9D1B-03ECA47A988D}"/>
    <cellStyle name="40% - Accent4 2 7 2 4" xfId="31231" xr:uid="{345109DE-9610-4DDC-97EB-9F0F9B69CAAC}"/>
    <cellStyle name="40% - Accent4 2 7 2 5" xfId="39678" xr:uid="{11E747F9-1973-4470-843F-66973149654C}"/>
    <cellStyle name="40% - Accent4 2 7 2 6" xfId="13484" xr:uid="{C889B6AA-6ADF-4665-9341-FDE0848D2376}"/>
    <cellStyle name="40% - Accent4 2 7 3" xfId="6230" xr:uid="{00000000-0005-0000-0000-0000EE050000}"/>
    <cellStyle name="40% - Accent4 2 7 3 2" xfId="24856" xr:uid="{89F38B89-C23E-4A5B-BC8E-53BDFCB760A7}"/>
    <cellStyle name="40% - Accent4 2 7 3 3" xfId="33303" xr:uid="{B1907C76-7D27-4D61-8A89-A92DA0F4CEEB}"/>
    <cellStyle name="40% - Accent4 2 7 3 4" xfId="41750" xr:uid="{3897B29C-0ED9-4866-B04B-012D7EFE8B79}"/>
    <cellStyle name="40% - Accent4 2 7 3 5" xfId="15556" xr:uid="{77BD7CA0-8239-4D0E-8A0F-98A1E0E2D992}"/>
    <cellStyle name="40% - Accent4 2 7 4" xfId="20639" xr:uid="{3396DD4E-5657-400D-9856-95E3F53FE2C8}"/>
    <cellStyle name="40% - Accent4 2 7 5" xfId="29086" xr:uid="{06E570C9-182A-4880-A6C6-FEED7B3574ED}"/>
    <cellStyle name="40% - Accent4 2 7 6" xfId="37533" xr:uid="{06003898-829F-4555-ADDF-AA0ACFB56C41}"/>
    <cellStyle name="40% - Accent4 2 7 7" xfId="11339" xr:uid="{77633C95-8A39-4F45-93E4-BEECC0EBE4DC}"/>
    <cellStyle name="40% - Accent4 2 8" xfId="2337" xr:uid="{00000000-0005-0000-0000-0000EF050000}"/>
    <cellStyle name="40% - Accent4 2 8 2" xfId="6643" xr:uid="{00000000-0005-0000-0000-0000F0050000}"/>
    <cellStyle name="40% - Accent4 2 8 2 2" xfId="25269" xr:uid="{19CCECAE-A045-4C3E-A9EE-877A19507B0E}"/>
    <cellStyle name="40% - Accent4 2 8 2 3" xfId="33716" xr:uid="{E7446ED1-7E36-4A23-ABCE-D039CAE9C987}"/>
    <cellStyle name="40% - Accent4 2 8 2 4" xfId="42163" xr:uid="{5CDDDE47-B263-46EE-A678-D6E6394CB693}"/>
    <cellStyle name="40% - Accent4 2 8 2 5" xfId="15969" xr:uid="{DB84F26D-2E0A-48E6-978E-77D155AF69FE}"/>
    <cellStyle name="40% - Accent4 2 8 3" xfId="21052" xr:uid="{B3FA19C7-4DE8-4154-8794-160F0EDDC3D8}"/>
    <cellStyle name="40% - Accent4 2 8 4" xfId="29499" xr:uid="{3B16433D-71B2-4583-AA42-276E3FB8BEE6}"/>
    <cellStyle name="40% - Accent4 2 8 5" xfId="37946" xr:uid="{E51E5079-7966-4CB0-9BE7-EBFE6378495C}"/>
    <cellStyle name="40% - Accent4 2 8 6" xfId="11752" xr:uid="{A9BF7718-9886-4191-ABB8-4C2E20B1E438}"/>
    <cellStyle name="40% - Accent4 2 9" xfId="4577" xr:uid="{00000000-0005-0000-0000-0000F1050000}"/>
    <cellStyle name="40% - Accent4 2 9 2" xfId="23203" xr:uid="{5507A731-58EE-495A-A6BD-264BCA46F752}"/>
    <cellStyle name="40% - Accent4 2 9 3" xfId="31650" xr:uid="{1C15077B-EC45-431C-A3DE-0A105CB2FA78}"/>
    <cellStyle name="40% - Accent4 2 9 4" xfId="40097" xr:uid="{1FAE774D-3794-4369-B6B9-9D603C004BBE}"/>
    <cellStyle name="40% - Accent4 2 9 5" xfId="13903" xr:uid="{C0E1CA18-064B-47D1-8EA6-D8F76BB731B6}"/>
    <cellStyle name="40% - Accent4 3" xfId="78" xr:uid="{00000000-0005-0000-0000-0000F2050000}"/>
    <cellStyle name="40% - Accent4 3 10" xfId="18990" xr:uid="{AA09CC36-6A3D-48B9-BC3C-1B6C53AC0EF7}"/>
    <cellStyle name="40% - Accent4 3 11" xfId="27437" xr:uid="{1576F15C-3FBB-46AF-B081-1FBC24AD66DE}"/>
    <cellStyle name="40% - Accent4 3 12" xfId="35884" xr:uid="{B928FD80-D885-4C08-8FF4-F655D22EE730}"/>
    <cellStyle name="40% - Accent4 3 13" xfId="9690" xr:uid="{808DC16B-A61C-49D6-A736-71AD03538763}"/>
    <cellStyle name="40% - Accent4 3 2" xfId="79" xr:uid="{00000000-0005-0000-0000-0000F3050000}"/>
    <cellStyle name="40% - Accent4 3 2 10" xfId="27438" xr:uid="{79EB5BDE-1404-4462-A583-059676D98B12}"/>
    <cellStyle name="40% - Accent4 3 2 11" xfId="35885" xr:uid="{1337EBDC-2BF7-44CB-8DA5-B5ACBC2A09D8}"/>
    <cellStyle name="40% - Accent4 3 2 12" xfId="9691" xr:uid="{132753E3-90BB-4A8B-94E9-52A9E759AFF5}"/>
    <cellStyle name="40% - Accent4 3 2 2" xfId="648" xr:uid="{00000000-0005-0000-0000-0000F4050000}"/>
    <cellStyle name="40% - Accent4 3 2 2 2" xfId="2919" xr:uid="{00000000-0005-0000-0000-0000F5050000}"/>
    <cellStyle name="40% - Accent4 3 2 2 2 2" xfId="7141" xr:uid="{00000000-0005-0000-0000-0000F6050000}"/>
    <cellStyle name="40% - Accent4 3 2 2 2 2 2" xfId="25767" xr:uid="{B394F590-0641-4041-A042-BD89F497F307}"/>
    <cellStyle name="40% - Accent4 3 2 2 2 2 3" xfId="34214" xr:uid="{D8EDC493-DFD2-44DB-ADA2-46061FC98BB6}"/>
    <cellStyle name="40% - Accent4 3 2 2 2 2 4" xfId="42661" xr:uid="{FA2BF4A7-E822-4673-8A85-38351612E6DE}"/>
    <cellStyle name="40% - Accent4 3 2 2 2 2 5" xfId="16467" xr:uid="{8E8383B0-DB00-4B2C-B65F-8AE48729311A}"/>
    <cellStyle name="40% - Accent4 3 2 2 2 3" xfId="21550" xr:uid="{60B569BE-B5DD-435E-BC9B-6376956D3CD8}"/>
    <cellStyle name="40% - Accent4 3 2 2 2 4" xfId="29997" xr:uid="{6520C309-2AD6-4544-9F9F-E5D886C0C5D4}"/>
    <cellStyle name="40% - Accent4 3 2 2 2 5" xfId="38444" xr:uid="{B0E2BA24-E886-4799-AF35-03623CA325E6}"/>
    <cellStyle name="40% - Accent4 3 2 2 2 6" xfId="12250" xr:uid="{A5D91477-2270-4664-956B-351F7129F740}"/>
    <cellStyle name="40% - Accent4 3 2 2 3" xfId="4996" xr:uid="{00000000-0005-0000-0000-0000F7050000}"/>
    <cellStyle name="40% - Accent4 3 2 2 3 2" xfId="23622" xr:uid="{CA2E178F-3598-4ED7-B2FC-5358E0B5F8FD}"/>
    <cellStyle name="40% - Accent4 3 2 2 3 3" xfId="32069" xr:uid="{95833A33-AA82-4FBE-8BF8-F9FC3A7BE176}"/>
    <cellStyle name="40% - Accent4 3 2 2 3 4" xfId="40516" xr:uid="{155B5B4F-879D-422D-B2D4-EE2EDC362057}"/>
    <cellStyle name="40% - Accent4 3 2 2 3 5" xfId="14322" xr:uid="{5C24A721-5FAC-472B-A211-1D9F3C0C2CD7}"/>
    <cellStyle name="40% - Accent4 3 2 2 4" xfId="9500" xr:uid="{EAAAC99F-A3A1-40FB-B78D-6862EF121B7A}"/>
    <cellStyle name="40% - Accent4 3 2 2 4 2" xfId="18816" xr:uid="{73FCF860-457A-43E2-9018-33F70649AAA3}"/>
    <cellStyle name="40% - Accent4 3 2 2 5" xfId="19405" xr:uid="{2746DA14-6FD2-424C-9A18-0092CA1EF038}"/>
    <cellStyle name="40% - Accent4 3 2 2 6" xfId="27852" xr:uid="{653BCCC7-D39F-4621-AB5E-87630CFC7F8E}"/>
    <cellStyle name="40% - Accent4 3 2 2 7" xfId="36299" xr:uid="{18AB7121-5D80-4D70-8F2E-8E9F7266051E}"/>
    <cellStyle name="40% - Accent4 3 2 2 8" xfId="10105" xr:uid="{A0C835ED-1212-4762-A1C7-81C094CC9003}"/>
    <cellStyle name="40% - Accent4 3 2 3" xfId="1101" xr:uid="{00000000-0005-0000-0000-0000F8050000}"/>
    <cellStyle name="40% - Accent4 3 2 3 2" xfId="3332" xr:uid="{00000000-0005-0000-0000-0000F9050000}"/>
    <cellStyle name="40% - Accent4 3 2 3 2 2" xfId="7554" xr:uid="{00000000-0005-0000-0000-0000FA050000}"/>
    <cellStyle name="40% - Accent4 3 2 3 2 2 2" xfId="26180" xr:uid="{9B484210-5465-4B43-AA0D-6EE82B6586E1}"/>
    <cellStyle name="40% - Accent4 3 2 3 2 2 3" xfId="34627" xr:uid="{5086293B-A1DB-4FB4-A315-348AF2024741}"/>
    <cellStyle name="40% - Accent4 3 2 3 2 2 4" xfId="43074" xr:uid="{BB47C476-D1A7-4FC3-A8CC-1266BCC642E8}"/>
    <cellStyle name="40% - Accent4 3 2 3 2 2 5" xfId="16880" xr:uid="{BE753218-F45A-4F30-A676-0BC4791018F7}"/>
    <cellStyle name="40% - Accent4 3 2 3 2 3" xfId="21963" xr:uid="{4CF18644-3306-41F0-BD1A-22BA84ECA16B}"/>
    <cellStyle name="40% - Accent4 3 2 3 2 4" xfId="30410" xr:uid="{E6BCF339-0AC6-47A4-8314-414084B0D4C8}"/>
    <cellStyle name="40% - Accent4 3 2 3 2 5" xfId="38857" xr:uid="{99B5B609-8C82-4187-82C6-30E9623522FB}"/>
    <cellStyle name="40% - Accent4 3 2 3 2 6" xfId="12663" xr:uid="{7601D394-3225-4417-A3AD-6948FCB2FE69}"/>
    <cellStyle name="40% - Accent4 3 2 3 3" xfId="5409" xr:uid="{00000000-0005-0000-0000-0000FB050000}"/>
    <cellStyle name="40% - Accent4 3 2 3 3 2" xfId="24035" xr:uid="{2AFE258D-0D74-4ECF-9BBB-2D36C8BEFF80}"/>
    <cellStyle name="40% - Accent4 3 2 3 3 3" xfId="32482" xr:uid="{265FC64F-1CB4-4F01-9750-F57B0B7C5DAF}"/>
    <cellStyle name="40% - Accent4 3 2 3 3 4" xfId="40929" xr:uid="{D1B097C3-564D-4100-BB87-8D155923693F}"/>
    <cellStyle name="40% - Accent4 3 2 3 3 5" xfId="14735" xr:uid="{30503095-743A-48E9-AAE6-38AB94CA9737}"/>
    <cellStyle name="40% - Accent4 3 2 3 4" xfId="19818" xr:uid="{C41C469F-7DED-4D37-9F57-F0163632CAC4}"/>
    <cellStyle name="40% - Accent4 3 2 3 5" xfId="28265" xr:uid="{2DD49AE0-1D1E-444E-A4B5-377BC633621C}"/>
    <cellStyle name="40% - Accent4 3 2 3 6" xfId="36712" xr:uid="{8BB0C0AF-186F-4D8E-88EE-B54CD0A690C1}"/>
    <cellStyle name="40% - Accent4 3 2 3 7" xfId="10518" xr:uid="{AB42E9FB-C38E-4229-8AB8-8A78D7A9C726}"/>
    <cellStyle name="40% - Accent4 3 2 4" xfId="1515" xr:uid="{00000000-0005-0000-0000-0000FC050000}"/>
    <cellStyle name="40% - Accent4 3 2 4 2" xfId="3745" xr:uid="{00000000-0005-0000-0000-0000FD050000}"/>
    <cellStyle name="40% - Accent4 3 2 4 2 2" xfId="7967" xr:uid="{00000000-0005-0000-0000-0000FE050000}"/>
    <cellStyle name="40% - Accent4 3 2 4 2 2 2" xfId="26593" xr:uid="{9BB0C76D-9752-47C9-A91E-ED97293B6908}"/>
    <cellStyle name="40% - Accent4 3 2 4 2 2 3" xfId="35040" xr:uid="{8171094D-A6AA-4AF2-A35F-8C3FB1CE7109}"/>
    <cellStyle name="40% - Accent4 3 2 4 2 2 4" xfId="43487" xr:uid="{710B1308-74CC-4A59-A337-FA4F99610D7F}"/>
    <cellStyle name="40% - Accent4 3 2 4 2 2 5" xfId="17293" xr:uid="{A2393BB8-4231-41A9-90BE-AE6F528A4F23}"/>
    <cellStyle name="40% - Accent4 3 2 4 2 3" xfId="22376" xr:uid="{1025858A-AB0E-423C-9705-B4680FE3846C}"/>
    <cellStyle name="40% - Accent4 3 2 4 2 4" xfId="30823" xr:uid="{FE646409-10AF-4591-B060-8C9CD1CB90B6}"/>
    <cellStyle name="40% - Accent4 3 2 4 2 5" xfId="39270" xr:uid="{C73DD017-EF99-4A76-9968-92B4D12FBA1A}"/>
    <cellStyle name="40% - Accent4 3 2 4 2 6" xfId="13076" xr:uid="{72F20BF3-72AC-4764-8509-9AD510ED16FB}"/>
    <cellStyle name="40% - Accent4 3 2 4 3" xfId="5822" xr:uid="{00000000-0005-0000-0000-0000FF050000}"/>
    <cellStyle name="40% - Accent4 3 2 4 3 2" xfId="24448" xr:uid="{03210053-2C94-45F9-A5AA-AEB56F3538A2}"/>
    <cellStyle name="40% - Accent4 3 2 4 3 3" xfId="32895" xr:uid="{D4EA62B3-2F1F-43B1-A01A-90A9721BE53A}"/>
    <cellStyle name="40% - Accent4 3 2 4 3 4" xfId="41342" xr:uid="{DD30AC41-720C-4238-87E0-AC90695B243A}"/>
    <cellStyle name="40% - Accent4 3 2 4 3 5" xfId="15148" xr:uid="{3B1D8195-064F-4826-9113-EE494B139B20}"/>
    <cellStyle name="40% - Accent4 3 2 4 4" xfId="20231" xr:uid="{1DB103F8-EA9A-48B0-BE8C-BC37BBF03A17}"/>
    <cellStyle name="40% - Accent4 3 2 4 5" xfId="28678" xr:uid="{767B62F7-6299-4F8E-A938-3D0D1776B876}"/>
    <cellStyle name="40% - Accent4 3 2 4 6" xfId="37125" xr:uid="{547675F1-CFBC-42A1-BEED-D553A257ACA8}"/>
    <cellStyle name="40% - Accent4 3 2 4 7" xfId="10931" xr:uid="{126BE021-86CE-423B-BDCF-8250E10330F2}"/>
    <cellStyle name="40% - Accent4 3 2 5" xfId="1929" xr:uid="{00000000-0005-0000-0000-000000060000}"/>
    <cellStyle name="40% - Accent4 3 2 5 2" xfId="4158" xr:uid="{00000000-0005-0000-0000-000001060000}"/>
    <cellStyle name="40% - Accent4 3 2 5 2 2" xfId="8380" xr:uid="{00000000-0005-0000-0000-000002060000}"/>
    <cellStyle name="40% - Accent4 3 2 5 2 2 2" xfId="27006" xr:uid="{8BDBBEE8-C2F6-42F9-B6E7-091D3D53CE21}"/>
    <cellStyle name="40% - Accent4 3 2 5 2 2 3" xfId="35453" xr:uid="{B54CA538-4D16-458C-8C24-E1286812B571}"/>
    <cellStyle name="40% - Accent4 3 2 5 2 2 4" xfId="43900" xr:uid="{FE3141D8-85CD-412E-A6FD-96655B22ACE6}"/>
    <cellStyle name="40% - Accent4 3 2 5 2 2 5" xfId="17706" xr:uid="{69C6A138-8AB4-46C1-8CED-BEA070B89046}"/>
    <cellStyle name="40% - Accent4 3 2 5 2 3" xfId="22789" xr:uid="{B88A4942-64D9-4C6F-BC0C-B925E4BFCFAB}"/>
    <cellStyle name="40% - Accent4 3 2 5 2 4" xfId="31236" xr:uid="{BF68E7C1-372A-4F74-AC51-CC77EC6DB76B}"/>
    <cellStyle name="40% - Accent4 3 2 5 2 5" xfId="39683" xr:uid="{58350FC8-BD9F-4DB7-B6B0-009E4F732E6A}"/>
    <cellStyle name="40% - Accent4 3 2 5 2 6" xfId="13489" xr:uid="{BAC6C506-ECBF-4BD3-9BD9-B5608026A47B}"/>
    <cellStyle name="40% - Accent4 3 2 5 3" xfId="6235" xr:uid="{00000000-0005-0000-0000-000003060000}"/>
    <cellStyle name="40% - Accent4 3 2 5 3 2" xfId="24861" xr:uid="{101B6E9C-1640-4FC1-9ADC-339A44817536}"/>
    <cellStyle name="40% - Accent4 3 2 5 3 3" xfId="33308" xr:uid="{905C2560-94A9-428D-8F5A-499A66FCDA41}"/>
    <cellStyle name="40% - Accent4 3 2 5 3 4" xfId="41755" xr:uid="{47E48B4D-EC2E-44D7-8B6A-DDCF8F5B50EB}"/>
    <cellStyle name="40% - Accent4 3 2 5 3 5" xfId="15561" xr:uid="{5812322B-3844-4337-BA90-E90B779057D0}"/>
    <cellStyle name="40% - Accent4 3 2 5 4" xfId="20644" xr:uid="{0C5EB754-BFBC-4097-B1D0-6302B838ACA8}"/>
    <cellStyle name="40% - Accent4 3 2 5 5" xfId="29091" xr:uid="{2ACC07E3-0243-4201-9D76-E0A062926302}"/>
    <cellStyle name="40% - Accent4 3 2 5 6" xfId="37538" xr:uid="{D5F84008-7533-47C8-A5AC-89D54F8F99F7}"/>
    <cellStyle name="40% - Accent4 3 2 5 7" xfId="11344" xr:uid="{FA9E1908-57FA-460E-A4B5-9D076A880956}"/>
    <cellStyle name="40% - Accent4 3 2 6" xfId="2342" xr:uid="{00000000-0005-0000-0000-000004060000}"/>
    <cellStyle name="40% - Accent4 3 2 6 2" xfId="6648" xr:uid="{00000000-0005-0000-0000-000005060000}"/>
    <cellStyle name="40% - Accent4 3 2 6 2 2" xfId="25274" xr:uid="{EA469586-1846-472D-95C3-0E5D296BF45B}"/>
    <cellStyle name="40% - Accent4 3 2 6 2 3" xfId="33721" xr:uid="{2B7B1A9D-DE01-4607-BFD0-E6B57B4FBE52}"/>
    <cellStyle name="40% - Accent4 3 2 6 2 4" xfId="42168" xr:uid="{648DB234-2A83-402D-B058-43F9F15CB2EA}"/>
    <cellStyle name="40% - Accent4 3 2 6 2 5" xfId="15974" xr:uid="{BE4F982A-AAFE-4141-B307-7C8416C04F37}"/>
    <cellStyle name="40% - Accent4 3 2 6 3" xfId="21057" xr:uid="{523E7AD3-98B7-4D02-9A28-A53C6A6719B6}"/>
    <cellStyle name="40% - Accent4 3 2 6 4" xfId="29504" xr:uid="{237C546E-58FE-4266-8AF1-94D414AD3230}"/>
    <cellStyle name="40% - Accent4 3 2 6 5" xfId="37951" xr:uid="{9F3D3423-4241-4B10-A128-2A79C2E58F75}"/>
    <cellStyle name="40% - Accent4 3 2 6 6" xfId="11757" xr:uid="{B779FDB4-5F78-4053-AE99-D44573459748}"/>
    <cellStyle name="40% - Accent4 3 2 7" xfId="4582" xr:uid="{00000000-0005-0000-0000-000006060000}"/>
    <cellStyle name="40% - Accent4 3 2 7 2" xfId="23208" xr:uid="{8061D1D5-20A8-493E-A646-F5C71242592A}"/>
    <cellStyle name="40% - Accent4 3 2 7 3" xfId="31655" xr:uid="{EF6D043A-850A-4C41-AD53-15C95A84D3DE}"/>
    <cellStyle name="40% - Accent4 3 2 7 4" xfId="40102" xr:uid="{E12F41B7-F8FE-4564-AC38-156E487BBCB1}"/>
    <cellStyle name="40% - Accent4 3 2 7 5" xfId="13908" xr:uid="{6C4A33A4-C6F4-48C9-B6F3-CA4E1A050FE4}"/>
    <cellStyle name="40% - Accent4 3 2 8" xfId="9075" xr:uid="{6C51FF47-5618-4E1E-BC97-01FFF287A6C3}"/>
    <cellStyle name="40% - Accent4 3 2 8 2" xfId="18399" xr:uid="{2F38FA72-9404-4859-A956-2917C5BFE01E}"/>
    <cellStyle name="40% - Accent4 3 2 9" xfId="18991" xr:uid="{0032207E-34CF-4B33-AC43-397EFFFEC7BE}"/>
    <cellStyle name="40% - Accent4 3 3" xfId="647" xr:uid="{00000000-0005-0000-0000-000007060000}"/>
    <cellStyle name="40% - Accent4 3 3 2" xfId="2918" xr:uid="{00000000-0005-0000-0000-000008060000}"/>
    <cellStyle name="40% - Accent4 3 3 2 2" xfId="7140" xr:uid="{00000000-0005-0000-0000-000009060000}"/>
    <cellStyle name="40% - Accent4 3 3 2 2 2" xfId="25766" xr:uid="{910C3124-7D09-486E-8DE4-BEA28E586990}"/>
    <cellStyle name="40% - Accent4 3 3 2 2 3" xfId="34213" xr:uid="{8967E6BB-7DC6-4AE5-A2F2-D011B4A59D17}"/>
    <cellStyle name="40% - Accent4 3 3 2 2 4" xfId="42660" xr:uid="{B6B1863E-FC2E-4EA5-9CE1-682C00ECC460}"/>
    <cellStyle name="40% - Accent4 3 3 2 2 5" xfId="16466" xr:uid="{AD12F103-4A0E-462E-BEBE-7DBBB17277DC}"/>
    <cellStyle name="40% - Accent4 3 3 2 3" xfId="21549" xr:uid="{034C80CE-9320-4AD5-A5D8-0E8582FB46A5}"/>
    <cellStyle name="40% - Accent4 3 3 2 4" xfId="29996" xr:uid="{3838E325-33DA-4D93-8B16-1A47207F7D1A}"/>
    <cellStyle name="40% - Accent4 3 3 2 5" xfId="38443" xr:uid="{F3EC3110-0F2F-4D9B-8DD0-7E69DF58C489}"/>
    <cellStyle name="40% - Accent4 3 3 2 6" xfId="12249" xr:uid="{186191B4-2D25-4F11-BDB7-719F88E6A2AD}"/>
    <cellStyle name="40% - Accent4 3 3 3" xfId="4995" xr:uid="{00000000-0005-0000-0000-00000A060000}"/>
    <cellStyle name="40% - Accent4 3 3 3 2" xfId="23621" xr:uid="{6C44F28C-3866-4673-9011-DD862EBC6751}"/>
    <cellStyle name="40% - Accent4 3 3 3 3" xfId="32068" xr:uid="{69500C5C-9D90-4D5B-8A94-48E4CE36FBAC}"/>
    <cellStyle name="40% - Accent4 3 3 3 4" xfId="40515" xr:uid="{8332FD7A-3D97-4A16-9F0A-36DCF574E0CC}"/>
    <cellStyle name="40% - Accent4 3 3 3 5" xfId="14321" xr:uid="{47C0CD3D-53E6-4E21-BB4A-EDE4403B0B34}"/>
    <cellStyle name="40% - Accent4 3 3 4" xfId="9293" xr:uid="{4A28D7F5-3617-45DC-A350-6C6596CDA765}"/>
    <cellStyle name="40% - Accent4 3 3 4 2" xfId="18609" xr:uid="{B631927C-B05B-4A87-A27F-D2ADDC565C37}"/>
    <cellStyle name="40% - Accent4 3 3 5" xfId="19404" xr:uid="{52087DC6-051C-4BE1-9DF9-74A810582801}"/>
    <cellStyle name="40% - Accent4 3 3 6" xfId="27851" xr:uid="{5BE2B6D6-E906-4616-8B0B-6BB656D7FA51}"/>
    <cellStyle name="40% - Accent4 3 3 7" xfId="36298" xr:uid="{F4D9E212-A239-459F-A1A4-47E37B28EBB1}"/>
    <cellStyle name="40% - Accent4 3 3 8" xfId="10104" xr:uid="{85990826-72FE-4490-B7DA-D55B9FCBA542}"/>
    <cellStyle name="40% - Accent4 3 4" xfId="1100" xr:uid="{00000000-0005-0000-0000-00000B060000}"/>
    <cellStyle name="40% - Accent4 3 4 2" xfId="3331" xr:uid="{00000000-0005-0000-0000-00000C060000}"/>
    <cellStyle name="40% - Accent4 3 4 2 2" xfId="7553" xr:uid="{00000000-0005-0000-0000-00000D060000}"/>
    <cellStyle name="40% - Accent4 3 4 2 2 2" xfId="26179" xr:uid="{5892AF5B-D1C5-4180-8E58-76805184DC41}"/>
    <cellStyle name="40% - Accent4 3 4 2 2 3" xfId="34626" xr:uid="{B8F80189-D04E-4ED3-8D62-DD11041E4DC9}"/>
    <cellStyle name="40% - Accent4 3 4 2 2 4" xfId="43073" xr:uid="{0F6636DD-0175-48CD-BE1B-CE3A11AFAC9B}"/>
    <cellStyle name="40% - Accent4 3 4 2 2 5" xfId="16879" xr:uid="{C05F7949-6D5F-4156-B444-D4A5EE4FA863}"/>
    <cellStyle name="40% - Accent4 3 4 2 3" xfId="21962" xr:uid="{77950E0C-A110-4093-A2A5-F3A5CD247A6F}"/>
    <cellStyle name="40% - Accent4 3 4 2 4" xfId="30409" xr:uid="{A0DC58EE-E89E-4EE4-9E87-863930444B2B}"/>
    <cellStyle name="40% - Accent4 3 4 2 5" xfId="38856" xr:uid="{58880847-733B-4CF8-A3D9-528E8059787B}"/>
    <cellStyle name="40% - Accent4 3 4 2 6" xfId="12662" xr:uid="{BDBCCFD5-6611-4F6E-817D-566488180F62}"/>
    <cellStyle name="40% - Accent4 3 4 3" xfId="5408" xr:uid="{00000000-0005-0000-0000-00000E060000}"/>
    <cellStyle name="40% - Accent4 3 4 3 2" xfId="24034" xr:uid="{169A320D-4697-48C2-9EA3-57A6DC9AF2E4}"/>
    <cellStyle name="40% - Accent4 3 4 3 3" xfId="32481" xr:uid="{D02BD753-527F-4AF2-928F-F5D9B3550696}"/>
    <cellStyle name="40% - Accent4 3 4 3 4" xfId="40928" xr:uid="{12355C5A-DB14-4811-B886-BB830853BE89}"/>
    <cellStyle name="40% - Accent4 3 4 3 5" xfId="14734" xr:uid="{FA4E5176-ED9C-481B-BF97-5F694AC1DA26}"/>
    <cellStyle name="40% - Accent4 3 4 4" xfId="19817" xr:uid="{293B7EC0-F580-47AA-9031-2405AD720547}"/>
    <cellStyle name="40% - Accent4 3 4 5" xfId="28264" xr:uid="{5A2A9FCC-9071-4E0F-9A95-5CC01C469330}"/>
    <cellStyle name="40% - Accent4 3 4 6" xfId="36711" xr:uid="{24F2C179-45D3-45BD-AD53-D589B65AF513}"/>
    <cellStyle name="40% - Accent4 3 4 7" xfId="10517" xr:uid="{E901DAE1-59CB-47DD-9814-8C37EA997757}"/>
    <cellStyle name="40% - Accent4 3 5" xfId="1514" xr:uid="{00000000-0005-0000-0000-00000F060000}"/>
    <cellStyle name="40% - Accent4 3 5 2" xfId="3744" xr:uid="{00000000-0005-0000-0000-000010060000}"/>
    <cellStyle name="40% - Accent4 3 5 2 2" xfId="7966" xr:uid="{00000000-0005-0000-0000-000011060000}"/>
    <cellStyle name="40% - Accent4 3 5 2 2 2" xfId="26592" xr:uid="{6157ABD6-56A2-4A37-8B58-577C1879E9B3}"/>
    <cellStyle name="40% - Accent4 3 5 2 2 3" xfId="35039" xr:uid="{112CFDC3-F356-42C6-9A7D-39117BA09DD8}"/>
    <cellStyle name="40% - Accent4 3 5 2 2 4" xfId="43486" xr:uid="{38CF1D48-B3CB-4E40-956D-CFA48B904F3E}"/>
    <cellStyle name="40% - Accent4 3 5 2 2 5" xfId="17292" xr:uid="{BACE15C1-9228-48EF-AC2A-A48F3BED4F83}"/>
    <cellStyle name="40% - Accent4 3 5 2 3" xfId="22375" xr:uid="{C619CC44-BD4D-48BE-98E1-768753FFD790}"/>
    <cellStyle name="40% - Accent4 3 5 2 4" xfId="30822" xr:uid="{10DFFF82-F8A6-4424-807D-2C1A550CF32B}"/>
    <cellStyle name="40% - Accent4 3 5 2 5" xfId="39269" xr:uid="{B5F45FD2-0526-4B5B-A627-938F470691D7}"/>
    <cellStyle name="40% - Accent4 3 5 2 6" xfId="13075" xr:uid="{C8197FD3-F69B-4131-8C4D-11522CAD9C54}"/>
    <cellStyle name="40% - Accent4 3 5 3" xfId="5821" xr:uid="{00000000-0005-0000-0000-000012060000}"/>
    <cellStyle name="40% - Accent4 3 5 3 2" xfId="24447" xr:uid="{D579C5DF-E86F-4349-975D-5F19C3464477}"/>
    <cellStyle name="40% - Accent4 3 5 3 3" xfId="32894" xr:uid="{7FDEAA60-058A-4264-A879-D7D35D1095EE}"/>
    <cellStyle name="40% - Accent4 3 5 3 4" xfId="41341" xr:uid="{BE00DA09-813C-461B-AEC5-2449B600C2C3}"/>
    <cellStyle name="40% - Accent4 3 5 3 5" xfId="15147" xr:uid="{8226B27F-1342-4D87-8D93-C3A46D9F143E}"/>
    <cellStyle name="40% - Accent4 3 5 4" xfId="20230" xr:uid="{86A68FB1-0F3F-4DA9-A3B3-07DB17B7F9F3}"/>
    <cellStyle name="40% - Accent4 3 5 5" xfId="28677" xr:uid="{E3E0C960-41A3-4AC4-9205-DED0A8784ED7}"/>
    <cellStyle name="40% - Accent4 3 5 6" xfId="37124" xr:uid="{78396F3D-A7EA-40A1-BB00-C3C10A02BA0E}"/>
    <cellStyle name="40% - Accent4 3 5 7" xfId="10930" xr:uid="{B041A226-521A-4F63-906A-ED5C98C8D97D}"/>
    <cellStyle name="40% - Accent4 3 6" xfId="1928" xr:uid="{00000000-0005-0000-0000-000013060000}"/>
    <cellStyle name="40% - Accent4 3 6 2" xfId="4157" xr:uid="{00000000-0005-0000-0000-000014060000}"/>
    <cellStyle name="40% - Accent4 3 6 2 2" xfId="8379" xr:uid="{00000000-0005-0000-0000-000015060000}"/>
    <cellStyle name="40% - Accent4 3 6 2 2 2" xfId="27005" xr:uid="{AB27BCE2-48A6-4646-A2C1-46600F37E9D6}"/>
    <cellStyle name="40% - Accent4 3 6 2 2 3" xfId="35452" xr:uid="{8D555C3C-EF73-4D34-B3FA-C5670A1AB1EC}"/>
    <cellStyle name="40% - Accent4 3 6 2 2 4" xfId="43899" xr:uid="{E0FD5D2D-F299-4BE1-9C01-3EC723180DCA}"/>
    <cellStyle name="40% - Accent4 3 6 2 2 5" xfId="17705" xr:uid="{50E0C6E5-201B-4A5F-B6F8-4233F57147B5}"/>
    <cellStyle name="40% - Accent4 3 6 2 3" xfId="22788" xr:uid="{AC11F121-B3AA-44FC-A0A3-809B6D3BF123}"/>
    <cellStyle name="40% - Accent4 3 6 2 4" xfId="31235" xr:uid="{94AB5E9B-469F-4D3C-9D77-8BAA850D5467}"/>
    <cellStyle name="40% - Accent4 3 6 2 5" xfId="39682" xr:uid="{E1242705-C00C-48B4-B5B4-163D6065C85C}"/>
    <cellStyle name="40% - Accent4 3 6 2 6" xfId="13488" xr:uid="{7B8796AF-E54B-4469-BB3A-A71E106CB8BE}"/>
    <cellStyle name="40% - Accent4 3 6 3" xfId="6234" xr:uid="{00000000-0005-0000-0000-000016060000}"/>
    <cellStyle name="40% - Accent4 3 6 3 2" xfId="24860" xr:uid="{71AB2605-E411-4D5F-9809-FA7545D51808}"/>
    <cellStyle name="40% - Accent4 3 6 3 3" xfId="33307" xr:uid="{EF7767D3-4C7B-4267-96B2-89649458923C}"/>
    <cellStyle name="40% - Accent4 3 6 3 4" xfId="41754" xr:uid="{2FFFB884-3421-4D3C-A34F-3C7F2A5CF676}"/>
    <cellStyle name="40% - Accent4 3 6 3 5" xfId="15560" xr:uid="{D12CCB6F-ACCA-4907-8499-982838AC3BED}"/>
    <cellStyle name="40% - Accent4 3 6 4" xfId="20643" xr:uid="{94BED91E-B42F-4206-AEB9-2B6B9720090F}"/>
    <cellStyle name="40% - Accent4 3 6 5" xfId="29090" xr:uid="{D8D0DA68-B94A-4A31-96E7-F48292E8809D}"/>
    <cellStyle name="40% - Accent4 3 6 6" xfId="37537" xr:uid="{B94E317E-7DBD-4C9F-B5CB-EBC47C2A1F87}"/>
    <cellStyle name="40% - Accent4 3 6 7" xfId="11343" xr:uid="{F8F27F8A-BB52-4ACC-8046-ADA88785941C}"/>
    <cellStyle name="40% - Accent4 3 7" xfId="2341" xr:uid="{00000000-0005-0000-0000-000017060000}"/>
    <cellStyle name="40% - Accent4 3 7 2" xfId="6647" xr:uid="{00000000-0005-0000-0000-000018060000}"/>
    <cellStyle name="40% - Accent4 3 7 2 2" xfId="25273" xr:uid="{B8230681-5C3E-406D-8F59-F5D8D0BC0153}"/>
    <cellStyle name="40% - Accent4 3 7 2 3" xfId="33720" xr:uid="{57445760-8C7A-417F-81D6-7A702A94E946}"/>
    <cellStyle name="40% - Accent4 3 7 2 4" xfId="42167" xr:uid="{6980DB2E-7FDD-48EA-951C-8854D6E85AEC}"/>
    <cellStyle name="40% - Accent4 3 7 2 5" xfId="15973" xr:uid="{66049AA1-80C8-4FE1-AFB6-F7E56A8647D4}"/>
    <cellStyle name="40% - Accent4 3 7 3" xfId="21056" xr:uid="{CC1D4F69-6382-4F1C-B608-FDF6676FFBE6}"/>
    <cellStyle name="40% - Accent4 3 7 4" xfId="29503" xr:uid="{31EEF62F-7FD0-4091-829F-AA9E3575A409}"/>
    <cellStyle name="40% - Accent4 3 7 5" xfId="37950" xr:uid="{1C78117B-2191-41C6-ABE1-118D846FB6D8}"/>
    <cellStyle name="40% - Accent4 3 7 6" xfId="11756" xr:uid="{A46C53E5-FDDC-4B92-B6D7-D91D70562361}"/>
    <cellStyle name="40% - Accent4 3 8" xfId="4581" xr:uid="{00000000-0005-0000-0000-000019060000}"/>
    <cellStyle name="40% - Accent4 3 8 2" xfId="23207" xr:uid="{ADE2818F-D69C-4716-B863-D44EFF7C535B}"/>
    <cellStyle name="40% - Accent4 3 8 3" xfId="31654" xr:uid="{B4C99CF3-D8BA-42B6-B3C6-D7D62B30E58A}"/>
    <cellStyle name="40% - Accent4 3 8 4" xfId="40101" xr:uid="{5F1D9C83-42CD-4BC3-819D-5665C262E60A}"/>
    <cellStyle name="40% - Accent4 3 8 5" xfId="13907" xr:uid="{CDBE1381-5552-4F4C-BC00-DED8E19B1CE7}"/>
    <cellStyle name="40% - Accent4 3 9" xfId="8868" xr:uid="{538D9F50-ACCA-4DB0-A3F1-A129ACFFA0BF}"/>
    <cellStyle name="40% - Accent4 3 9 2" xfId="18192" xr:uid="{D293C7C6-D070-4117-BC78-133AD28122BE}"/>
    <cellStyle name="40% - Accent4 4" xfId="80" xr:uid="{00000000-0005-0000-0000-00001A060000}"/>
    <cellStyle name="40% - Accent4 4 10" xfId="27439" xr:uid="{8A856D73-471F-40B1-B9F9-E27B158FF0E3}"/>
    <cellStyle name="40% - Accent4 4 11" xfId="35886" xr:uid="{14755EE7-9678-46AC-8801-6EDA31F40399}"/>
    <cellStyle name="40% - Accent4 4 12" xfId="9692" xr:uid="{7C7E7021-B2F3-47C2-9B0B-6D5D68467B1E}"/>
    <cellStyle name="40% - Accent4 4 2" xfId="649" xr:uid="{00000000-0005-0000-0000-00001B060000}"/>
    <cellStyle name="40% - Accent4 4 2 2" xfId="2920" xr:uid="{00000000-0005-0000-0000-00001C060000}"/>
    <cellStyle name="40% - Accent4 4 2 2 2" xfId="7142" xr:uid="{00000000-0005-0000-0000-00001D060000}"/>
    <cellStyle name="40% - Accent4 4 2 2 2 2" xfId="25768" xr:uid="{68950787-4752-4472-B9D5-3F351695BF03}"/>
    <cellStyle name="40% - Accent4 4 2 2 2 3" xfId="34215" xr:uid="{A048807E-09EE-4CE8-97A9-996246AFCF93}"/>
    <cellStyle name="40% - Accent4 4 2 2 2 4" xfId="42662" xr:uid="{0EA14B69-B006-4946-9944-7A3BDAA0E8D0}"/>
    <cellStyle name="40% - Accent4 4 2 2 2 5" xfId="16468" xr:uid="{9E982D37-4832-4D7F-847C-ACDF393A4BB0}"/>
    <cellStyle name="40% - Accent4 4 2 2 3" xfId="21551" xr:uid="{A7E17954-6749-48DF-837A-0AABE776F91A}"/>
    <cellStyle name="40% - Accent4 4 2 2 4" xfId="29998" xr:uid="{58645EB2-3FBA-4532-958D-1590BB4C7176}"/>
    <cellStyle name="40% - Accent4 4 2 2 5" xfId="38445" xr:uid="{62A4A58F-1F8B-424B-A03A-2B2DF6293001}"/>
    <cellStyle name="40% - Accent4 4 2 2 6" xfId="12251" xr:uid="{C8BA581D-5E48-4DC9-9731-3B1810A18422}"/>
    <cellStyle name="40% - Accent4 4 2 3" xfId="4997" xr:uid="{00000000-0005-0000-0000-00001E060000}"/>
    <cellStyle name="40% - Accent4 4 2 3 2" xfId="23623" xr:uid="{087452E3-225E-4ECF-B157-8728EE5EB89D}"/>
    <cellStyle name="40% - Accent4 4 2 3 3" xfId="32070" xr:uid="{CAED3AA3-6EE2-423B-8BAA-1B45582D57DC}"/>
    <cellStyle name="40% - Accent4 4 2 3 4" xfId="40517" xr:uid="{CD5AAE9A-0845-415F-B67C-DE888FF75303}"/>
    <cellStyle name="40% - Accent4 4 2 3 5" xfId="14323" xr:uid="{6EFC7BEB-4B9C-44B7-85DF-B87A39330E5C}"/>
    <cellStyle name="40% - Accent4 4 2 4" xfId="9379" xr:uid="{EE31EAE0-1741-4D6E-B7B4-C5DB59044F55}"/>
    <cellStyle name="40% - Accent4 4 2 4 2" xfId="18695" xr:uid="{9D8BE84F-1868-4A4D-AB33-0EA6C289976A}"/>
    <cellStyle name="40% - Accent4 4 2 5" xfId="19406" xr:uid="{7A07AD73-35FE-4E1C-BB95-E3E8913D0A7A}"/>
    <cellStyle name="40% - Accent4 4 2 6" xfId="27853" xr:uid="{B93D4CF9-30DF-48B5-8245-E3276BD1348A}"/>
    <cellStyle name="40% - Accent4 4 2 7" xfId="36300" xr:uid="{BEEA8B04-C33F-4026-A36C-294EBB060853}"/>
    <cellStyle name="40% - Accent4 4 2 8" xfId="10106" xr:uid="{068AE1E0-42D6-42E3-B36F-28FB34A6BDE7}"/>
    <cellStyle name="40% - Accent4 4 3" xfId="1102" xr:uid="{00000000-0005-0000-0000-00001F060000}"/>
    <cellStyle name="40% - Accent4 4 3 2" xfId="3333" xr:uid="{00000000-0005-0000-0000-000020060000}"/>
    <cellStyle name="40% - Accent4 4 3 2 2" xfId="7555" xr:uid="{00000000-0005-0000-0000-000021060000}"/>
    <cellStyle name="40% - Accent4 4 3 2 2 2" xfId="26181" xr:uid="{9B2CF8EB-5DA8-4D66-ABE4-DA5EC76D92C3}"/>
    <cellStyle name="40% - Accent4 4 3 2 2 3" xfId="34628" xr:uid="{372443FA-A703-4AD5-B948-3B5CC61003BD}"/>
    <cellStyle name="40% - Accent4 4 3 2 2 4" xfId="43075" xr:uid="{169CA137-DD52-4185-9981-FD0663989A0E}"/>
    <cellStyle name="40% - Accent4 4 3 2 2 5" xfId="16881" xr:uid="{7CB4AA72-A997-4115-9D84-6A4788733390}"/>
    <cellStyle name="40% - Accent4 4 3 2 3" xfId="21964" xr:uid="{4E3D2630-6B0C-46EB-BEC1-9C798FFB02B1}"/>
    <cellStyle name="40% - Accent4 4 3 2 4" xfId="30411" xr:uid="{7D6133F2-5687-48D9-A1C5-A1B0DB8BBAD5}"/>
    <cellStyle name="40% - Accent4 4 3 2 5" xfId="38858" xr:uid="{93BA1FA0-926E-4D14-ADB0-01663F019609}"/>
    <cellStyle name="40% - Accent4 4 3 2 6" xfId="12664" xr:uid="{F1B67C8B-A8EA-4207-8AB8-D71599502B64}"/>
    <cellStyle name="40% - Accent4 4 3 3" xfId="5410" xr:uid="{00000000-0005-0000-0000-000022060000}"/>
    <cellStyle name="40% - Accent4 4 3 3 2" xfId="24036" xr:uid="{E7CD97EC-880F-4E18-8E81-1792D913FEA2}"/>
    <cellStyle name="40% - Accent4 4 3 3 3" xfId="32483" xr:uid="{C64E927C-66C0-41B8-B310-94B896C2DC0B}"/>
    <cellStyle name="40% - Accent4 4 3 3 4" xfId="40930" xr:uid="{086E7AF8-7C71-459E-870B-972448D40428}"/>
    <cellStyle name="40% - Accent4 4 3 3 5" xfId="14736" xr:uid="{B40C390A-58FA-4786-9196-07D0B9A35CC4}"/>
    <cellStyle name="40% - Accent4 4 3 4" xfId="19819" xr:uid="{1993C3E1-1F19-4BA1-9764-45F5C3A182AF}"/>
    <cellStyle name="40% - Accent4 4 3 5" xfId="28266" xr:uid="{41AD1592-0274-4940-9289-57FEA7DD06B5}"/>
    <cellStyle name="40% - Accent4 4 3 6" xfId="36713" xr:uid="{20017310-108C-41F0-A28F-52E5F999A136}"/>
    <cellStyle name="40% - Accent4 4 3 7" xfId="10519" xr:uid="{E31764CE-F9E6-4642-9AD8-666CF71600BF}"/>
    <cellStyle name="40% - Accent4 4 4" xfId="1516" xr:uid="{00000000-0005-0000-0000-000023060000}"/>
    <cellStyle name="40% - Accent4 4 4 2" xfId="3746" xr:uid="{00000000-0005-0000-0000-000024060000}"/>
    <cellStyle name="40% - Accent4 4 4 2 2" xfId="7968" xr:uid="{00000000-0005-0000-0000-000025060000}"/>
    <cellStyle name="40% - Accent4 4 4 2 2 2" xfId="26594" xr:uid="{5B636674-F750-4CA9-8B0A-2D1257ECD3CC}"/>
    <cellStyle name="40% - Accent4 4 4 2 2 3" xfId="35041" xr:uid="{C5718BD8-00B6-4048-85C0-44E5F47FBE6C}"/>
    <cellStyle name="40% - Accent4 4 4 2 2 4" xfId="43488" xr:uid="{399B99EE-F3FA-4249-8AC9-E5765F25CCC8}"/>
    <cellStyle name="40% - Accent4 4 4 2 2 5" xfId="17294" xr:uid="{07714D44-02E9-4950-B493-AE72564761F0}"/>
    <cellStyle name="40% - Accent4 4 4 2 3" xfId="22377" xr:uid="{8DD1B584-5F1E-4805-ADBD-AC396E394511}"/>
    <cellStyle name="40% - Accent4 4 4 2 4" xfId="30824" xr:uid="{77AD61BB-7B40-445E-BB6C-CAFCA8D0E75F}"/>
    <cellStyle name="40% - Accent4 4 4 2 5" xfId="39271" xr:uid="{5FF01956-9B98-439F-87EB-1B3496D01D5B}"/>
    <cellStyle name="40% - Accent4 4 4 2 6" xfId="13077" xr:uid="{004D583D-C2CD-4A94-AB1F-EA2CEA1597B7}"/>
    <cellStyle name="40% - Accent4 4 4 3" xfId="5823" xr:uid="{00000000-0005-0000-0000-000026060000}"/>
    <cellStyle name="40% - Accent4 4 4 3 2" xfId="24449" xr:uid="{79150CA1-57B8-4D5E-87D1-180CD7A17899}"/>
    <cellStyle name="40% - Accent4 4 4 3 3" xfId="32896" xr:uid="{226E94C2-3011-4F27-A35F-A53011808D1F}"/>
    <cellStyle name="40% - Accent4 4 4 3 4" xfId="41343" xr:uid="{B32C888B-DBAC-402C-8680-7237AD268918}"/>
    <cellStyle name="40% - Accent4 4 4 3 5" xfId="15149" xr:uid="{A4BB73AA-6C53-4F81-8024-9B86111A52CC}"/>
    <cellStyle name="40% - Accent4 4 4 4" xfId="20232" xr:uid="{2BCAFE3E-9FC8-4254-9039-9DEE849636A6}"/>
    <cellStyle name="40% - Accent4 4 4 5" xfId="28679" xr:uid="{618DF182-7CEF-4365-B7B0-138D0FB014BA}"/>
    <cellStyle name="40% - Accent4 4 4 6" xfId="37126" xr:uid="{3C62E320-0108-4A6C-8075-BB9907B0204A}"/>
    <cellStyle name="40% - Accent4 4 4 7" xfId="10932" xr:uid="{246734F3-2E28-4331-8807-E3DF2BC355D4}"/>
    <cellStyle name="40% - Accent4 4 5" xfId="1930" xr:uid="{00000000-0005-0000-0000-000027060000}"/>
    <cellStyle name="40% - Accent4 4 5 2" xfId="4159" xr:uid="{00000000-0005-0000-0000-000028060000}"/>
    <cellStyle name="40% - Accent4 4 5 2 2" xfId="8381" xr:uid="{00000000-0005-0000-0000-000029060000}"/>
    <cellStyle name="40% - Accent4 4 5 2 2 2" xfId="27007" xr:uid="{BB4CE541-C80A-4CAF-8295-F35042AEF03F}"/>
    <cellStyle name="40% - Accent4 4 5 2 2 3" xfId="35454" xr:uid="{002EA27D-7B14-491C-9441-F5B6DEFB2161}"/>
    <cellStyle name="40% - Accent4 4 5 2 2 4" xfId="43901" xr:uid="{C7291165-8156-46A7-ACF1-4E4CA4DD59AE}"/>
    <cellStyle name="40% - Accent4 4 5 2 2 5" xfId="17707" xr:uid="{3A27E488-95C8-4C5B-A8C7-7718935F8696}"/>
    <cellStyle name="40% - Accent4 4 5 2 3" xfId="22790" xr:uid="{EE286F62-6EEB-4817-8030-70E48D9BD205}"/>
    <cellStyle name="40% - Accent4 4 5 2 4" xfId="31237" xr:uid="{99286817-E6A8-4282-8C06-521FAF87AE44}"/>
    <cellStyle name="40% - Accent4 4 5 2 5" xfId="39684" xr:uid="{A220AF28-5002-4F87-AFC2-26BD25366312}"/>
    <cellStyle name="40% - Accent4 4 5 2 6" xfId="13490" xr:uid="{A4A4FD17-2E8B-440C-9F10-CDD98F181C84}"/>
    <cellStyle name="40% - Accent4 4 5 3" xfId="6236" xr:uid="{00000000-0005-0000-0000-00002A060000}"/>
    <cellStyle name="40% - Accent4 4 5 3 2" xfId="24862" xr:uid="{00A9FE96-7E2B-4FF2-8A31-413755E9A437}"/>
    <cellStyle name="40% - Accent4 4 5 3 3" xfId="33309" xr:uid="{AD326D59-25BB-4CC2-A628-79C7019F18B1}"/>
    <cellStyle name="40% - Accent4 4 5 3 4" xfId="41756" xr:uid="{864B54D0-F83C-4B6C-9F98-9CF6E79287E7}"/>
    <cellStyle name="40% - Accent4 4 5 3 5" xfId="15562" xr:uid="{D3863C5B-718B-40BE-A7B0-3A7503719750}"/>
    <cellStyle name="40% - Accent4 4 5 4" xfId="20645" xr:uid="{A7BE0FAB-7BA7-4DE7-AF30-6743ECB27E28}"/>
    <cellStyle name="40% - Accent4 4 5 5" xfId="29092" xr:uid="{0F2159EC-9682-43E8-81D2-17BEC4EE4114}"/>
    <cellStyle name="40% - Accent4 4 5 6" xfId="37539" xr:uid="{6435A7E5-42B6-4F11-9817-25BE3D680F47}"/>
    <cellStyle name="40% - Accent4 4 5 7" xfId="11345" xr:uid="{46E30E13-CB56-4408-9BE2-E150EB0ECFEF}"/>
    <cellStyle name="40% - Accent4 4 6" xfId="2343" xr:uid="{00000000-0005-0000-0000-00002B060000}"/>
    <cellStyle name="40% - Accent4 4 6 2" xfId="6649" xr:uid="{00000000-0005-0000-0000-00002C060000}"/>
    <cellStyle name="40% - Accent4 4 6 2 2" xfId="25275" xr:uid="{E1DFEF74-67A3-41EE-979A-AB60A2783E88}"/>
    <cellStyle name="40% - Accent4 4 6 2 3" xfId="33722" xr:uid="{7A04B2C9-345A-4EB6-9E2D-951205AEAB9E}"/>
    <cellStyle name="40% - Accent4 4 6 2 4" xfId="42169" xr:uid="{396850DA-5FFD-4821-8379-D485EB6DC61F}"/>
    <cellStyle name="40% - Accent4 4 6 2 5" xfId="15975" xr:uid="{6C3C1052-939B-457A-84BC-B6F97A8979C9}"/>
    <cellStyle name="40% - Accent4 4 6 3" xfId="21058" xr:uid="{18F6575E-499E-4970-99E4-98BC4164100B}"/>
    <cellStyle name="40% - Accent4 4 6 4" xfId="29505" xr:uid="{8417E12D-4269-43AB-91CC-1C4D6CFDF74D}"/>
    <cellStyle name="40% - Accent4 4 6 5" xfId="37952" xr:uid="{DD851FBA-0B4D-4BB6-882A-554468D9D453}"/>
    <cellStyle name="40% - Accent4 4 6 6" xfId="11758" xr:uid="{D2B73F38-A8AB-40C0-86B1-4FDC10984FC8}"/>
    <cellStyle name="40% - Accent4 4 7" xfId="4583" xr:uid="{00000000-0005-0000-0000-00002D060000}"/>
    <cellStyle name="40% - Accent4 4 7 2" xfId="23209" xr:uid="{7FB62EC7-0C05-43FC-9A8B-B49C0A1F5890}"/>
    <cellStyle name="40% - Accent4 4 7 3" xfId="31656" xr:uid="{EE99A29C-B642-4DF4-A793-8834CF440E75}"/>
    <cellStyle name="40% - Accent4 4 7 4" xfId="40103" xr:uid="{426DC9E9-194D-409E-8804-9CE0407D690D}"/>
    <cellStyle name="40% - Accent4 4 7 5" xfId="13909" xr:uid="{459DF9D5-7085-4754-9386-D737C33345DB}"/>
    <cellStyle name="40% - Accent4 4 8" xfId="8954" xr:uid="{2C178683-58B3-4513-85E7-15FAC3AC035D}"/>
    <cellStyle name="40% - Accent4 4 8 2" xfId="18278" xr:uid="{9963EF63-86BD-4C99-BB63-6E5DFEBDF48E}"/>
    <cellStyle name="40% - Accent4 4 9" xfId="18992" xr:uid="{5A594B58-799E-4CC6-A607-491559D7C73E}"/>
    <cellStyle name="40% - Accent4 5" xfId="642" xr:uid="{00000000-0005-0000-0000-00002E060000}"/>
    <cellStyle name="40% - Accent4 5 2" xfId="2913" xr:uid="{00000000-0005-0000-0000-00002F060000}"/>
    <cellStyle name="40% - Accent4 5 2 2" xfId="7135" xr:uid="{00000000-0005-0000-0000-000030060000}"/>
    <cellStyle name="40% - Accent4 5 2 2 2" xfId="25761" xr:uid="{29F68EFD-6DCE-44F3-AAB4-CB3C7F38E575}"/>
    <cellStyle name="40% - Accent4 5 2 2 3" xfId="34208" xr:uid="{E8D92DD2-BF33-4F17-98B0-95C363BDB02C}"/>
    <cellStyle name="40% - Accent4 5 2 2 4" xfId="42655" xr:uid="{B3BDAC13-E698-447E-936F-158EB550A1A1}"/>
    <cellStyle name="40% - Accent4 5 2 2 5" xfId="16461" xr:uid="{5BBBCBBE-3366-419D-AA58-C8C9B766E5E3}"/>
    <cellStyle name="40% - Accent4 5 2 3" xfId="21544" xr:uid="{076AE50B-096B-42F9-AF83-A6723D013AEA}"/>
    <cellStyle name="40% - Accent4 5 2 4" xfId="29991" xr:uid="{9564A35C-814E-415B-9A70-A5755A2E552D}"/>
    <cellStyle name="40% - Accent4 5 2 5" xfId="38438" xr:uid="{912B2B2F-5BE1-4D1E-BBEE-465BAA2F9594}"/>
    <cellStyle name="40% - Accent4 5 2 6" xfId="12244" xr:uid="{AF2DD4C2-219F-493C-834C-0CBDE11E01C2}"/>
    <cellStyle name="40% - Accent4 5 3" xfId="4990" xr:uid="{00000000-0005-0000-0000-000031060000}"/>
    <cellStyle name="40% - Accent4 5 3 2" xfId="23616" xr:uid="{F3141B0F-CA13-449F-8F52-986B260C6128}"/>
    <cellStyle name="40% - Accent4 5 3 3" xfId="32063" xr:uid="{60048154-81B2-48CE-BBA4-B83E5230E602}"/>
    <cellStyle name="40% - Accent4 5 3 4" xfId="40510" xr:uid="{5964E69B-E27D-4CEB-A936-6C273B26AA9C}"/>
    <cellStyle name="40% - Accent4 5 3 5" xfId="14316" xr:uid="{B6BED5F9-844F-4F8A-A59A-092DC7535313}"/>
    <cellStyle name="40% - Accent4 5 4" xfId="9187" xr:uid="{33022C89-0CDD-4091-8005-358F63FF8F46}"/>
    <cellStyle name="40% - Accent4 5 4 2" xfId="18506" xr:uid="{8475CE6F-65FE-493A-BCC5-D6502229443B}"/>
    <cellStyle name="40% - Accent4 5 5" xfId="19399" xr:uid="{45AD981F-B112-4A47-9E51-0698D1F8A4A9}"/>
    <cellStyle name="40% - Accent4 5 6" xfId="27846" xr:uid="{C2CD02EC-90C9-4F4C-9952-A89BE3878109}"/>
    <cellStyle name="40% - Accent4 5 7" xfId="36293" xr:uid="{6E7D2E8B-D217-421D-85D5-F6F03F5B1A82}"/>
    <cellStyle name="40% - Accent4 5 8" xfId="10099" xr:uid="{A6491ADF-95A8-47C6-B616-E654BA1278E3}"/>
    <cellStyle name="40% - Accent4 6" xfId="1095" xr:uid="{00000000-0005-0000-0000-000032060000}"/>
    <cellStyle name="40% - Accent4 6 2" xfId="3326" xr:uid="{00000000-0005-0000-0000-000033060000}"/>
    <cellStyle name="40% - Accent4 6 2 2" xfId="7548" xr:uid="{00000000-0005-0000-0000-000034060000}"/>
    <cellStyle name="40% - Accent4 6 2 2 2" xfId="26174" xr:uid="{A44EF69E-BAAE-4103-9AA2-3F013D33E34B}"/>
    <cellStyle name="40% - Accent4 6 2 2 3" xfId="34621" xr:uid="{E065C9AF-5218-4049-B34E-C52938CF7590}"/>
    <cellStyle name="40% - Accent4 6 2 2 4" xfId="43068" xr:uid="{DA2F3097-7D7C-42C3-9385-3CB37A5B8D68}"/>
    <cellStyle name="40% - Accent4 6 2 2 5" xfId="16874" xr:uid="{73A9C62E-E4F0-4C3C-8F8E-83517AB6FAFE}"/>
    <cellStyle name="40% - Accent4 6 2 3" xfId="21957" xr:uid="{20D98F5F-63D0-4831-ABC0-0911F2848321}"/>
    <cellStyle name="40% - Accent4 6 2 4" xfId="30404" xr:uid="{50F34631-E3FB-4569-B700-BBF2813F5DD6}"/>
    <cellStyle name="40% - Accent4 6 2 5" xfId="38851" xr:uid="{7B7D229B-8A52-4C46-870F-28C378737A1A}"/>
    <cellStyle name="40% - Accent4 6 2 6" xfId="12657" xr:uid="{2BE7563C-C2CF-4B08-B882-E017A782164C}"/>
    <cellStyle name="40% - Accent4 6 3" xfId="5403" xr:uid="{00000000-0005-0000-0000-000035060000}"/>
    <cellStyle name="40% - Accent4 6 3 2" xfId="24029" xr:uid="{B1AF8A86-0B2E-4D96-89FE-41AF6BAFDCC8}"/>
    <cellStyle name="40% - Accent4 6 3 3" xfId="32476" xr:uid="{21431798-D88D-45F1-9AD7-198C8B3FE1F9}"/>
    <cellStyle name="40% - Accent4 6 3 4" xfId="40923" xr:uid="{3FBD3320-7850-46FC-AC1D-A0402CCF7624}"/>
    <cellStyle name="40% - Accent4 6 3 5" xfId="14729" xr:uid="{833214EF-B7D6-4FA7-ABB3-8285D534AD1F}"/>
    <cellStyle name="40% - Accent4 6 4" xfId="19812" xr:uid="{6A7BE7EC-DB39-4483-A719-658D6A18671A}"/>
    <cellStyle name="40% - Accent4 6 5" xfId="28259" xr:uid="{ED2141E8-F022-4BB3-9C04-D95BCA187975}"/>
    <cellStyle name="40% - Accent4 6 6" xfId="36706" xr:uid="{6545CB36-AB75-4204-BD6F-F59A62F6C9E3}"/>
    <cellStyle name="40% - Accent4 6 7" xfId="10512" xr:uid="{53A5CC68-9949-41C9-A1A1-C01546AFFB6B}"/>
    <cellStyle name="40% - Accent4 7" xfId="1509" xr:uid="{00000000-0005-0000-0000-000036060000}"/>
    <cellStyle name="40% - Accent4 7 2" xfId="3739" xr:uid="{00000000-0005-0000-0000-000037060000}"/>
    <cellStyle name="40% - Accent4 7 2 2" xfId="7961" xr:uid="{00000000-0005-0000-0000-000038060000}"/>
    <cellStyle name="40% - Accent4 7 2 2 2" xfId="26587" xr:uid="{EB72A86C-96C7-4550-B15E-0533497DBE0A}"/>
    <cellStyle name="40% - Accent4 7 2 2 3" xfId="35034" xr:uid="{1392888D-00C1-4959-924A-610777EFE8B0}"/>
    <cellStyle name="40% - Accent4 7 2 2 4" xfId="43481" xr:uid="{08CEDDDA-6E69-4A1F-AF31-5BE947879463}"/>
    <cellStyle name="40% - Accent4 7 2 2 5" xfId="17287" xr:uid="{8ABD6329-3C81-4CDB-A7A8-537B5A1D2207}"/>
    <cellStyle name="40% - Accent4 7 2 3" xfId="22370" xr:uid="{215DDAC0-515F-42A5-811E-902D319C6980}"/>
    <cellStyle name="40% - Accent4 7 2 4" xfId="30817" xr:uid="{5F3BCEA6-33FD-4EEA-AAC3-7F0C8A8DFD54}"/>
    <cellStyle name="40% - Accent4 7 2 5" xfId="39264" xr:uid="{0BAF3724-F526-4697-ACCC-92845E79BA25}"/>
    <cellStyle name="40% - Accent4 7 2 6" xfId="13070" xr:uid="{5B473508-3C77-477D-A44E-C8C73F213F26}"/>
    <cellStyle name="40% - Accent4 7 3" xfId="5816" xr:uid="{00000000-0005-0000-0000-000039060000}"/>
    <cellStyle name="40% - Accent4 7 3 2" xfId="24442" xr:uid="{F89958EF-8DD6-486B-AD9F-D5EFB55B0C43}"/>
    <cellStyle name="40% - Accent4 7 3 3" xfId="32889" xr:uid="{C53142CF-1410-4807-9DB3-F13045A4D711}"/>
    <cellStyle name="40% - Accent4 7 3 4" xfId="41336" xr:uid="{7B645A54-DBC9-4FD2-B5D7-C7EEA8BB9E6C}"/>
    <cellStyle name="40% - Accent4 7 3 5" xfId="15142" xr:uid="{C50661B6-6A32-43D2-8FAC-23C80A8DECC9}"/>
    <cellStyle name="40% - Accent4 7 4" xfId="20225" xr:uid="{65403973-DE4A-4C52-BA64-105DC29EE668}"/>
    <cellStyle name="40% - Accent4 7 5" xfId="28672" xr:uid="{47587102-8F30-4BDE-85B8-46E2FCFAC974}"/>
    <cellStyle name="40% - Accent4 7 6" xfId="37119" xr:uid="{3814B5B3-7BE6-4A10-AD10-470BF9AC8985}"/>
    <cellStyle name="40% - Accent4 7 7" xfId="10925" xr:uid="{CDF727C3-792E-4A28-A9B5-E61CF6D46F1E}"/>
    <cellStyle name="40% - Accent4 8" xfId="1923" xr:uid="{00000000-0005-0000-0000-00003A060000}"/>
    <cellStyle name="40% - Accent4 8 2" xfId="4152" xr:uid="{00000000-0005-0000-0000-00003B060000}"/>
    <cellStyle name="40% - Accent4 8 2 2" xfId="8374" xr:uid="{00000000-0005-0000-0000-00003C060000}"/>
    <cellStyle name="40% - Accent4 8 2 2 2" xfId="27000" xr:uid="{2B1DAE7C-FE9A-4701-A5F0-08348DC466A8}"/>
    <cellStyle name="40% - Accent4 8 2 2 3" xfId="35447" xr:uid="{42F38BC2-CE3F-4188-AADA-0A31224E98B9}"/>
    <cellStyle name="40% - Accent4 8 2 2 4" xfId="43894" xr:uid="{8434D4FF-807E-4A0C-A0ED-EB7DA7A7B1D5}"/>
    <cellStyle name="40% - Accent4 8 2 2 5" xfId="17700" xr:uid="{12DE3916-97F3-4380-B1F7-7FB4E1923D12}"/>
    <cellStyle name="40% - Accent4 8 2 3" xfId="22783" xr:uid="{DC7A5416-7CBE-4330-944C-BAC3B171F252}"/>
    <cellStyle name="40% - Accent4 8 2 4" xfId="31230" xr:uid="{C1C5F342-5F2D-445A-9509-C022773258FA}"/>
    <cellStyle name="40% - Accent4 8 2 5" xfId="39677" xr:uid="{06838247-5F41-4DC0-99A8-F87F552DB925}"/>
    <cellStyle name="40% - Accent4 8 2 6" xfId="13483" xr:uid="{FD820370-4D4C-466C-9895-4E0F263614A0}"/>
    <cellStyle name="40% - Accent4 8 3" xfId="6229" xr:uid="{00000000-0005-0000-0000-00003D060000}"/>
    <cellStyle name="40% - Accent4 8 3 2" xfId="24855" xr:uid="{4588E2B6-B806-4212-933E-85FC08924EC6}"/>
    <cellStyle name="40% - Accent4 8 3 3" xfId="33302" xr:uid="{0DFB6497-4CF3-4371-8048-844E61C82938}"/>
    <cellStyle name="40% - Accent4 8 3 4" xfId="41749" xr:uid="{F5B73BB6-DD88-4478-8C19-0FA5FA02F42A}"/>
    <cellStyle name="40% - Accent4 8 3 5" xfId="15555" xr:uid="{51C26AE0-7A94-4174-97F5-C33DE604A9DB}"/>
    <cellStyle name="40% - Accent4 8 4" xfId="20638" xr:uid="{3F1C426B-D3E3-4CD2-AEA1-39F3F94649FB}"/>
    <cellStyle name="40% - Accent4 8 5" xfId="29085" xr:uid="{6808E756-75BC-4B18-855E-12E37E97EDFB}"/>
    <cellStyle name="40% - Accent4 8 6" xfId="37532" xr:uid="{F996E1B7-743A-4E60-9D4C-D1E55B0A2BA3}"/>
    <cellStyle name="40% - Accent4 8 7" xfId="11338" xr:uid="{2163F7F5-4086-4277-8C45-357AE20EEAA5}"/>
    <cellStyle name="40% - Accent4 9" xfId="2336" xr:uid="{00000000-0005-0000-0000-00003E060000}"/>
    <cellStyle name="40% - Accent4 9 2" xfId="6642" xr:uid="{00000000-0005-0000-0000-00003F060000}"/>
    <cellStyle name="40% - Accent4 9 2 2" xfId="25268" xr:uid="{89BA4597-EF63-408F-882B-72C76B29A3F5}"/>
    <cellStyle name="40% - Accent4 9 2 3" xfId="33715" xr:uid="{E2F9C7C9-0382-4925-8BAF-6B539103DD99}"/>
    <cellStyle name="40% - Accent4 9 2 4" xfId="42162" xr:uid="{474B253F-0FB2-47DB-91E0-B6500E6139B4}"/>
    <cellStyle name="40% - Accent4 9 2 5" xfId="15968" xr:uid="{AD5616AB-15C5-42CA-B73F-981E8A5F577C}"/>
    <cellStyle name="40% - Accent4 9 3" xfId="21051" xr:uid="{329B1F4C-6119-4ADD-80E7-0AAE9F6A1FA4}"/>
    <cellStyle name="40% - Accent4 9 4" xfId="29498" xr:uid="{899FB41A-3C1B-4B90-8E1B-F1AF13D15705}"/>
    <cellStyle name="40% - Accent4 9 5" xfId="37945" xr:uid="{F9EE7DB9-F5A7-439F-92CD-C9A5EEFCFD47}"/>
    <cellStyle name="40% - Accent4 9 6" xfId="11751" xr:uid="{914B258A-3D67-49EE-AE11-02E2EACBE2F8}"/>
    <cellStyle name="40% - Accent5" xfId="81" builtinId="47" customBuiltin="1"/>
    <cellStyle name="40% - Accent5 10" xfId="4584" xr:uid="{00000000-0005-0000-0000-000041060000}"/>
    <cellStyle name="40% - Accent5 10 2" xfId="23210" xr:uid="{3299B8CC-412E-48AD-8DB9-ADC02A8BA5EC}"/>
    <cellStyle name="40% - Accent5 10 3" xfId="31657" xr:uid="{E8DEA8C1-0E81-44DF-8200-803DA5D39EEB}"/>
    <cellStyle name="40% - Accent5 10 4" xfId="40104" xr:uid="{63BDF5BC-24B0-432A-A862-CFC35E7DFB6E}"/>
    <cellStyle name="40% - Accent5 10 5" xfId="13910" xr:uid="{390F1141-5856-499C-B326-EB6E243CFE90}"/>
    <cellStyle name="40% - Accent5 11" xfId="8767" xr:uid="{7A46ADF8-3420-4D4A-A3FE-8E96F0FA38E7}"/>
    <cellStyle name="40% - Accent5 11 2" xfId="18091" xr:uid="{11F1C813-81F6-4D1F-8BA2-1B21238F0EA2}"/>
    <cellStyle name="40% - Accent5 12" xfId="18993" xr:uid="{C25E8E27-D67A-4524-B196-0532EB7E5F31}"/>
    <cellStyle name="40% - Accent5 13" xfId="27440" xr:uid="{3866E029-DA05-4081-AB72-C9C1C9E2BB21}"/>
    <cellStyle name="40% - Accent5 14" xfId="35887" xr:uid="{91837E7F-D8F7-4D2E-86A4-5DEDF5C04245}"/>
    <cellStyle name="40% - Accent5 15" xfId="9693" xr:uid="{C22C7CAA-6AF0-4840-B104-318A10A8703A}"/>
    <cellStyle name="40% - Accent5 2" xfId="82" xr:uid="{00000000-0005-0000-0000-000042060000}"/>
    <cellStyle name="40% - Accent5 2 10" xfId="8802" xr:uid="{CF9BFF45-99AC-47A3-8B01-051C55FBB24D}"/>
    <cellStyle name="40% - Accent5 2 10 2" xfId="18126" xr:uid="{860E620A-AA67-4756-B526-A5BCF62F71B6}"/>
    <cellStyle name="40% - Accent5 2 11" xfId="18994" xr:uid="{5443B130-F154-454B-BB74-48D74F05E315}"/>
    <cellStyle name="40% - Accent5 2 12" xfId="27441" xr:uid="{97200559-4F7C-46E7-AA2D-87B07E3A457A}"/>
    <cellStyle name="40% - Accent5 2 13" xfId="35888" xr:uid="{6C9AC860-4428-49A6-9598-C14739BBC5A8}"/>
    <cellStyle name="40% - Accent5 2 14" xfId="9694" xr:uid="{13467680-3421-4D7C-A96C-75036D90510C}"/>
    <cellStyle name="40% - Accent5 2 2" xfId="83" xr:uid="{00000000-0005-0000-0000-000043060000}"/>
    <cellStyle name="40% - Accent5 2 2 10" xfId="18995" xr:uid="{A4FC0947-5CD0-4A94-9720-721DE97BE251}"/>
    <cellStyle name="40% - Accent5 2 2 11" xfId="27442" xr:uid="{EEFB8596-0768-4F6C-A77C-DD4CC49706B8}"/>
    <cellStyle name="40% - Accent5 2 2 12" xfId="35889" xr:uid="{BA5B3BF7-DF77-416A-AC5C-E7BA5C67D4D1}"/>
    <cellStyle name="40% - Accent5 2 2 13" xfId="9695" xr:uid="{18BE965D-083D-4CC6-88F8-777AE1D0498E}"/>
    <cellStyle name="40% - Accent5 2 2 2" xfId="84" xr:uid="{00000000-0005-0000-0000-000044060000}"/>
    <cellStyle name="40% - Accent5 2 2 2 10" xfId="27443" xr:uid="{06879F04-451C-4838-877A-85BDF7844656}"/>
    <cellStyle name="40% - Accent5 2 2 2 11" xfId="35890" xr:uid="{B09BC50F-FF74-4B89-BAE2-4EE32694A987}"/>
    <cellStyle name="40% - Accent5 2 2 2 12" xfId="9696" xr:uid="{23D0B345-2BD8-4DE5-819A-4A3CAAD446C1}"/>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2 2 2" xfId="25772" xr:uid="{7CBFC1B0-DB1C-4F28-A253-6917AA054D54}"/>
    <cellStyle name="40% - Accent5 2 2 2 2 2 2 3" xfId="34219" xr:uid="{82B27504-7823-417D-BD43-AE3665FC9041}"/>
    <cellStyle name="40% - Accent5 2 2 2 2 2 2 4" xfId="42666" xr:uid="{923358F0-5339-4519-B6D9-4CD62002E4D1}"/>
    <cellStyle name="40% - Accent5 2 2 2 2 2 2 5" xfId="16472" xr:uid="{8BE3D0E4-3B32-4238-B620-86AF1B345A96}"/>
    <cellStyle name="40% - Accent5 2 2 2 2 2 3" xfId="21555" xr:uid="{57590A49-66FF-4B64-8827-4773BB750A18}"/>
    <cellStyle name="40% - Accent5 2 2 2 2 2 4" xfId="30002" xr:uid="{5EB9CF77-C247-432E-A229-EFF34BB7196A}"/>
    <cellStyle name="40% - Accent5 2 2 2 2 2 5" xfId="38449" xr:uid="{4FE85BC0-FF14-4F24-9973-5960D8362234}"/>
    <cellStyle name="40% - Accent5 2 2 2 2 2 6" xfId="12255" xr:uid="{489A1483-FF89-48CE-A9A6-F76ADCA1C9DF}"/>
    <cellStyle name="40% - Accent5 2 2 2 2 3" xfId="5001" xr:uid="{00000000-0005-0000-0000-000048060000}"/>
    <cellStyle name="40% - Accent5 2 2 2 2 3 2" xfId="23627" xr:uid="{72E57D3B-FCF5-4FA0-BDC9-F5CEEC47C0C4}"/>
    <cellStyle name="40% - Accent5 2 2 2 2 3 3" xfId="32074" xr:uid="{9297541E-F721-489B-94C8-69F1C5B04ACD}"/>
    <cellStyle name="40% - Accent5 2 2 2 2 3 4" xfId="40521" xr:uid="{BEE194F5-E5AC-4354-BE8F-D86A4F29F7EC}"/>
    <cellStyle name="40% - Accent5 2 2 2 2 3 5" xfId="14327" xr:uid="{BF10E83D-6CCC-450E-9AA0-2A19F27C1EA6}"/>
    <cellStyle name="40% - Accent5 2 2 2 2 4" xfId="9537" xr:uid="{83834145-5D3F-4083-A609-6DB90651C4CE}"/>
    <cellStyle name="40% - Accent5 2 2 2 2 4 2" xfId="18853" xr:uid="{30DA937D-09FA-49C1-851F-078B358BAAC6}"/>
    <cellStyle name="40% - Accent5 2 2 2 2 5" xfId="19410" xr:uid="{4970F4C8-C641-4546-B255-639E1F40124B}"/>
    <cellStyle name="40% - Accent5 2 2 2 2 6" xfId="27857" xr:uid="{4EDFA7F1-6570-48F4-BB65-E688BEB9E2E0}"/>
    <cellStyle name="40% - Accent5 2 2 2 2 7" xfId="36304" xr:uid="{F7D96397-23D4-4F3A-B166-4DACF6D48A98}"/>
    <cellStyle name="40% - Accent5 2 2 2 2 8" xfId="10110" xr:uid="{465C596C-67BE-4AF3-8C04-9920DB984F99}"/>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2 2 2" xfId="26185" xr:uid="{4E20EB27-19FB-43A9-B405-3008198DE52F}"/>
    <cellStyle name="40% - Accent5 2 2 2 3 2 2 3" xfId="34632" xr:uid="{C24FC0E6-03D9-45DE-B56E-89800D61B993}"/>
    <cellStyle name="40% - Accent5 2 2 2 3 2 2 4" xfId="43079" xr:uid="{C71DBAF9-D5EE-4E1B-A682-F8C8716794A6}"/>
    <cellStyle name="40% - Accent5 2 2 2 3 2 2 5" xfId="16885" xr:uid="{9E7B6841-3B79-4037-BF73-26639716DE75}"/>
    <cellStyle name="40% - Accent5 2 2 2 3 2 3" xfId="21968" xr:uid="{7F29A12E-B23C-4757-B1FE-51B8AA35B51B}"/>
    <cellStyle name="40% - Accent5 2 2 2 3 2 4" xfId="30415" xr:uid="{3D2DE020-1462-481C-BFC7-0162105EF85E}"/>
    <cellStyle name="40% - Accent5 2 2 2 3 2 5" xfId="38862" xr:uid="{67A58E98-995D-4883-9D5A-D6D982C96149}"/>
    <cellStyle name="40% - Accent5 2 2 2 3 2 6" xfId="12668" xr:uid="{E809BCA5-B9C2-4E09-A80D-BD4A9ADE1131}"/>
    <cellStyle name="40% - Accent5 2 2 2 3 3" xfId="5414" xr:uid="{00000000-0005-0000-0000-00004C060000}"/>
    <cellStyle name="40% - Accent5 2 2 2 3 3 2" xfId="24040" xr:uid="{EA4E46E6-D530-45D3-99CB-72075B8475F1}"/>
    <cellStyle name="40% - Accent5 2 2 2 3 3 3" xfId="32487" xr:uid="{52DFB48B-E95F-4254-B646-0613D781E86B}"/>
    <cellStyle name="40% - Accent5 2 2 2 3 3 4" xfId="40934" xr:uid="{0E1FBB5E-47DA-4F5C-BBD6-D1A7129C839F}"/>
    <cellStyle name="40% - Accent5 2 2 2 3 3 5" xfId="14740" xr:uid="{D2372FD6-7E2D-4224-844F-2FCA8CFE869B}"/>
    <cellStyle name="40% - Accent5 2 2 2 3 4" xfId="19823" xr:uid="{EE072EF4-CE7E-4F65-BD0C-A633E6E94073}"/>
    <cellStyle name="40% - Accent5 2 2 2 3 5" xfId="28270" xr:uid="{8B040222-AFD4-4A12-92BE-289CCF32581E}"/>
    <cellStyle name="40% - Accent5 2 2 2 3 6" xfId="36717" xr:uid="{3763520F-D1BC-4E67-B04D-F91888F213F4}"/>
    <cellStyle name="40% - Accent5 2 2 2 3 7" xfId="10523" xr:uid="{5F47D6CF-0719-4C12-A54F-44D6CE4743F8}"/>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2 2 2" xfId="26598" xr:uid="{C592C1F0-B3EC-4C03-A64C-E26F240658C9}"/>
    <cellStyle name="40% - Accent5 2 2 2 4 2 2 3" xfId="35045" xr:uid="{2DE5003C-165A-43DF-8C1F-8950871C487F}"/>
    <cellStyle name="40% - Accent5 2 2 2 4 2 2 4" xfId="43492" xr:uid="{8DA06AB9-8F6E-448C-90F1-1EEF4471C28A}"/>
    <cellStyle name="40% - Accent5 2 2 2 4 2 2 5" xfId="17298" xr:uid="{2D3469E3-D417-48BF-A2FC-8B72B6E0D877}"/>
    <cellStyle name="40% - Accent5 2 2 2 4 2 3" xfId="22381" xr:uid="{6F62AC93-1C6E-40B3-AFB8-6384158064BA}"/>
    <cellStyle name="40% - Accent5 2 2 2 4 2 4" xfId="30828" xr:uid="{F53AEFE9-7565-468B-8D8C-E8CEBAC07D97}"/>
    <cellStyle name="40% - Accent5 2 2 2 4 2 5" xfId="39275" xr:uid="{58D96972-FCA9-4DF0-A761-547B70CA3107}"/>
    <cellStyle name="40% - Accent5 2 2 2 4 2 6" xfId="13081" xr:uid="{CDE0A123-7BF6-4EB0-9E37-2BBBFB49B2DE}"/>
    <cellStyle name="40% - Accent5 2 2 2 4 3" xfId="5827" xr:uid="{00000000-0005-0000-0000-000050060000}"/>
    <cellStyle name="40% - Accent5 2 2 2 4 3 2" xfId="24453" xr:uid="{4E5D4270-4F0C-4E22-8684-B53F4D1F5134}"/>
    <cellStyle name="40% - Accent5 2 2 2 4 3 3" xfId="32900" xr:uid="{B2327EF1-A3CF-4668-90B6-A240B8CB4A79}"/>
    <cellStyle name="40% - Accent5 2 2 2 4 3 4" xfId="41347" xr:uid="{FCC40492-2179-4689-BC24-00112CBBC376}"/>
    <cellStyle name="40% - Accent5 2 2 2 4 3 5" xfId="15153" xr:uid="{15B30294-AEA0-46F9-83F6-C818831FD636}"/>
    <cellStyle name="40% - Accent5 2 2 2 4 4" xfId="20236" xr:uid="{F53C14DE-FFED-4991-9062-74E2E2A2348C}"/>
    <cellStyle name="40% - Accent5 2 2 2 4 5" xfId="28683" xr:uid="{DEB35912-A5A5-4EC2-B68F-9B1FA58CECA4}"/>
    <cellStyle name="40% - Accent5 2 2 2 4 6" xfId="37130" xr:uid="{8E525310-4EB5-4084-965B-DE714EFC08C8}"/>
    <cellStyle name="40% - Accent5 2 2 2 4 7" xfId="10936" xr:uid="{3F874A91-76A3-4936-9BE1-D3F6E40E301F}"/>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2 2 2" xfId="27011" xr:uid="{B4CA1A09-851A-4740-89FB-B45ECB1225C9}"/>
    <cellStyle name="40% - Accent5 2 2 2 5 2 2 3" xfId="35458" xr:uid="{8C3A0A29-361D-4814-AFBB-A70AA874D48E}"/>
    <cellStyle name="40% - Accent5 2 2 2 5 2 2 4" xfId="43905" xr:uid="{554B8334-B278-4845-955A-8A60700E58CF}"/>
    <cellStyle name="40% - Accent5 2 2 2 5 2 2 5" xfId="17711" xr:uid="{1EF86C8C-0FC3-439E-BA09-D028490E284D}"/>
    <cellStyle name="40% - Accent5 2 2 2 5 2 3" xfId="22794" xr:uid="{0FE3575B-11E1-40ED-A599-47E78FD86F4A}"/>
    <cellStyle name="40% - Accent5 2 2 2 5 2 4" xfId="31241" xr:uid="{DE193B76-35CF-4379-88E6-67DD4E947109}"/>
    <cellStyle name="40% - Accent5 2 2 2 5 2 5" xfId="39688" xr:uid="{E168DF2A-47AF-4F2F-8096-5712B137A667}"/>
    <cellStyle name="40% - Accent5 2 2 2 5 2 6" xfId="13494" xr:uid="{DB344ABD-782C-4026-9CB2-5844E7053E5E}"/>
    <cellStyle name="40% - Accent5 2 2 2 5 3" xfId="6240" xr:uid="{00000000-0005-0000-0000-000054060000}"/>
    <cellStyle name="40% - Accent5 2 2 2 5 3 2" xfId="24866" xr:uid="{D214FFE1-4C5C-4A47-AD6F-527C30370ED3}"/>
    <cellStyle name="40% - Accent5 2 2 2 5 3 3" xfId="33313" xr:uid="{45F184BA-06D9-4878-9973-BD04E2E4F5E5}"/>
    <cellStyle name="40% - Accent5 2 2 2 5 3 4" xfId="41760" xr:uid="{DF535B6F-8C36-43DC-817E-B35DE9F149E2}"/>
    <cellStyle name="40% - Accent5 2 2 2 5 3 5" xfId="15566" xr:uid="{FB657090-A0C0-463F-9801-11D6D961472E}"/>
    <cellStyle name="40% - Accent5 2 2 2 5 4" xfId="20649" xr:uid="{791BC714-3BBE-459B-B56F-155FA828B2F8}"/>
    <cellStyle name="40% - Accent5 2 2 2 5 5" xfId="29096" xr:uid="{937586D6-E978-4056-AAA2-237A28C8A46C}"/>
    <cellStyle name="40% - Accent5 2 2 2 5 6" xfId="37543" xr:uid="{E38F9DF2-3B69-4E8A-902E-B7CD70D764FB}"/>
    <cellStyle name="40% - Accent5 2 2 2 5 7" xfId="11349" xr:uid="{10A8E625-9D09-489D-8A52-16AAA7B8F579}"/>
    <cellStyle name="40% - Accent5 2 2 2 6" xfId="2347" xr:uid="{00000000-0005-0000-0000-000055060000}"/>
    <cellStyle name="40% - Accent5 2 2 2 6 2" xfId="6653" xr:uid="{00000000-0005-0000-0000-000056060000}"/>
    <cellStyle name="40% - Accent5 2 2 2 6 2 2" xfId="25279" xr:uid="{A2AEE5EC-F71A-4797-99F6-D8C3DA6517B4}"/>
    <cellStyle name="40% - Accent5 2 2 2 6 2 3" xfId="33726" xr:uid="{28382FD8-B8BD-48A9-9E1B-8B10D62E24C1}"/>
    <cellStyle name="40% - Accent5 2 2 2 6 2 4" xfId="42173" xr:uid="{05AC2CA4-73EF-4687-9419-0FBB87B71AC1}"/>
    <cellStyle name="40% - Accent5 2 2 2 6 2 5" xfId="15979" xr:uid="{89E836C0-405E-46E1-B49C-EC2C0E98061B}"/>
    <cellStyle name="40% - Accent5 2 2 2 6 3" xfId="21062" xr:uid="{9C039AAE-0207-42F0-AD59-F85320796BFE}"/>
    <cellStyle name="40% - Accent5 2 2 2 6 4" xfId="29509" xr:uid="{4B1D352B-AE43-4B48-8FE0-C4CB33702AB1}"/>
    <cellStyle name="40% - Accent5 2 2 2 6 5" xfId="37956" xr:uid="{8CA76C95-FE2B-4605-9499-B0F37C41FEF7}"/>
    <cellStyle name="40% - Accent5 2 2 2 6 6" xfId="11762" xr:uid="{18126CE6-8E33-43C2-8D59-FB6FA397D16C}"/>
    <cellStyle name="40% - Accent5 2 2 2 7" xfId="4587" xr:uid="{00000000-0005-0000-0000-000057060000}"/>
    <cellStyle name="40% - Accent5 2 2 2 7 2" xfId="23213" xr:uid="{9FB17588-361C-4DF1-8BA8-7E170B2ADEFD}"/>
    <cellStyle name="40% - Accent5 2 2 2 7 3" xfId="31660" xr:uid="{108D7F04-0737-4065-B8EC-993F43284FF0}"/>
    <cellStyle name="40% - Accent5 2 2 2 7 4" xfId="40107" xr:uid="{564FAD19-D3A3-430B-9507-C7C289B621FB}"/>
    <cellStyle name="40% - Accent5 2 2 2 7 5" xfId="13913" xr:uid="{CDA9E7E3-BBC3-412C-A96A-02D88A6D3B6D}"/>
    <cellStyle name="40% - Accent5 2 2 2 8" xfId="9112" xr:uid="{65D0CC40-E9D0-4CE3-B684-8DE4A2C7BCD7}"/>
    <cellStyle name="40% - Accent5 2 2 2 8 2" xfId="18436" xr:uid="{AB876BAE-70E4-47FE-BD25-B70053977BAD}"/>
    <cellStyle name="40% - Accent5 2 2 2 9" xfId="18996" xr:uid="{B05E20CA-D6AB-41A6-BE9B-882D922D6DB1}"/>
    <cellStyle name="40% - Accent5 2 2 3" xfId="652" xr:uid="{00000000-0005-0000-0000-000058060000}"/>
    <cellStyle name="40% - Accent5 2 2 3 2" xfId="2923" xr:uid="{00000000-0005-0000-0000-000059060000}"/>
    <cellStyle name="40% - Accent5 2 2 3 2 2" xfId="7145" xr:uid="{00000000-0005-0000-0000-00005A060000}"/>
    <cellStyle name="40% - Accent5 2 2 3 2 2 2" xfId="25771" xr:uid="{DEAA5044-64C9-4B61-92DC-DCC10F6F77E5}"/>
    <cellStyle name="40% - Accent5 2 2 3 2 2 3" xfId="34218" xr:uid="{D01C0336-4D7F-4E4E-A463-ECB9BB78CC7F}"/>
    <cellStyle name="40% - Accent5 2 2 3 2 2 4" xfId="42665" xr:uid="{DD4CEEBE-C5C2-40A7-8090-69C73BECB729}"/>
    <cellStyle name="40% - Accent5 2 2 3 2 2 5" xfId="16471" xr:uid="{AF394126-5CA5-45CE-9666-BE64677C1F8C}"/>
    <cellStyle name="40% - Accent5 2 2 3 2 3" xfId="21554" xr:uid="{F618C4D0-B5C7-481D-B9ED-112C33B2FB26}"/>
    <cellStyle name="40% - Accent5 2 2 3 2 4" xfId="30001" xr:uid="{F8DA2414-631F-4E58-8C20-6C210AF4C089}"/>
    <cellStyle name="40% - Accent5 2 2 3 2 5" xfId="38448" xr:uid="{E43A9CFB-734A-460B-902C-2B998A13A931}"/>
    <cellStyle name="40% - Accent5 2 2 3 2 6" xfId="12254" xr:uid="{496F4F15-7022-4212-B3D4-7D60FD3619D2}"/>
    <cellStyle name="40% - Accent5 2 2 3 3" xfId="5000" xr:uid="{00000000-0005-0000-0000-00005B060000}"/>
    <cellStyle name="40% - Accent5 2 2 3 3 2" xfId="23626" xr:uid="{EB1C1CBA-073D-4F54-8ADD-89B53478F5A4}"/>
    <cellStyle name="40% - Accent5 2 2 3 3 3" xfId="32073" xr:uid="{4DBE0BAD-0C29-4229-80E2-3F82607E5A41}"/>
    <cellStyle name="40% - Accent5 2 2 3 3 4" xfId="40520" xr:uid="{3BAE6372-C5EF-4067-90D1-9A95116FBE0F}"/>
    <cellStyle name="40% - Accent5 2 2 3 3 5" xfId="14326" xr:uid="{8F24EE81-F694-4F1A-9C35-DBDEA32B6528}"/>
    <cellStyle name="40% - Accent5 2 2 3 4" xfId="9330" xr:uid="{75959B30-FD84-42A5-95AE-69048CCC8361}"/>
    <cellStyle name="40% - Accent5 2 2 3 4 2" xfId="18646" xr:uid="{7B3C4983-7D2A-49BD-9B73-00822673DBAE}"/>
    <cellStyle name="40% - Accent5 2 2 3 5" xfId="19409" xr:uid="{3D17C14D-D0CD-4A72-9151-6498A72009C9}"/>
    <cellStyle name="40% - Accent5 2 2 3 6" xfId="27856" xr:uid="{23314BAC-F3EF-4F45-AB7C-B6C227C8135D}"/>
    <cellStyle name="40% - Accent5 2 2 3 7" xfId="36303" xr:uid="{26D577E6-992B-4803-896C-19A0AF047EAF}"/>
    <cellStyle name="40% - Accent5 2 2 3 8" xfId="10109" xr:uid="{0B0C67E0-5421-49BA-B112-0D8A0CFE9417}"/>
    <cellStyle name="40% - Accent5 2 2 4" xfId="1105" xr:uid="{00000000-0005-0000-0000-00005C060000}"/>
    <cellStyle name="40% - Accent5 2 2 4 2" xfId="3336" xr:uid="{00000000-0005-0000-0000-00005D060000}"/>
    <cellStyle name="40% - Accent5 2 2 4 2 2" xfId="7558" xr:uid="{00000000-0005-0000-0000-00005E060000}"/>
    <cellStyle name="40% - Accent5 2 2 4 2 2 2" xfId="26184" xr:uid="{453FC545-43CC-459B-8767-7A04E79EAB17}"/>
    <cellStyle name="40% - Accent5 2 2 4 2 2 3" xfId="34631" xr:uid="{AB870D4D-B819-43A0-B254-B96F49766440}"/>
    <cellStyle name="40% - Accent5 2 2 4 2 2 4" xfId="43078" xr:uid="{5781B1D5-2FD8-4B44-A137-6F4B1DC75E8A}"/>
    <cellStyle name="40% - Accent5 2 2 4 2 2 5" xfId="16884" xr:uid="{BAD8B0C9-C4D7-42A1-9254-D17E0F3AE33C}"/>
    <cellStyle name="40% - Accent5 2 2 4 2 3" xfId="21967" xr:uid="{73E2714F-D91F-4E08-A91F-B662150465F7}"/>
    <cellStyle name="40% - Accent5 2 2 4 2 4" xfId="30414" xr:uid="{5F14E4A5-F521-4D9C-ADE4-214E137467AD}"/>
    <cellStyle name="40% - Accent5 2 2 4 2 5" xfId="38861" xr:uid="{10A88DB5-089E-47B6-BF3F-F6CF0BA6F5B3}"/>
    <cellStyle name="40% - Accent5 2 2 4 2 6" xfId="12667" xr:uid="{81A42E42-9D9F-4611-BD6C-D395502EB87A}"/>
    <cellStyle name="40% - Accent5 2 2 4 3" xfId="5413" xr:uid="{00000000-0005-0000-0000-00005F060000}"/>
    <cellStyle name="40% - Accent5 2 2 4 3 2" xfId="24039" xr:uid="{48C0C671-A1C6-48F1-93E4-9BC738E61BA4}"/>
    <cellStyle name="40% - Accent5 2 2 4 3 3" xfId="32486" xr:uid="{B0A664B1-2BC0-4064-9A17-681F5DE3537D}"/>
    <cellStyle name="40% - Accent5 2 2 4 3 4" xfId="40933" xr:uid="{EBEA8F94-0308-4E1A-9582-5F7883CAAC3A}"/>
    <cellStyle name="40% - Accent5 2 2 4 3 5" xfId="14739" xr:uid="{C9C1F8A7-CE48-48B0-8631-85DD7ABA10E3}"/>
    <cellStyle name="40% - Accent5 2 2 4 4" xfId="19822" xr:uid="{C2D83404-02E8-4997-8B79-8B803FDED7E2}"/>
    <cellStyle name="40% - Accent5 2 2 4 5" xfId="28269" xr:uid="{520BD9B5-66A0-435C-B478-2D24808D822D}"/>
    <cellStyle name="40% - Accent5 2 2 4 6" xfId="36716" xr:uid="{BA365013-1FC8-4133-BA92-AC3FFAE76A6C}"/>
    <cellStyle name="40% - Accent5 2 2 4 7" xfId="10522" xr:uid="{84B01A79-2E8A-409A-BD9A-F29C7F37B29F}"/>
    <cellStyle name="40% - Accent5 2 2 5" xfId="1519" xr:uid="{00000000-0005-0000-0000-000060060000}"/>
    <cellStyle name="40% - Accent5 2 2 5 2" xfId="3749" xr:uid="{00000000-0005-0000-0000-000061060000}"/>
    <cellStyle name="40% - Accent5 2 2 5 2 2" xfId="7971" xr:uid="{00000000-0005-0000-0000-000062060000}"/>
    <cellStyle name="40% - Accent5 2 2 5 2 2 2" xfId="26597" xr:uid="{C3280CBD-5C89-4513-BA1E-AB6E512F4F87}"/>
    <cellStyle name="40% - Accent5 2 2 5 2 2 3" xfId="35044" xr:uid="{8B10C2DA-AAC0-4ED7-BA65-E67CB2039460}"/>
    <cellStyle name="40% - Accent5 2 2 5 2 2 4" xfId="43491" xr:uid="{126EE9D7-16EE-4611-A074-56F8A0757BBB}"/>
    <cellStyle name="40% - Accent5 2 2 5 2 2 5" xfId="17297" xr:uid="{DB16E849-B5DD-4AE1-A213-8C0D8F45B6B0}"/>
    <cellStyle name="40% - Accent5 2 2 5 2 3" xfId="22380" xr:uid="{666FD564-97D7-4C5B-9A43-F4E2CDB1A19D}"/>
    <cellStyle name="40% - Accent5 2 2 5 2 4" xfId="30827" xr:uid="{085955E3-B954-4040-BCD2-146AD659A56D}"/>
    <cellStyle name="40% - Accent5 2 2 5 2 5" xfId="39274" xr:uid="{3CB8E983-A322-4756-ABC4-F58D7BB95744}"/>
    <cellStyle name="40% - Accent5 2 2 5 2 6" xfId="13080" xr:uid="{3B5B4366-CFD8-4282-A686-A1FC54B065F8}"/>
    <cellStyle name="40% - Accent5 2 2 5 3" xfId="5826" xr:uid="{00000000-0005-0000-0000-000063060000}"/>
    <cellStyle name="40% - Accent5 2 2 5 3 2" xfId="24452" xr:uid="{8982C45C-56DD-4645-A707-48C870EBB9B3}"/>
    <cellStyle name="40% - Accent5 2 2 5 3 3" xfId="32899" xr:uid="{5BF8DF65-A246-409A-9078-243F0BC56A18}"/>
    <cellStyle name="40% - Accent5 2 2 5 3 4" xfId="41346" xr:uid="{B9A31285-4B85-4470-AD52-DB14562D1AA0}"/>
    <cellStyle name="40% - Accent5 2 2 5 3 5" xfId="15152" xr:uid="{5C308A09-374D-4B07-95BB-A3ABF502CA21}"/>
    <cellStyle name="40% - Accent5 2 2 5 4" xfId="20235" xr:uid="{8E6303D3-611E-41C2-AAB8-13D88225A1ED}"/>
    <cellStyle name="40% - Accent5 2 2 5 5" xfId="28682" xr:uid="{FD745774-6BD9-43B3-B0A2-210C5B8A940A}"/>
    <cellStyle name="40% - Accent5 2 2 5 6" xfId="37129" xr:uid="{79ED45E2-CB18-4F8D-8046-7D7796392681}"/>
    <cellStyle name="40% - Accent5 2 2 5 7" xfId="10935" xr:uid="{ABBB2B57-11E8-4883-847D-A44D6BC5BE40}"/>
    <cellStyle name="40% - Accent5 2 2 6" xfId="1933" xr:uid="{00000000-0005-0000-0000-000064060000}"/>
    <cellStyle name="40% - Accent5 2 2 6 2" xfId="4162" xr:uid="{00000000-0005-0000-0000-000065060000}"/>
    <cellStyle name="40% - Accent5 2 2 6 2 2" xfId="8384" xr:uid="{00000000-0005-0000-0000-000066060000}"/>
    <cellStyle name="40% - Accent5 2 2 6 2 2 2" xfId="27010" xr:uid="{93D553AB-2622-4AE0-8359-55A9625881D5}"/>
    <cellStyle name="40% - Accent5 2 2 6 2 2 3" xfId="35457" xr:uid="{86399E21-ABA9-404C-AC82-9096D535CB16}"/>
    <cellStyle name="40% - Accent5 2 2 6 2 2 4" xfId="43904" xr:uid="{18AE6C15-5AC5-4765-B4EF-509FCA69A37C}"/>
    <cellStyle name="40% - Accent5 2 2 6 2 2 5" xfId="17710" xr:uid="{531ED1BC-E7A6-48CA-9D9C-4B0DDFD0E1B1}"/>
    <cellStyle name="40% - Accent5 2 2 6 2 3" xfId="22793" xr:uid="{03277A84-274E-4F68-A2AA-E8F6854A3118}"/>
    <cellStyle name="40% - Accent5 2 2 6 2 4" xfId="31240" xr:uid="{432294A5-ED43-48D2-BA89-D94944918DE6}"/>
    <cellStyle name="40% - Accent5 2 2 6 2 5" xfId="39687" xr:uid="{0AB9A31C-4EC1-40E2-9E32-D24444BB52C9}"/>
    <cellStyle name="40% - Accent5 2 2 6 2 6" xfId="13493" xr:uid="{8769E203-B2DC-46DD-9574-28A889A997D0}"/>
    <cellStyle name="40% - Accent5 2 2 6 3" xfId="6239" xr:uid="{00000000-0005-0000-0000-000067060000}"/>
    <cellStyle name="40% - Accent5 2 2 6 3 2" xfId="24865" xr:uid="{80F5C575-5D6C-4CB8-88EA-F108C9490C36}"/>
    <cellStyle name="40% - Accent5 2 2 6 3 3" xfId="33312" xr:uid="{440BCC56-A5BE-4D33-B9FB-DCA0F0ED101A}"/>
    <cellStyle name="40% - Accent5 2 2 6 3 4" xfId="41759" xr:uid="{B9ECDD55-8D8C-4A60-A4D1-D2E295EFB500}"/>
    <cellStyle name="40% - Accent5 2 2 6 3 5" xfId="15565" xr:uid="{78924666-B02F-425E-81E0-F1CBF5BE4DB9}"/>
    <cellStyle name="40% - Accent5 2 2 6 4" xfId="20648" xr:uid="{A8CE374D-9496-4944-9FF2-F6FEC307FA4A}"/>
    <cellStyle name="40% - Accent5 2 2 6 5" xfId="29095" xr:uid="{92D0A290-A5D2-463E-A97A-0EE0AA0C9E49}"/>
    <cellStyle name="40% - Accent5 2 2 6 6" xfId="37542" xr:uid="{9658707F-6A40-4AFC-9751-A6D990E248AD}"/>
    <cellStyle name="40% - Accent5 2 2 6 7" xfId="11348" xr:uid="{F5D28AD0-9921-4344-B94E-48C5AB4AB2F4}"/>
    <cellStyle name="40% - Accent5 2 2 7" xfId="2346" xr:uid="{00000000-0005-0000-0000-000068060000}"/>
    <cellStyle name="40% - Accent5 2 2 7 2" xfId="6652" xr:uid="{00000000-0005-0000-0000-000069060000}"/>
    <cellStyle name="40% - Accent5 2 2 7 2 2" xfId="25278" xr:uid="{05C9DD03-F471-40DD-B021-D1E0020962D0}"/>
    <cellStyle name="40% - Accent5 2 2 7 2 3" xfId="33725" xr:uid="{0ECF76F7-CE7D-4093-B26F-3D585D5FF4BF}"/>
    <cellStyle name="40% - Accent5 2 2 7 2 4" xfId="42172" xr:uid="{87913B71-5E74-46CC-A255-86C2D0D46427}"/>
    <cellStyle name="40% - Accent5 2 2 7 2 5" xfId="15978" xr:uid="{8B820293-6BFD-4BCE-877A-BD3418587B0D}"/>
    <cellStyle name="40% - Accent5 2 2 7 3" xfId="21061" xr:uid="{9AC42FE6-8AC4-436A-830C-9C2701BFB21A}"/>
    <cellStyle name="40% - Accent5 2 2 7 4" xfId="29508" xr:uid="{CAC8B92B-27A1-4530-A45D-41DFB836BFDF}"/>
    <cellStyle name="40% - Accent5 2 2 7 5" xfId="37955" xr:uid="{3299DCBA-1E16-46A7-B649-ADA0DE7CF691}"/>
    <cellStyle name="40% - Accent5 2 2 7 6" xfId="11761" xr:uid="{6BDF4BC8-7E1F-4304-B416-3DB672CCCE29}"/>
    <cellStyle name="40% - Accent5 2 2 8" xfId="4586" xr:uid="{00000000-0005-0000-0000-00006A060000}"/>
    <cellStyle name="40% - Accent5 2 2 8 2" xfId="23212" xr:uid="{3DE541A7-B0A2-4AE5-A6F6-3C9D550FBA6E}"/>
    <cellStyle name="40% - Accent5 2 2 8 3" xfId="31659" xr:uid="{E93A3A95-94F1-49A3-8D1F-6A4D90E2EAC1}"/>
    <cellStyle name="40% - Accent5 2 2 8 4" xfId="40106" xr:uid="{9290DDD4-7C08-41E4-AC77-542C393B50B7}"/>
    <cellStyle name="40% - Accent5 2 2 8 5" xfId="13912" xr:uid="{0D586D0B-6103-4F9B-9F41-B13D798FA9A3}"/>
    <cellStyle name="40% - Accent5 2 2 9" xfId="8905" xr:uid="{3B48B2AE-2C2B-47FB-A8F4-43FECCDBCFEF}"/>
    <cellStyle name="40% - Accent5 2 2 9 2" xfId="18229" xr:uid="{F3D6E509-9347-4ABC-92DB-754B4EB306FC}"/>
    <cellStyle name="40% - Accent5 2 3" xfId="85" xr:uid="{00000000-0005-0000-0000-00006B060000}"/>
    <cellStyle name="40% - Accent5 2 3 10" xfId="27444" xr:uid="{66E64361-B089-44CE-A64E-5FEEAD70A388}"/>
    <cellStyle name="40% - Accent5 2 3 11" xfId="35891" xr:uid="{A00891F8-9037-4656-9E21-A84390294A73}"/>
    <cellStyle name="40% - Accent5 2 3 12" xfId="9697" xr:uid="{6E7E06B5-007E-4C8A-A3E7-7E60EC84A153}"/>
    <cellStyle name="40% - Accent5 2 3 2" xfId="654" xr:uid="{00000000-0005-0000-0000-00006C060000}"/>
    <cellStyle name="40% - Accent5 2 3 2 2" xfId="2925" xr:uid="{00000000-0005-0000-0000-00006D060000}"/>
    <cellStyle name="40% - Accent5 2 3 2 2 2" xfId="7147" xr:uid="{00000000-0005-0000-0000-00006E060000}"/>
    <cellStyle name="40% - Accent5 2 3 2 2 2 2" xfId="25773" xr:uid="{9A35B446-C51E-48DD-A6AA-61F8FD7B935B}"/>
    <cellStyle name="40% - Accent5 2 3 2 2 2 3" xfId="34220" xr:uid="{B289D061-F2B2-4C0F-8538-C02FEED9A034}"/>
    <cellStyle name="40% - Accent5 2 3 2 2 2 4" xfId="42667" xr:uid="{6C1909BB-A7EF-4D16-9132-A5E97CF3DC67}"/>
    <cellStyle name="40% - Accent5 2 3 2 2 2 5" xfId="16473" xr:uid="{E647C12C-80D1-42BD-8B28-9401B87C9BC5}"/>
    <cellStyle name="40% - Accent5 2 3 2 2 3" xfId="21556" xr:uid="{C0EC3908-DC66-4A7B-9237-D7A0A4D66C0F}"/>
    <cellStyle name="40% - Accent5 2 3 2 2 4" xfId="30003" xr:uid="{FD370DDC-F2C5-4F96-9CBF-A52F0FC4F580}"/>
    <cellStyle name="40% - Accent5 2 3 2 2 5" xfId="38450" xr:uid="{A61AA659-0B2B-40C1-BACB-818975D658B1}"/>
    <cellStyle name="40% - Accent5 2 3 2 2 6" xfId="12256" xr:uid="{C5B31B3D-2E82-4B77-98C6-C5AB9A437E35}"/>
    <cellStyle name="40% - Accent5 2 3 2 3" xfId="5002" xr:uid="{00000000-0005-0000-0000-00006F060000}"/>
    <cellStyle name="40% - Accent5 2 3 2 3 2" xfId="23628" xr:uid="{99D5C30A-F7D2-4E1A-A034-9677CBB6311A}"/>
    <cellStyle name="40% - Accent5 2 3 2 3 3" xfId="32075" xr:uid="{F8369D9D-AF85-4C19-AE44-95E06E87CEF2}"/>
    <cellStyle name="40% - Accent5 2 3 2 3 4" xfId="40522" xr:uid="{BAC416A0-7F21-47A6-977D-A4AD97A1938B}"/>
    <cellStyle name="40% - Accent5 2 3 2 3 5" xfId="14328" xr:uid="{209A999D-6410-4B17-B5F6-9DC349F3CEBB}"/>
    <cellStyle name="40% - Accent5 2 3 2 4" xfId="9434" xr:uid="{512EAA64-F150-4B15-8534-EB34D6D41408}"/>
    <cellStyle name="40% - Accent5 2 3 2 4 2" xfId="18750" xr:uid="{97D55295-81D6-44CC-8A2F-A9A9BFB94962}"/>
    <cellStyle name="40% - Accent5 2 3 2 5" xfId="19411" xr:uid="{8E89686A-AF05-44F6-A040-C5FC57FA2427}"/>
    <cellStyle name="40% - Accent5 2 3 2 6" xfId="27858" xr:uid="{D70DAB87-CAC5-4A41-A78E-708565E5C787}"/>
    <cellStyle name="40% - Accent5 2 3 2 7" xfId="36305" xr:uid="{E712A3E9-E243-4FBD-8A42-34527C19DC82}"/>
    <cellStyle name="40% - Accent5 2 3 2 8" xfId="10111" xr:uid="{A6A8A29A-CC4B-4AE2-B2A2-E2DFBCCA5024}"/>
    <cellStyle name="40% - Accent5 2 3 3" xfId="1107" xr:uid="{00000000-0005-0000-0000-000070060000}"/>
    <cellStyle name="40% - Accent5 2 3 3 2" xfId="3338" xr:uid="{00000000-0005-0000-0000-000071060000}"/>
    <cellStyle name="40% - Accent5 2 3 3 2 2" xfId="7560" xr:uid="{00000000-0005-0000-0000-000072060000}"/>
    <cellStyle name="40% - Accent5 2 3 3 2 2 2" xfId="26186" xr:uid="{2840CDDA-83DA-44C7-BCDB-E9F1711888C1}"/>
    <cellStyle name="40% - Accent5 2 3 3 2 2 3" xfId="34633" xr:uid="{D956A5C5-B5BC-440F-BA46-4A4EB200CD2B}"/>
    <cellStyle name="40% - Accent5 2 3 3 2 2 4" xfId="43080" xr:uid="{E7D056C7-A436-42FD-B9CF-44A0F4869E64}"/>
    <cellStyle name="40% - Accent5 2 3 3 2 2 5" xfId="16886" xr:uid="{8C6D343F-166B-4077-B919-F7A2E25E1AC8}"/>
    <cellStyle name="40% - Accent5 2 3 3 2 3" xfId="21969" xr:uid="{350EC275-B88F-437B-8C10-8C4C3201413F}"/>
    <cellStyle name="40% - Accent5 2 3 3 2 4" xfId="30416" xr:uid="{E5D82F50-F4FE-4217-A985-D1953E71CAA2}"/>
    <cellStyle name="40% - Accent5 2 3 3 2 5" xfId="38863" xr:uid="{EE1804E0-B27C-41C3-AEE1-FE2BE5086F8D}"/>
    <cellStyle name="40% - Accent5 2 3 3 2 6" xfId="12669" xr:uid="{0CBD7328-AE9E-4E42-B35C-39EC66445874}"/>
    <cellStyle name="40% - Accent5 2 3 3 3" xfId="5415" xr:uid="{00000000-0005-0000-0000-000073060000}"/>
    <cellStyle name="40% - Accent5 2 3 3 3 2" xfId="24041" xr:uid="{3271BFFE-37A1-471D-9F98-1F78AE59C28B}"/>
    <cellStyle name="40% - Accent5 2 3 3 3 3" xfId="32488" xr:uid="{4587A72C-07A9-47AC-A61F-7D6333AB8E43}"/>
    <cellStyle name="40% - Accent5 2 3 3 3 4" xfId="40935" xr:uid="{88EE70A5-795C-45F8-B30C-82D037B64C63}"/>
    <cellStyle name="40% - Accent5 2 3 3 3 5" xfId="14741" xr:uid="{0BDADD2C-6E63-4BFF-870B-F074B0609F43}"/>
    <cellStyle name="40% - Accent5 2 3 3 4" xfId="19824" xr:uid="{DAA42954-FDA2-4928-B1BE-2AFF505E47CD}"/>
    <cellStyle name="40% - Accent5 2 3 3 5" xfId="28271" xr:uid="{63AA03E0-B218-44F8-8480-D11F3D0C8720}"/>
    <cellStyle name="40% - Accent5 2 3 3 6" xfId="36718" xr:uid="{F04A2B07-04AE-4C42-B4FA-8A3BEC754DDF}"/>
    <cellStyle name="40% - Accent5 2 3 3 7" xfId="10524" xr:uid="{F6581FDC-0065-436D-AD70-AFF045297847}"/>
    <cellStyle name="40% - Accent5 2 3 4" xfId="1521" xr:uid="{00000000-0005-0000-0000-000074060000}"/>
    <cellStyle name="40% - Accent5 2 3 4 2" xfId="3751" xr:uid="{00000000-0005-0000-0000-000075060000}"/>
    <cellStyle name="40% - Accent5 2 3 4 2 2" xfId="7973" xr:uid="{00000000-0005-0000-0000-000076060000}"/>
    <cellStyle name="40% - Accent5 2 3 4 2 2 2" xfId="26599" xr:uid="{37C4367B-9B99-4870-A67E-2A9A9D3C6F08}"/>
    <cellStyle name="40% - Accent5 2 3 4 2 2 3" xfId="35046" xr:uid="{DCB4386B-BE8A-4A62-BDBE-7F073C1BEBD8}"/>
    <cellStyle name="40% - Accent5 2 3 4 2 2 4" xfId="43493" xr:uid="{B914D3DB-8D45-4B75-AB36-232F8E67D30D}"/>
    <cellStyle name="40% - Accent5 2 3 4 2 2 5" xfId="17299" xr:uid="{A1295577-E637-4F59-880A-77273629FE4F}"/>
    <cellStyle name="40% - Accent5 2 3 4 2 3" xfId="22382" xr:uid="{5847B8F1-1E2C-4DA8-B899-A971A11AE71D}"/>
    <cellStyle name="40% - Accent5 2 3 4 2 4" xfId="30829" xr:uid="{7306CEFC-8F56-4B39-AF94-A87A02C5BB43}"/>
    <cellStyle name="40% - Accent5 2 3 4 2 5" xfId="39276" xr:uid="{9123DC0E-7B5C-4C82-B28D-ECB6D6EB75E6}"/>
    <cellStyle name="40% - Accent5 2 3 4 2 6" xfId="13082" xr:uid="{AD13B89F-E00B-417E-987C-0E3DF6E49F69}"/>
    <cellStyle name="40% - Accent5 2 3 4 3" xfId="5828" xr:uid="{00000000-0005-0000-0000-000077060000}"/>
    <cellStyle name="40% - Accent5 2 3 4 3 2" xfId="24454" xr:uid="{515AC12C-2E66-4B87-944F-CA21AC0AEDC3}"/>
    <cellStyle name="40% - Accent5 2 3 4 3 3" xfId="32901" xr:uid="{231E12CD-E2AB-454F-97EF-B0F4850EC6C0}"/>
    <cellStyle name="40% - Accent5 2 3 4 3 4" xfId="41348" xr:uid="{759183BA-D87F-4172-8FC3-BB4E9B4D14BC}"/>
    <cellStyle name="40% - Accent5 2 3 4 3 5" xfId="15154" xr:uid="{5A372F23-F1D1-4A9A-913B-ECAD45BB7ECC}"/>
    <cellStyle name="40% - Accent5 2 3 4 4" xfId="20237" xr:uid="{54DA1788-D7C0-4F80-825D-DD5DB0AED1E7}"/>
    <cellStyle name="40% - Accent5 2 3 4 5" xfId="28684" xr:uid="{AD3A08E0-2E88-4C4C-A433-89AB725990FC}"/>
    <cellStyle name="40% - Accent5 2 3 4 6" xfId="37131" xr:uid="{3431A53B-6C71-4DD2-A95D-A0F7CA2C8B49}"/>
    <cellStyle name="40% - Accent5 2 3 4 7" xfId="10937" xr:uid="{7DB8028C-44C9-4E3E-8A98-EBBAB593AAE9}"/>
    <cellStyle name="40% - Accent5 2 3 5" xfId="1935" xr:uid="{00000000-0005-0000-0000-000078060000}"/>
    <cellStyle name="40% - Accent5 2 3 5 2" xfId="4164" xr:uid="{00000000-0005-0000-0000-000079060000}"/>
    <cellStyle name="40% - Accent5 2 3 5 2 2" xfId="8386" xr:uid="{00000000-0005-0000-0000-00007A060000}"/>
    <cellStyle name="40% - Accent5 2 3 5 2 2 2" xfId="27012" xr:uid="{BE4EFEB1-EFFD-4BAA-8887-1D818B46F60D}"/>
    <cellStyle name="40% - Accent5 2 3 5 2 2 3" xfId="35459" xr:uid="{C26880D2-4B67-48A0-A1C4-DF9FD72C35A5}"/>
    <cellStyle name="40% - Accent5 2 3 5 2 2 4" xfId="43906" xr:uid="{52C3AB75-6A8F-4315-A88F-5DF21A7529BC}"/>
    <cellStyle name="40% - Accent5 2 3 5 2 2 5" xfId="17712" xr:uid="{B2E0250D-5FB0-421F-9C9C-DCB5CAB2B10E}"/>
    <cellStyle name="40% - Accent5 2 3 5 2 3" xfId="22795" xr:uid="{0440917C-8383-4FE8-B93C-AD8912869D1D}"/>
    <cellStyle name="40% - Accent5 2 3 5 2 4" xfId="31242" xr:uid="{E0ACB26D-FEC7-4858-8556-2A7AFCA7588C}"/>
    <cellStyle name="40% - Accent5 2 3 5 2 5" xfId="39689" xr:uid="{F47EB089-52FA-4032-AAF0-C2246A3E244C}"/>
    <cellStyle name="40% - Accent5 2 3 5 2 6" xfId="13495" xr:uid="{75A178A5-5276-4887-9401-02D7FA869F9A}"/>
    <cellStyle name="40% - Accent5 2 3 5 3" xfId="6241" xr:uid="{00000000-0005-0000-0000-00007B060000}"/>
    <cellStyle name="40% - Accent5 2 3 5 3 2" xfId="24867" xr:uid="{5F23991F-00C9-4176-92F9-6881A7B92D5C}"/>
    <cellStyle name="40% - Accent5 2 3 5 3 3" xfId="33314" xr:uid="{0E293228-E70D-42C0-821B-88CAD768AA59}"/>
    <cellStyle name="40% - Accent5 2 3 5 3 4" xfId="41761" xr:uid="{E10FE3E1-82DD-4C47-8B8C-885FBCEB1A54}"/>
    <cellStyle name="40% - Accent5 2 3 5 3 5" xfId="15567" xr:uid="{A0F127DB-CB0E-40B3-8A1F-45AF554AE54D}"/>
    <cellStyle name="40% - Accent5 2 3 5 4" xfId="20650" xr:uid="{BD4409D0-BAAC-4180-90C2-55E38825150F}"/>
    <cellStyle name="40% - Accent5 2 3 5 5" xfId="29097" xr:uid="{B0AFE6D1-CFA9-4ECC-9CD9-3554430E22F4}"/>
    <cellStyle name="40% - Accent5 2 3 5 6" xfId="37544" xr:uid="{9E07DEE5-1215-4638-B5EF-32D4FEFE622F}"/>
    <cellStyle name="40% - Accent5 2 3 5 7" xfId="11350" xr:uid="{541C0754-B75D-4658-B64A-165A5BBB0439}"/>
    <cellStyle name="40% - Accent5 2 3 6" xfId="2348" xr:uid="{00000000-0005-0000-0000-00007C060000}"/>
    <cellStyle name="40% - Accent5 2 3 6 2" xfId="6654" xr:uid="{00000000-0005-0000-0000-00007D060000}"/>
    <cellStyle name="40% - Accent5 2 3 6 2 2" xfId="25280" xr:uid="{DA496D83-FDE1-4C17-9A1D-F9C797BE24FE}"/>
    <cellStyle name="40% - Accent5 2 3 6 2 3" xfId="33727" xr:uid="{E5AA7263-9145-43AB-BEC7-FEC1DE11D283}"/>
    <cellStyle name="40% - Accent5 2 3 6 2 4" xfId="42174" xr:uid="{AEEA0E17-B248-461D-BA6A-770282873C70}"/>
    <cellStyle name="40% - Accent5 2 3 6 2 5" xfId="15980" xr:uid="{643DC782-2C45-429F-ABBD-15611B81A01D}"/>
    <cellStyle name="40% - Accent5 2 3 6 3" xfId="21063" xr:uid="{C8ADA6ED-5FD1-4F24-A56F-31BBB22FCD4A}"/>
    <cellStyle name="40% - Accent5 2 3 6 4" xfId="29510" xr:uid="{F0F6ED9F-720A-440F-90E7-A1478C7C3AF1}"/>
    <cellStyle name="40% - Accent5 2 3 6 5" xfId="37957" xr:uid="{AB3DF730-5737-4A0F-BA07-378D4A75055E}"/>
    <cellStyle name="40% - Accent5 2 3 6 6" xfId="11763" xr:uid="{9D9FFE1D-504A-4451-9D09-4E813068A4E3}"/>
    <cellStyle name="40% - Accent5 2 3 7" xfId="4588" xr:uid="{00000000-0005-0000-0000-00007E060000}"/>
    <cellStyle name="40% - Accent5 2 3 7 2" xfId="23214" xr:uid="{CE55CEBA-77C2-44E1-82C1-9A1029EDF155}"/>
    <cellStyle name="40% - Accent5 2 3 7 3" xfId="31661" xr:uid="{C9495C84-B311-4518-86B0-8EC6A4D5C547}"/>
    <cellStyle name="40% - Accent5 2 3 7 4" xfId="40108" xr:uid="{904C0444-EDC2-4A6A-9510-606C2195772D}"/>
    <cellStyle name="40% - Accent5 2 3 7 5" xfId="13914" xr:uid="{C9E8236E-6DEF-4181-94E5-FBB6EEF23D3A}"/>
    <cellStyle name="40% - Accent5 2 3 8" xfId="9009" xr:uid="{DE8B6E41-761F-4ED0-BA8A-00A6A898A2FC}"/>
    <cellStyle name="40% - Accent5 2 3 8 2" xfId="18333" xr:uid="{00BD48A0-BDF7-4DA9-B0A4-77AB7874ED45}"/>
    <cellStyle name="40% - Accent5 2 3 9" xfId="18997" xr:uid="{75EBF142-13E5-458B-9597-2E36C24D0B25}"/>
    <cellStyle name="40% - Accent5 2 4" xfId="651" xr:uid="{00000000-0005-0000-0000-00007F060000}"/>
    <cellStyle name="40% - Accent5 2 4 2" xfId="2922" xr:uid="{00000000-0005-0000-0000-000080060000}"/>
    <cellStyle name="40% - Accent5 2 4 2 2" xfId="7144" xr:uid="{00000000-0005-0000-0000-000081060000}"/>
    <cellStyle name="40% - Accent5 2 4 2 2 2" xfId="25770" xr:uid="{9EE16847-5FFA-4D32-9CD2-1FC49AC79E40}"/>
    <cellStyle name="40% - Accent5 2 4 2 2 3" xfId="34217" xr:uid="{A2F50F2A-36C4-44C4-B029-7EB17184956D}"/>
    <cellStyle name="40% - Accent5 2 4 2 2 4" xfId="42664" xr:uid="{CBB3642A-B4A2-445D-9349-D54FAD395767}"/>
    <cellStyle name="40% - Accent5 2 4 2 2 5" xfId="16470" xr:uid="{42A58250-8E06-457F-A9ED-8F6CCF0E9EF7}"/>
    <cellStyle name="40% - Accent5 2 4 2 3" xfId="21553" xr:uid="{191CD859-2BBC-46D3-A390-5C2CCBE21B3C}"/>
    <cellStyle name="40% - Accent5 2 4 2 4" xfId="30000" xr:uid="{C93DE01B-867B-48EB-8798-A5AD49C4AF2B}"/>
    <cellStyle name="40% - Accent5 2 4 2 5" xfId="38447" xr:uid="{058FC4BC-E796-4B15-868C-FC5DEFCE3BBC}"/>
    <cellStyle name="40% - Accent5 2 4 2 6" xfId="12253" xr:uid="{1E7FCFFD-4420-488D-9883-16BCB4882ADC}"/>
    <cellStyle name="40% - Accent5 2 4 3" xfId="4999" xr:uid="{00000000-0005-0000-0000-000082060000}"/>
    <cellStyle name="40% - Accent5 2 4 3 2" xfId="23625" xr:uid="{ECCFC662-3B56-4C74-B7D1-20F499CDA921}"/>
    <cellStyle name="40% - Accent5 2 4 3 3" xfId="32072" xr:uid="{B33C7601-C39E-469D-9915-57028F80F5A3}"/>
    <cellStyle name="40% - Accent5 2 4 3 4" xfId="40519" xr:uid="{FA16D144-3733-49C5-8981-57EADD8AB55D}"/>
    <cellStyle name="40% - Accent5 2 4 3 5" xfId="14325" xr:uid="{DB91BAFE-7619-49C7-9C49-38A06E40A0D5}"/>
    <cellStyle name="40% - Accent5 2 4 4" xfId="9226" xr:uid="{6A688709-D29B-458C-973B-231279FAFEF5}"/>
    <cellStyle name="40% - Accent5 2 4 4 2" xfId="18543" xr:uid="{0B849D7E-CD8F-4655-9A6B-3C0868B1E0C9}"/>
    <cellStyle name="40% - Accent5 2 4 5" xfId="19408" xr:uid="{6D44C253-7CB2-48F8-B379-E63A85A63BAD}"/>
    <cellStyle name="40% - Accent5 2 4 6" xfId="27855" xr:uid="{F614BDA6-AC2E-4E4E-BFFE-7219D3BE12A1}"/>
    <cellStyle name="40% - Accent5 2 4 7" xfId="36302" xr:uid="{411BE9FD-C2DE-47E9-8410-AAE59B4BA236}"/>
    <cellStyle name="40% - Accent5 2 4 8" xfId="10108" xr:uid="{E0799609-3B9A-4479-8979-D06262576CC3}"/>
    <cellStyle name="40% - Accent5 2 5" xfId="1104" xr:uid="{00000000-0005-0000-0000-000083060000}"/>
    <cellStyle name="40% - Accent5 2 5 2" xfId="3335" xr:uid="{00000000-0005-0000-0000-000084060000}"/>
    <cellStyle name="40% - Accent5 2 5 2 2" xfId="7557" xr:uid="{00000000-0005-0000-0000-000085060000}"/>
    <cellStyle name="40% - Accent5 2 5 2 2 2" xfId="26183" xr:uid="{E5397001-46C9-432E-9E15-71B2952A0FF6}"/>
    <cellStyle name="40% - Accent5 2 5 2 2 3" xfId="34630" xr:uid="{15976478-9EDF-465F-AA9E-E949808DF3DD}"/>
    <cellStyle name="40% - Accent5 2 5 2 2 4" xfId="43077" xr:uid="{23804A0F-1288-4861-9679-FD818FB7D002}"/>
    <cellStyle name="40% - Accent5 2 5 2 2 5" xfId="16883" xr:uid="{D0960855-5EF2-4E8D-BBB0-EB96BEFB0B95}"/>
    <cellStyle name="40% - Accent5 2 5 2 3" xfId="21966" xr:uid="{DC3BD797-6020-422F-9BEC-D15349B2292E}"/>
    <cellStyle name="40% - Accent5 2 5 2 4" xfId="30413" xr:uid="{9476E020-F859-43E6-B317-A1C474EE606D}"/>
    <cellStyle name="40% - Accent5 2 5 2 5" xfId="38860" xr:uid="{CC54D62C-8B30-4FCA-8EDB-51A01F2DBA87}"/>
    <cellStyle name="40% - Accent5 2 5 2 6" xfId="12666" xr:uid="{D838D38D-62DE-48F3-8D37-5B35CCF8B7ED}"/>
    <cellStyle name="40% - Accent5 2 5 3" xfId="5412" xr:uid="{00000000-0005-0000-0000-000086060000}"/>
    <cellStyle name="40% - Accent5 2 5 3 2" xfId="24038" xr:uid="{AE2CD729-ADED-4C18-9130-2F18269D61CB}"/>
    <cellStyle name="40% - Accent5 2 5 3 3" xfId="32485" xr:uid="{616D64D4-E9AF-414C-A478-B40D5A062D0F}"/>
    <cellStyle name="40% - Accent5 2 5 3 4" xfId="40932" xr:uid="{CB3950D0-0B8F-47DC-B9FC-3A90AAFEF501}"/>
    <cellStyle name="40% - Accent5 2 5 3 5" xfId="14738" xr:uid="{548F4D5E-68A7-4A86-B1EF-47C9A06DC198}"/>
    <cellStyle name="40% - Accent5 2 5 4" xfId="19821" xr:uid="{73F820C6-F377-4E68-81BD-CCB1FB7A9E61}"/>
    <cellStyle name="40% - Accent5 2 5 5" xfId="28268" xr:uid="{49D06FD6-20C5-40E7-870E-1F654E123828}"/>
    <cellStyle name="40% - Accent5 2 5 6" xfId="36715" xr:uid="{1B6032AB-9070-4937-A96B-99217A9CFA60}"/>
    <cellStyle name="40% - Accent5 2 5 7" xfId="10521" xr:uid="{75293ED5-E9B2-4506-A2A2-EDB56A860802}"/>
    <cellStyle name="40% - Accent5 2 6" xfId="1518" xr:uid="{00000000-0005-0000-0000-000087060000}"/>
    <cellStyle name="40% - Accent5 2 6 2" xfId="3748" xr:uid="{00000000-0005-0000-0000-000088060000}"/>
    <cellStyle name="40% - Accent5 2 6 2 2" xfId="7970" xr:uid="{00000000-0005-0000-0000-000089060000}"/>
    <cellStyle name="40% - Accent5 2 6 2 2 2" xfId="26596" xr:uid="{5CEA1CDF-98F2-46DD-B6FF-02435E9D8F0A}"/>
    <cellStyle name="40% - Accent5 2 6 2 2 3" xfId="35043" xr:uid="{2DBE050D-B099-43BF-B9D9-E1CA14CCB589}"/>
    <cellStyle name="40% - Accent5 2 6 2 2 4" xfId="43490" xr:uid="{43F0D01E-8F47-4309-A869-92D50003EB66}"/>
    <cellStyle name="40% - Accent5 2 6 2 2 5" xfId="17296" xr:uid="{E6109B08-0A7A-48A2-B0CD-9E4F5C24357D}"/>
    <cellStyle name="40% - Accent5 2 6 2 3" xfId="22379" xr:uid="{E6CD28FA-718D-4EC6-8ECA-0BDAD04CA9BB}"/>
    <cellStyle name="40% - Accent5 2 6 2 4" xfId="30826" xr:uid="{531DBCFF-1EC5-4A5A-89BB-A398719D312A}"/>
    <cellStyle name="40% - Accent5 2 6 2 5" xfId="39273" xr:uid="{4A0BFE32-B273-4CE8-B59E-3A88E2360F2E}"/>
    <cellStyle name="40% - Accent5 2 6 2 6" xfId="13079" xr:uid="{54A1BA4C-0FC6-43DB-9472-00274BD508F5}"/>
    <cellStyle name="40% - Accent5 2 6 3" xfId="5825" xr:uid="{00000000-0005-0000-0000-00008A060000}"/>
    <cellStyle name="40% - Accent5 2 6 3 2" xfId="24451" xr:uid="{13CF8484-D179-4F84-B044-52BB98B320A6}"/>
    <cellStyle name="40% - Accent5 2 6 3 3" xfId="32898" xr:uid="{64FC8E4D-0CE1-4E85-8017-709CB98D407A}"/>
    <cellStyle name="40% - Accent5 2 6 3 4" xfId="41345" xr:uid="{F484A5FB-169C-4166-A4BE-5EC792295374}"/>
    <cellStyle name="40% - Accent5 2 6 3 5" xfId="15151" xr:uid="{4A94ECA2-176B-4E8A-8A24-C8FAA7619982}"/>
    <cellStyle name="40% - Accent5 2 6 4" xfId="20234" xr:uid="{8C274DB8-5E89-41BA-BCF6-228E7899216B}"/>
    <cellStyle name="40% - Accent5 2 6 5" xfId="28681" xr:uid="{8EF6CF27-2B97-426C-AC7D-839955BBFD0F}"/>
    <cellStyle name="40% - Accent5 2 6 6" xfId="37128" xr:uid="{89356476-6BC3-45B3-9273-30F626FF7567}"/>
    <cellStyle name="40% - Accent5 2 6 7" xfId="10934" xr:uid="{BB5E7E32-573B-4BC8-A177-347C70CE4DE5}"/>
    <cellStyle name="40% - Accent5 2 7" xfId="1932" xr:uid="{00000000-0005-0000-0000-00008B060000}"/>
    <cellStyle name="40% - Accent5 2 7 2" xfId="4161" xr:uid="{00000000-0005-0000-0000-00008C060000}"/>
    <cellStyle name="40% - Accent5 2 7 2 2" xfId="8383" xr:uid="{00000000-0005-0000-0000-00008D060000}"/>
    <cellStyle name="40% - Accent5 2 7 2 2 2" xfId="27009" xr:uid="{27C6D9BC-9173-4886-A0DE-062E028E434C}"/>
    <cellStyle name="40% - Accent5 2 7 2 2 3" xfId="35456" xr:uid="{08FC1691-D25B-4F2D-BB20-B4E59C06BBF7}"/>
    <cellStyle name="40% - Accent5 2 7 2 2 4" xfId="43903" xr:uid="{79A40342-DC12-4651-8D55-650485A13A0F}"/>
    <cellStyle name="40% - Accent5 2 7 2 2 5" xfId="17709" xr:uid="{C27ABAA1-C1A9-4E25-9038-9A8EBD0DADAC}"/>
    <cellStyle name="40% - Accent5 2 7 2 3" xfId="22792" xr:uid="{DE7E79A2-5FBB-410E-A022-3D0985B5215F}"/>
    <cellStyle name="40% - Accent5 2 7 2 4" xfId="31239" xr:uid="{5578823F-02F2-4864-B183-C941B710D489}"/>
    <cellStyle name="40% - Accent5 2 7 2 5" xfId="39686" xr:uid="{8D95840A-4923-4897-A400-EBBB8F58E21E}"/>
    <cellStyle name="40% - Accent5 2 7 2 6" xfId="13492" xr:uid="{7A1347F2-7622-4DC2-9270-AF999A3A3DF8}"/>
    <cellStyle name="40% - Accent5 2 7 3" xfId="6238" xr:uid="{00000000-0005-0000-0000-00008E060000}"/>
    <cellStyle name="40% - Accent5 2 7 3 2" xfId="24864" xr:uid="{27B137EF-8223-49C4-B10B-742629F38264}"/>
    <cellStyle name="40% - Accent5 2 7 3 3" xfId="33311" xr:uid="{F50F89B1-3B5A-474C-AB5A-606FDB1ECA3D}"/>
    <cellStyle name="40% - Accent5 2 7 3 4" xfId="41758" xr:uid="{6452536B-1046-4120-A5DB-CAED2781AB0F}"/>
    <cellStyle name="40% - Accent5 2 7 3 5" xfId="15564" xr:uid="{468A4BB1-06DC-4A86-AC26-DB9F92D5014F}"/>
    <cellStyle name="40% - Accent5 2 7 4" xfId="20647" xr:uid="{EFF3A2CD-CBE3-4FFE-A5C9-A0A9A5A4A1DF}"/>
    <cellStyle name="40% - Accent5 2 7 5" xfId="29094" xr:uid="{827510B1-AE01-4386-B958-7C43C0E22699}"/>
    <cellStyle name="40% - Accent5 2 7 6" xfId="37541" xr:uid="{B16AAA41-5700-49BB-AF04-66E411231092}"/>
    <cellStyle name="40% - Accent5 2 7 7" xfId="11347" xr:uid="{CBA25FE2-B39E-41A3-BA0E-4370FCFEE67B}"/>
    <cellStyle name="40% - Accent5 2 8" xfId="2345" xr:uid="{00000000-0005-0000-0000-00008F060000}"/>
    <cellStyle name="40% - Accent5 2 8 2" xfId="6651" xr:uid="{00000000-0005-0000-0000-000090060000}"/>
    <cellStyle name="40% - Accent5 2 8 2 2" xfId="25277" xr:uid="{8A28C8B5-D981-415E-9EC5-23A902180195}"/>
    <cellStyle name="40% - Accent5 2 8 2 3" xfId="33724" xr:uid="{EA91DAED-6C32-4488-B966-382E62C8DBE5}"/>
    <cellStyle name="40% - Accent5 2 8 2 4" xfId="42171" xr:uid="{04B49F6C-B27B-4436-A82E-B89F4CFE890C}"/>
    <cellStyle name="40% - Accent5 2 8 2 5" xfId="15977" xr:uid="{151545C9-9A7F-4DC0-8396-474B32B810AE}"/>
    <cellStyle name="40% - Accent5 2 8 3" xfId="21060" xr:uid="{83F01A55-8BC9-46CA-92B6-769529ABC4BD}"/>
    <cellStyle name="40% - Accent5 2 8 4" xfId="29507" xr:uid="{EBE40CFD-C1C9-4BB8-A9EF-DA8E96BD7431}"/>
    <cellStyle name="40% - Accent5 2 8 5" xfId="37954" xr:uid="{4B7DC6C6-855B-4699-B28C-553009CA6584}"/>
    <cellStyle name="40% - Accent5 2 8 6" xfId="11760" xr:uid="{1780DA68-6F8C-4117-AD1A-429E559C378B}"/>
    <cellStyle name="40% - Accent5 2 9" xfId="4585" xr:uid="{00000000-0005-0000-0000-000091060000}"/>
    <cellStyle name="40% - Accent5 2 9 2" xfId="23211" xr:uid="{6F0DE469-8B57-4D25-985B-8663B777D758}"/>
    <cellStyle name="40% - Accent5 2 9 3" xfId="31658" xr:uid="{A7559466-AC12-4F3C-82E0-69E5EE92CB94}"/>
    <cellStyle name="40% - Accent5 2 9 4" xfId="40105" xr:uid="{B9903A38-0846-4216-854B-D7A49818ECF3}"/>
    <cellStyle name="40% - Accent5 2 9 5" xfId="13911" xr:uid="{02728D7F-11F0-4D40-B24E-64974B06A7F2}"/>
    <cellStyle name="40% - Accent5 3" xfId="86" xr:uid="{00000000-0005-0000-0000-000092060000}"/>
    <cellStyle name="40% - Accent5 3 10" xfId="18998" xr:uid="{900AFBA2-871C-4165-99FF-BE4487684ECC}"/>
    <cellStyle name="40% - Accent5 3 11" xfId="27445" xr:uid="{5E799343-68AA-4579-B516-8AC3A0125788}"/>
    <cellStyle name="40% - Accent5 3 12" xfId="35892" xr:uid="{6F1C4888-BB0F-47CF-AE7E-6E13E7F348F4}"/>
    <cellStyle name="40% - Accent5 3 13" xfId="9698" xr:uid="{F9BFDA5A-C011-4DDF-B390-F1C0BE603CDE}"/>
    <cellStyle name="40% - Accent5 3 2" xfId="87" xr:uid="{00000000-0005-0000-0000-000093060000}"/>
    <cellStyle name="40% - Accent5 3 2 10" xfId="27446" xr:uid="{75153B41-18DB-44E6-9976-CAA868609B20}"/>
    <cellStyle name="40% - Accent5 3 2 11" xfId="35893" xr:uid="{10EF5A47-915B-402D-8972-F2AB4704FF1A}"/>
    <cellStyle name="40% - Accent5 3 2 12" xfId="9699" xr:uid="{C3FC49DF-08A0-4933-84C7-F7E6AA5B5ABB}"/>
    <cellStyle name="40% - Accent5 3 2 2" xfId="656" xr:uid="{00000000-0005-0000-0000-000094060000}"/>
    <cellStyle name="40% - Accent5 3 2 2 2" xfId="2927" xr:uid="{00000000-0005-0000-0000-000095060000}"/>
    <cellStyle name="40% - Accent5 3 2 2 2 2" xfId="7149" xr:uid="{00000000-0005-0000-0000-000096060000}"/>
    <cellStyle name="40% - Accent5 3 2 2 2 2 2" xfId="25775" xr:uid="{C02093E1-4F4C-4BBE-B5D9-E04A6C172458}"/>
    <cellStyle name="40% - Accent5 3 2 2 2 2 3" xfId="34222" xr:uid="{CCD29506-A1ED-49A6-A188-792715AEE4B3}"/>
    <cellStyle name="40% - Accent5 3 2 2 2 2 4" xfId="42669" xr:uid="{8ED48647-E286-476F-8740-6F29AF6166C5}"/>
    <cellStyle name="40% - Accent5 3 2 2 2 2 5" xfId="16475" xr:uid="{CE00CCA5-8009-498F-9B09-73052D49BB5D}"/>
    <cellStyle name="40% - Accent5 3 2 2 2 3" xfId="21558" xr:uid="{BD769125-9E5B-4E2F-8F9D-FED3349F2B04}"/>
    <cellStyle name="40% - Accent5 3 2 2 2 4" xfId="30005" xr:uid="{ABBB8890-A5A6-47C5-B76B-EED90F6F3227}"/>
    <cellStyle name="40% - Accent5 3 2 2 2 5" xfId="38452" xr:uid="{73559DC9-6962-4EDD-8AFF-18E09C35E0EB}"/>
    <cellStyle name="40% - Accent5 3 2 2 2 6" xfId="12258" xr:uid="{ECB87A1E-3667-4694-A8AA-A189CD2B4237}"/>
    <cellStyle name="40% - Accent5 3 2 2 3" xfId="5004" xr:uid="{00000000-0005-0000-0000-000097060000}"/>
    <cellStyle name="40% - Accent5 3 2 2 3 2" xfId="23630" xr:uid="{42F5ADC9-7DC0-4958-8B52-299561F70D0F}"/>
    <cellStyle name="40% - Accent5 3 2 2 3 3" xfId="32077" xr:uid="{4BC95859-45EC-4D0B-A5D9-2729989A7355}"/>
    <cellStyle name="40% - Accent5 3 2 2 3 4" xfId="40524" xr:uid="{5401D237-4CF5-443B-A640-F0CFA529B3D9}"/>
    <cellStyle name="40% - Accent5 3 2 2 3 5" xfId="14330" xr:uid="{9EDFB437-1FB7-4FA6-865D-10997F371D97}"/>
    <cellStyle name="40% - Accent5 3 2 2 4" xfId="9502" xr:uid="{96903B0D-DCFE-4149-8088-461BCB03A73B}"/>
    <cellStyle name="40% - Accent5 3 2 2 4 2" xfId="18818" xr:uid="{E7A57F5D-C602-4ABE-B65A-292A6D867134}"/>
    <cellStyle name="40% - Accent5 3 2 2 5" xfId="19413" xr:uid="{B22F27F1-DACF-4496-9094-76EDD4047A67}"/>
    <cellStyle name="40% - Accent5 3 2 2 6" xfId="27860" xr:uid="{6395E846-3BAE-4B39-B507-AB53720B1802}"/>
    <cellStyle name="40% - Accent5 3 2 2 7" xfId="36307" xr:uid="{C16DBAA3-9246-4427-BFAE-72574FBC8413}"/>
    <cellStyle name="40% - Accent5 3 2 2 8" xfId="10113" xr:uid="{DA61B7EE-240B-4F01-A624-74C539125AC5}"/>
    <cellStyle name="40% - Accent5 3 2 3" xfId="1109" xr:uid="{00000000-0005-0000-0000-000098060000}"/>
    <cellStyle name="40% - Accent5 3 2 3 2" xfId="3340" xr:uid="{00000000-0005-0000-0000-000099060000}"/>
    <cellStyle name="40% - Accent5 3 2 3 2 2" xfId="7562" xr:uid="{00000000-0005-0000-0000-00009A060000}"/>
    <cellStyle name="40% - Accent5 3 2 3 2 2 2" xfId="26188" xr:uid="{ED0383FA-EBE6-45D5-9BBE-54ACDA8CCD6F}"/>
    <cellStyle name="40% - Accent5 3 2 3 2 2 3" xfId="34635" xr:uid="{BA98C6AD-B787-4743-8A4F-DEBE2A0D6063}"/>
    <cellStyle name="40% - Accent5 3 2 3 2 2 4" xfId="43082" xr:uid="{DB79649E-967F-4F8E-8EB8-D00077B10746}"/>
    <cellStyle name="40% - Accent5 3 2 3 2 2 5" xfId="16888" xr:uid="{94E0998B-5063-4978-A00E-10C7B6ED0EDE}"/>
    <cellStyle name="40% - Accent5 3 2 3 2 3" xfId="21971" xr:uid="{CD5F9984-883A-46CB-8DB5-86B16FCA550A}"/>
    <cellStyle name="40% - Accent5 3 2 3 2 4" xfId="30418" xr:uid="{FAA9C4DB-34A9-4AE1-8525-0ADBFBB79DE2}"/>
    <cellStyle name="40% - Accent5 3 2 3 2 5" xfId="38865" xr:uid="{94C437F8-C5DD-41DF-92E5-796A8016A050}"/>
    <cellStyle name="40% - Accent5 3 2 3 2 6" xfId="12671" xr:uid="{C4AE2B13-0D36-4188-AE61-0E1A01CDB280}"/>
    <cellStyle name="40% - Accent5 3 2 3 3" xfId="5417" xr:uid="{00000000-0005-0000-0000-00009B060000}"/>
    <cellStyle name="40% - Accent5 3 2 3 3 2" xfId="24043" xr:uid="{3EB79AD0-3040-4455-B244-D0E8ED6ADF28}"/>
    <cellStyle name="40% - Accent5 3 2 3 3 3" xfId="32490" xr:uid="{40C1287C-38B1-4B2A-ADC2-F91FBA5A7F7F}"/>
    <cellStyle name="40% - Accent5 3 2 3 3 4" xfId="40937" xr:uid="{F3322E21-D970-4205-99F4-C3AEB4D4405A}"/>
    <cellStyle name="40% - Accent5 3 2 3 3 5" xfId="14743" xr:uid="{C4189B63-6343-47E6-9D58-90B60B6A1F97}"/>
    <cellStyle name="40% - Accent5 3 2 3 4" xfId="19826" xr:uid="{3E6E01D0-93FA-49BA-A24A-420A662A3A57}"/>
    <cellStyle name="40% - Accent5 3 2 3 5" xfId="28273" xr:uid="{59391055-D80B-4D55-AEDE-ECEF84A96BF5}"/>
    <cellStyle name="40% - Accent5 3 2 3 6" xfId="36720" xr:uid="{E1BEB2E2-1CF8-4BCC-BB66-2B2D817C892C}"/>
    <cellStyle name="40% - Accent5 3 2 3 7" xfId="10526" xr:uid="{A1C32845-673A-4376-A201-8886DA03E4A5}"/>
    <cellStyle name="40% - Accent5 3 2 4" xfId="1523" xr:uid="{00000000-0005-0000-0000-00009C060000}"/>
    <cellStyle name="40% - Accent5 3 2 4 2" xfId="3753" xr:uid="{00000000-0005-0000-0000-00009D060000}"/>
    <cellStyle name="40% - Accent5 3 2 4 2 2" xfId="7975" xr:uid="{00000000-0005-0000-0000-00009E060000}"/>
    <cellStyle name="40% - Accent5 3 2 4 2 2 2" xfId="26601" xr:uid="{C5334CE3-2B4A-4AF3-B089-2EBE4F4AC86C}"/>
    <cellStyle name="40% - Accent5 3 2 4 2 2 3" xfId="35048" xr:uid="{24B1FE0C-833D-47B4-8751-3F08D06467B0}"/>
    <cellStyle name="40% - Accent5 3 2 4 2 2 4" xfId="43495" xr:uid="{16FAD59A-24B3-420A-B639-B52645399D02}"/>
    <cellStyle name="40% - Accent5 3 2 4 2 2 5" xfId="17301" xr:uid="{2D9F86C1-E012-454A-9EDE-BD06333DFC6D}"/>
    <cellStyle name="40% - Accent5 3 2 4 2 3" xfId="22384" xr:uid="{38C68C4A-B326-4E31-BA03-FC2D7C8816A6}"/>
    <cellStyle name="40% - Accent5 3 2 4 2 4" xfId="30831" xr:uid="{F0B3DFD3-CDA0-4C65-9ADA-9ADA90C82C34}"/>
    <cellStyle name="40% - Accent5 3 2 4 2 5" xfId="39278" xr:uid="{30818019-B0EA-4F29-BB46-26446DFB7A9D}"/>
    <cellStyle name="40% - Accent5 3 2 4 2 6" xfId="13084" xr:uid="{586A6F1C-34BC-49A6-815E-02721A3DB5B1}"/>
    <cellStyle name="40% - Accent5 3 2 4 3" xfId="5830" xr:uid="{00000000-0005-0000-0000-00009F060000}"/>
    <cellStyle name="40% - Accent5 3 2 4 3 2" xfId="24456" xr:uid="{3F45D946-ED0B-4FAD-8CC8-5A9E574E9422}"/>
    <cellStyle name="40% - Accent5 3 2 4 3 3" xfId="32903" xr:uid="{B904F182-86C6-4520-8519-BEB036F16E0F}"/>
    <cellStyle name="40% - Accent5 3 2 4 3 4" xfId="41350" xr:uid="{FE68AC17-2F2E-448E-A490-C9C6581B2090}"/>
    <cellStyle name="40% - Accent5 3 2 4 3 5" xfId="15156" xr:uid="{2D0ABE24-DDE4-43F9-A5D0-BE41D89A89FC}"/>
    <cellStyle name="40% - Accent5 3 2 4 4" xfId="20239" xr:uid="{FA22E458-E7D6-4261-86B6-230B16EAF460}"/>
    <cellStyle name="40% - Accent5 3 2 4 5" xfId="28686" xr:uid="{3DB8CD5F-08C1-44CC-802E-E31B97713C44}"/>
    <cellStyle name="40% - Accent5 3 2 4 6" xfId="37133" xr:uid="{3333C405-1816-4A28-9ACB-5E8C5401829E}"/>
    <cellStyle name="40% - Accent5 3 2 4 7" xfId="10939" xr:uid="{C90AFAE2-F027-41EA-8A1F-E7F05E0837DC}"/>
    <cellStyle name="40% - Accent5 3 2 5" xfId="1937" xr:uid="{00000000-0005-0000-0000-0000A0060000}"/>
    <cellStyle name="40% - Accent5 3 2 5 2" xfId="4166" xr:uid="{00000000-0005-0000-0000-0000A1060000}"/>
    <cellStyle name="40% - Accent5 3 2 5 2 2" xfId="8388" xr:uid="{00000000-0005-0000-0000-0000A2060000}"/>
    <cellStyle name="40% - Accent5 3 2 5 2 2 2" xfId="27014" xr:uid="{6AC9F0DA-96A1-4176-9F05-1488B28125A8}"/>
    <cellStyle name="40% - Accent5 3 2 5 2 2 3" xfId="35461" xr:uid="{64AB2443-2608-4F03-86FA-F448764A5227}"/>
    <cellStyle name="40% - Accent5 3 2 5 2 2 4" xfId="43908" xr:uid="{CC39015B-11B7-4201-B4C4-BF986A1693B2}"/>
    <cellStyle name="40% - Accent5 3 2 5 2 2 5" xfId="17714" xr:uid="{444F966E-5619-44E9-98E4-A3A21132B4B5}"/>
    <cellStyle name="40% - Accent5 3 2 5 2 3" xfId="22797" xr:uid="{C46E8A4B-5C04-49C2-B945-63DF0E3D10DE}"/>
    <cellStyle name="40% - Accent5 3 2 5 2 4" xfId="31244" xr:uid="{EC8B3272-8FE0-46A9-9480-4DCD43B5B97C}"/>
    <cellStyle name="40% - Accent5 3 2 5 2 5" xfId="39691" xr:uid="{24409D7B-96A9-419E-9090-552B9A39FB8D}"/>
    <cellStyle name="40% - Accent5 3 2 5 2 6" xfId="13497" xr:uid="{E19F3639-0E63-487D-8117-F82914F43A71}"/>
    <cellStyle name="40% - Accent5 3 2 5 3" xfId="6243" xr:uid="{00000000-0005-0000-0000-0000A3060000}"/>
    <cellStyle name="40% - Accent5 3 2 5 3 2" xfId="24869" xr:uid="{D339554A-5E71-4E9F-990D-D8AF5BBFFE81}"/>
    <cellStyle name="40% - Accent5 3 2 5 3 3" xfId="33316" xr:uid="{CA93F6CF-29D4-4FA9-A15B-6D804174AA03}"/>
    <cellStyle name="40% - Accent5 3 2 5 3 4" xfId="41763" xr:uid="{13A74356-6868-415A-9DC5-585CB8F35498}"/>
    <cellStyle name="40% - Accent5 3 2 5 3 5" xfId="15569" xr:uid="{DC353E84-3ADF-4FD4-B669-3ED41BF62F93}"/>
    <cellStyle name="40% - Accent5 3 2 5 4" xfId="20652" xr:uid="{1DB0E3F3-0402-420A-97AF-01487282DB51}"/>
    <cellStyle name="40% - Accent5 3 2 5 5" xfId="29099" xr:uid="{9D65453D-FBB0-4ABD-A85F-7A97ECB96F75}"/>
    <cellStyle name="40% - Accent5 3 2 5 6" xfId="37546" xr:uid="{7A7DE003-B9E1-457A-A1AF-A6479168D44F}"/>
    <cellStyle name="40% - Accent5 3 2 5 7" xfId="11352" xr:uid="{80E42CA9-C928-4381-A09C-142B2F387569}"/>
    <cellStyle name="40% - Accent5 3 2 6" xfId="2350" xr:uid="{00000000-0005-0000-0000-0000A4060000}"/>
    <cellStyle name="40% - Accent5 3 2 6 2" xfId="6656" xr:uid="{00000000-0005-0000-0000-0000A5060000}"/>
    <cellStyle name="40% - Accent5 3 2 6 2 2" xfId="25282" xr:uid="{285928E6-A442-494C-B79A-D85D2DA029E7}"/>
    <cellStyle name="40% - Accent5 3 2 6 2 3" xfId="33729" xr:uid="{27F04D80-8158-496D-8DA2-631FC117648F}"/>
    <cellStyle name="40% - Accent5 3 2 6 2 4" xfId="42176" xr:uid="{51F782BC-1895-47F3-857A-5E8DBEF15263}"/>
    <cellStyle name="40% - Accent5 3 2 6 2 5" xfId="15982" xr:uid="{EFE39A1A-B954-4110-9C3C-4B1D0F55A748}"/>
    <cellStyle name="40% - Accent5 3 2 6 3" xfId="21065" xr:uid="{8149329A-E2AC-4F36-897B-AB3BE125739F}"/>
    <cellStyle name="40% - Accent5 3 2 6 4" xfId="29512" xr:uid="{D5B9151A-8835-4A9D-A328-7E90167EC418}"/>
    <cellStyle name="40% - Accent5 3 2 6 5" xfId="37959" xr:uid="{E67D57E9-A00E-4268-828C-51F48C3DB2A2}"/>
    <cellStyle name="40% - Accent5 3 2 6 6" xfId="11765" xr:uid="{0B74698F-ABEB-4BD1-9A28-89B7428AE55C}"/>
    <cellStyle name="40% - Accent5 3 2 7" xfId="4590" xr:uid="{00000000-0005-0000-0000-0000A6060000}"/>
    <cellStyle name="40% - Accent5 3 2 7 2" xfId="23216" xr:uid="{39F50A77-CFBD-46E5-B06B-8688509DF554}"/>
    <cellStyle name="40% - Accent5 3 2 7 3" xfId="31663" xr:uid="{05286AF7-75BD-4156-A216-3FA8856D9921}"/>
    <cellStyle name="40% - Accent5 3 2 7 4" xfId="40110" xr:uid="{D3CD9CF3-031E-4773-BEBA-0F695E8ED4E8}"/>
    <cellStyle name="40% - Accent5 3 2 7 5" xfId="13916" xr:uid="{9F82BC9E-EB9A-4467-BE1D-BD63994DD70E}"/>
    <cellStyle name="40% - Accent5 3 2 8" xfId="9077" xr:uid="{8842DD15-54E4-487D-B492-3A505722387C}"/>
    <cellStyle name="40% - Accent5 3 2 8 2" xfId="18401" xr:uid="{28782F92-456B-4220-80A7-F0E5E82C6A16}"/>
    <cellStyle name="40% - Accent5 3 2 9" xfId="18999" xr:uid="{CB5006DD-C54D-4A00-BB81-EFF621E14066}"/>
    <cellStyle name="40% - Accent5 3 3" xfId="655" xr:uid="{00000000-0005-0000-0000-0000A7060000}"/>
    <cellStyle name="40% - Accent5 3 3 2" xfId="2926" xr:uid="{00000000-0005-0000-0000-0000A8060000}"/>
    <cellStyle name="40% - Accent5 3 3 2 2" xfId="7148" xr:uid="{00000000-0005-0000-0000-0000A9060000}"/>
    <cellStyle name="40% - Accent5 3 3 2 2 2" xfId="25774" xr:uid="{BB71563C-6BF4-4D90-8A0B-79D2456CEE4C}"/>
    <cellStyle name="40% - Accent5 3 3 2 2 3" xfId="34221" xr:uid="{EC57EDC3-9F1C-4C88-B038-E3AD1BF01AD9}"/>
    <cellStyle name="40% - Accent5 3 3 2 2 4" xfId="42668" xr:uid="{7E2F4C73-9FFB-424F-B769-08C83B46D9F0}"/>
    <cellStyle name="40% - Accent5 3 3 2 2 5" xfId="16474" xr:uid="{2754D3EF-D24B-49C5-A71B-848575FF0844}"/>
    <cellStyle name="40% - Accent5 3 3 2 3" xfId="21557" xr:uid="{DD145D60-4369-4245-82E4-AE5D371B0FC8}"/>
    <cellStyle name="40% - Accent5 3 3 2 4" xfId="30004" xr:uid="{F6199C5B-EB1C-4EE3-BA34-7477E3AF764D}"/>
    <cellStyle name="40% - Accent5 3 3 2 5" xfId="38451" xr:uid="{1A0D8769-DD83-4771-A193-47D13EBDC83A}"/>
    <cellStyle name="40% - Accent5 3 3 2 6" xfId="12257" xr:uid="{D4E4D29F-9ABB-40E5-B8A1-A1C95590D653}"/>
    <cellStyle name="40% - Accent5 3 3 3" xfId="5003" xr:uid="{00000000-0005-0000-0000-0000AA060000}"/>
    <cellStyle name="40% - Accent5 3 3 3 2" xfId="23629" xr:uid="{43E4CF56-9768-4A1E-9736-9CDA7519B52C}"/>
    <cellStyle name="40% - Accent5 3 3 3 3" xfId="32076" xr:uid="{8BA37051-4CBA-4E88-AF05-DB8445570079}"/>
    <cellStyle name="40% - Accent5 3 3 3 4" xfId="40523" xr:uid="{6679195A-1705-4649-9ACD-950A5B3A51FC}"/>
    <cellStyle name="40% - Accent5 3 3 3 5" xfId="14329" xr:uid="{00B66DD4-B56E-4941-8370-07808B6B0337}"/>
    <cellStyle name="40% - Accent5 3 3 4" xfId="9295" xr:uid="{0D42C89E-252E-426A-8E1F-7D3AD6B9FE55}"/>
    <cellStyle name="40% - Accent5 3 3 4 2" xfId="18611" xr:uid="{71F2CF9D-ED34-4199-A6E7-9A4E08001D38}"/>
    <cellStyle name="40% - Accent5 3 3 5" xfId="19412" xr:uid="{BE4310AA-D889-45B1-9744-D2D80CDD8C3E}"/>
    <cellStyle name="40% - Accent5 3 3 6" xfId="27859" xr:uid="{1B389243-5816-4CBC-A5FB-167C6DE78B10}"/>
    <cellStyle name="40% - Accent5 3 3 7" xfId="36306" xr:uid="{50B05114-8B56-4D2E-80E8-8CB86C4F3CF0}"/>
    <cellStyle name="40% - Accent5 3 3 8" xfId="10112" xr:uid="{0F556AEB-1C6E-4204-866A-BA72AD7475F3}"/>
    <cellStyle name="40% - Accent5 3 4" xfId="1108" xr:uid="{00000000-0005-0000-0000-0000AB060000}"/>
    <cellStyle name="40% - Accent5 3 4 2" xfId="3339" xr:uid="{00000000-0005-0000-0000-0000AC060000}"/>
    <cellStyle name="40% - Accent5 3 4 2 2" xfId="7561" xr:uid="{00000000-0005-0000-0000-0000AD060000}"/>
    <cellStyle name="40% - Accent5 3 4 2 2 2" xfId="26187" xr:uid="{FF1D3612-E7C9-44FA-A62E-1C33C0010EDC}"/>
    <cellStyle name="40% - Accent5 3 4 2 2 3" xfId="34634" xr:uid="{116F2B46-BE8F-45A8-8651-A2E5A31F601E}"/>
    <cellStyle name="40% - Accent5 3 4 2 2 4" xfId="43081" xr:uid="{33301DDA-B903-46D9-9E8A-471C963905E4}"/>
    <cellStyle name="40% - Accent5 3 4 2 2 5" xfId="16887" xr:uid="{E50E2137-1992-445A-B588-CA383C1A5E3B}"/>
    <cellStyle name="40% - Accent5 3 4 2 3" xfId="21970" xr:uid="{7A37D339-C025-4995-BED8-90009391A37D}"/>
    <cellStyle name="40% - Accent5 3 4 2 4" xfId="30417" xr:uid="{11177E9A-08F2-4007-AE7B-C5FD0C18CE60}"/>
    <cellStyle name="40% - Accent5 3 4 2 5" xfId="38864" xr:uid="{BB174B8A-CB7B-4827-9D22-745E2680CCE6}"/>
    <cellStyle name="40% - Accent5 3 4 2 6" xfId="12670" xr:uid="{8932E74F-F040-497A-A69C-7E6DB1F79769}"/>
    <cellStyle name="40% - Accent5 3 4 3" xfId="5416" xr:uid="{00000000-0005-0000-0000-0000AE060000}"/>
    <cellStyle name="40% - Accent5 3 4 3 2" xfId="24042" xr:uid="{EA38C1B7-8B88-444D-AE10-105C9BE83912}"/>
    <cellStyle name="40% - Accent5 3 4 3 3" xfId="32489" xr:uid="{E65AF5B6-8BAF-4EE2-B289-C2941AB8CEF1}"/>
    <cellStyle name="40% - Accent5 3 4 3 4" xfId="40936" xr:uid="{AAD9A954-0CA6-4D8C-B929-C742FED5AA7E}"/>
    <cellStyle name="40% - Accent5 3 4 3 5" xfId="14742" xr:uid="{BE1C2A1D-E48B-4EBA-B763-A383B69BFF38}"/>
    <cellStyle name="40% - Accent5 3 4 4" xfId="19825" xr:uid="{8A9B05DC-2811-4186-8A65-9B81E8CE97AB}"/>
    <cellStyle name="40% - Accent5 3 4 5" xfId="28272" xr:uid="{AA138413-CF4C-4599-95D2-7A707B1B99F6}"/>
    <cellStyle name="40% - Accent5 3 4 6" xfId="36719" xr:uid="{CFEE2A30-365F-4B3E-8DCD-80562C7387B0}"/>
    <cellStyle name="40% - Accent5 3 4 7" xfId="10525" xr:uid="{6AF200BB-4F2B-4C6A-9A99-6663F4BEE5F1}"/>
    <cellStyle name="40% - Accent5 3 5" xfId="1522" xr:uid="{00000000-0005-0000-0000-0000AF060000}"/>
    <cellStyle name="40% - Accent5 3 5 2" xfId="3752" xr:uid="{00000000-0005-0000-0000-0000B0060000}"/>
    <cellStyle name="40% - Accent5 3 5 2 2" xfId="7974" xr:uid="{00000000-0005-0000-0000-0000B1060000}"/>
    <cellStyle name="40% - Accent5 3 5 2 2 2" xfId="26600" xr:uid="{FE8F9608-1B42-473D-8116-EF645290364E}"/>
    <cellStyle name="40% - Accent5 3 5 2 2 3" xfId="35047" xr:uid="{8B724987-5F87-4DDD-8415-482DD52186F8}"/>
    <cellStyle name="40% - Accent5 3 5 2 2 4" xfId="43494" xr:uid="{460B1766-B8C5-4001-91DF-CD156770406E}"/>
    <cellStyle name="40% - Accent5 3 5 2 2 5" xfId="17300" xr:uid="{8FD74A4D-BAF1-4D1A-B7C4-0D2A1F02A975}"/>
    <cellStyle name="40% - Accent5 3 5 2 3" xfId="22383" xr:uid="{D9F847D9-A0DB-472E-A7E9-93E249ACB224}"/>
    <cellStyle name="40% - Accent5 3 5 2 4" xfId="30830" xr:uid="{E16E8EF3-6F9F-4C24-84D3-3BFFC7E4429F}"/>
    <cellStyle name="40% - Accent5 3 5 2 5" xfId="39277" xr:uid="{B65D8AB6-9731-430A-9D6C-DCB895946355}"/>
    <cellStyle name="40% - Accent5 3 5 2 6" xfId="13083" xr:uid="{C0E34B97-21EB-4079-9324-D071BC4747E4}"/>
    <cellStyle name="40% - Accent5 3 5 3" xfId="5829" xr:uid="{00000000-0005-0000-0000-0000B2060000}"/>
    <cellStyle name="40% - Accent5 3 5 3 2" xfId="24455" xr:uid="{8EB53A83-6C0A-47BB-B080-9A643444D088}"/>
    <cellStyle name="40% - Accent5 3 5 3 3" xfId="32902" xr:uid="{67D74414-3D50-4282-B037-7A16BD457BEB}"/>
    <cellStyle name="40% - Accent5 3 5 3 4" xfId="41349" xr:uid="{330F3D25-C167-4163-8143-E56617109416}"/>
    <cellStyle name="40% - Accent5 3 5 3 5" xfId="15155" xr:uid="{3E5306DA-7FB3-47C6-9BD6-500B1992CE1C}"/>
    <cellStyle name="40% - Accent5 3 5 4" xfId="20238" xr:uid="{70028673-16B5-452B-BBFD-37EE3B9B73B9}"/>
    <cellStyle name="40% - Accent5 3 5 5" xfId="28685" xr:uid="{E7350397-8432-4991-B795-5BB763824B59}"/>
    <cellStyle name="40% - Accent5 3 5 6" xfId="37132" xr:uid="{A748A8C6-A2E2-4C44-8ECF-400E70735660}"/>
    <cellStyle name="40% - Accent5 3 5 7" xfId="10938" xr:uid="{E7CA95E9-B6FD-4C13-A84B-727CB6C1DFD7}"/>
    <cellStyle name="40% - Accent5 3 6" xfId="1936" xr:uid="{00000000-0005-0000-0000-0000B3060000}"/>
    <cellStyle name="40% - Accent5 3 6 2" xfId="4165" xr:uid="{00000000-0005-0000-0000-0000B4060000}"/>
    <cellStyle name="40% - Accent5 3 6 2 2" xfId="8387" xr:uid="{00000000-0005-0000-0000-0000B5060000}"/>
    <cellStyle name="40% - Accent5 3 6 2 2 2" xfId="27013" xr:uid="{8045E071-7E38-4FED-9844-A335AC0BD535}"/>
    <cellStyle name="40% - Accent5 3 6 2 2 3" xfId="35460" xr:uid="{A381A2EF-553F-4054-B444-9787B7E2863C}"/>
    <cellStyle name="40% - Accent5 3 6 2 2 4" xfId="43907" xr:uid="{B13C19E9-E79D-4B62-A372-1886EC5CD100}"/>
    <cellStyle name="40% - Accent5 3 6 2 2 5" xfId="17713" xr:uid="{420E4862-9C9C-4268-BD7C-2E6F52978C47}"/>
    <cellStyle name="40% - Accent5 3 6 2 3" xfId="22796" xr:uid="{26435B90-C228-41BF-8E80-B423343D0E92}"/>
    <cellStyle name="40% - Accent5 3 6 2 4" xfId="31243" xr:uid="{0346F57B-8377-4AE1-87A3-11ED68B039AE}"/>
    <cellStyle name="40% - Accent5 3 6 2 5" xfId="39690" xr:uid="{A85AD9BD-A05D-47BC-BB9F-E3D363CD7045}"/>
    <cellStyle name="40% - Accent5 3 6 2 6" xfId="13496" xr:uid="{492A364F-0165-4D17-A754-4B18FEFD37B9}"/>
    <cellStyle name="40% - Accent5 3 6 3" xfId="6242" xr:uid="{00000000-0005-0000-0000-0000B6060000}"/>
    <cellStyle name="40% - Accent5 3 6 3 2" xfId="24868" xr:uid="{196B4A0E-A6CC-403A-BF14-3E38E686AF16}"/>
    <cellStyle name="40% - Accent5 3 6 3 3" xfId="33315" xr:uid="{46DBF844-B5DF-402E-87B9-6ABDCA835FB6}"/>
    <cellStyle name="40% - Accent5 3 6 3 4" xfId="41762" xr:uid="{CB0AB606-A310-447A-929A-34A1A1B53DEB}"/>
    <cellStyle name="40% - Accent5 3 6 3 5" xfId="15568" xr:uid="{C15CF20E-2A01-49BE-8B6F-F240CB4C7094}"/>
    <cellStyle name="40% - Accent5 3 6 4" xfId="20651" xr:uid="{9FFB2A14-531A-4534-B556-F6936C8F925D}"/>
    <cellStyle name="40% - Accent5 3 6 5" xfId="29098" xr:uid="{70F1423C-F075-40B4-9291-1F0B2D55FD4A}"/>
    <cellStyle name="40% - Accent5 3 6 6" xfId="37545" xr:uid="{4CC68315-E43A-46A3-AC3D-A272124737CB}"/>
    <cellStyle name="40% - Accent5 3 6 7" xfId="11351" xr:uid="{33E9BDCC-EA73-44DE-A46D-F519D89A7545}"/>
    <cellStyle name="40% - Accent5 3 7" xfId="2349" xr:uid="{00000000-0005-0000-0000-0000B7060000}"/>
    <cellStyle name="40% - Accent5 3 7 2" xfId="6655" xr:uid="{00000000-0005-0000-0000-0000B8060000}"/>
    <cellStyle name="40% - Accent5 3 7 2 2" xfId="25281" xr:uid="{8B297DEE-875A-4D6B-9B3D-21382B09C79A}"/>
    <cellStyle name="40% - Accent5 3 7 2 3" xfId="33728" xr:uid="{AB712B42-BA6B-4016-BF88-F93496D6A9A1}"/>
    <cellStyle name="40% - Accent5 3 7 2 4" xfId="42175" xr:uid="{3D0A8CFC-2777-4956-914E-E8DF65E60F00}"/>
    <cellStyle name="40% - Accent5 3 7 2 5" xfId="15981" xr:uid="{06E42F41-1C50-4928-B95A-72888CF19DB5}"/>
    <cellStyle name="40% - Accent5 3 7 3" xfId="21064" xr:uid="{AD989C67-6D8C-4EA0-AE9C-30F33944C025}"/>
    <cellStyle name="40% - Accent5 3 7 4" xfId="29511" xr:uid="{6C48E009-CE56-4ADA-A653-B5C4E8BC3E79}"/>
    <cellStyle name="40% - Accent5 3 7 5" xfId="37958" xr:uid="{7E2F2E0D-3EA9-4C0C-B901-294C46D05AEE}"/>
    <cellStyle name="40% - Accent5 3 7 6" xfId="11764" xr:uid="{802B5163-F4A0-4CCF-9552-6B5CB4198636}"/>
    <cellStyle name="40% - Accent5 3 8" xfId="4589" xr:uid="{00000000-0005-0000-0000-0000B9060000}"/>
    <cellStyle name="40% - Accent5 3 8 2" xfId="23215" xr:uid="{DA77A22E-8486-429A-B846-1BE07751AB0F}"/>
    <cellStyle name="40% - Accent5 3 8 3" xfId="31662" xr:uid="{560FBE0E-6B5B-435F-A1EA-951ABE63A4AC}"/>
    <cellStyle name="40% - Accent5 3 8 4" xfId="40109" xr:uid="{AD6F0C11-DC76-44A5-BD3A-46215E10253A}"/>
    <cellStyle name="40% - Accent5 3 8 5" xfId="13915" xr:uid="{A3A271D0-C4F3-4424-BA0B-09455F9EBA75}"/>
    <cellStyle name="40% - Accent5 3 9" xfId="8870" xr:uid="{F7DB5D96-1272-4D48-B3B6-48053CFCBA44}"/>
    <cellStyle name="40% - Accent5 3 9 2" xfId="18194" xr:uid="{714615E0-E204-4F67-8172-7D2FF7001C22}"/>
    <cellStyle name="40% - Accent5 4" xfId="88" xr:uid="{00000000-0005-0000-0000-0000BA060000}"/>
    <cellStyle name="40% - Accent5 4 10" xfId="27447" xr:uid="{27BD3B1D-8BCE-47BF-BCC8-A6FB5FEC874B}"/>
    <cellStyle name="40% - Accent5 4 11" xfId="35894" xr:uid="{015CC8F5-3F04-4A63-A023-DDF03326A07D}"/>
    <cellStyle name="40% - Accent5 4 12" xfId="9700" xr:uid="{EA95F297-D61C-4138-AA52-8F31AD94954F}"/>
    <cellStyle name="40% - Accent5 4 2" xfId="657" xr:uid="{00000000-0005-0000-0000-0000BB060000}"/>
    <cellStyle name="40% - Accent5 4 2 2" xfId="2928" xr:uid="{00000000-0005-0000-0000-0000BC060000}"/>
    <cellStyle name="40% - Accent5 4 2 2 2" xfId="7150" xr:uid="{00000000-0005-0000-0000-0000BD060000}"/>
    <cellStyle name="40% - Accent5 4 2 2 2 2" xfId="25776" xr:uid="{B4D59440-AD53-4757-A6BC-8E0675A3F85C}"/>
    <cellStyle name="40% - Accent5 4 2 2 2 3" xfId="34223" xr:uid="{B233DEB9-A53F-499A-9E5A-E50EF8B2D0CE}"/>
    <cellStyle name="40% - Accent5 4 2 2 2 4" xfId="42670" xr:uid="{40559865-2B00-43A5-87F7-0C7EB2A9DF51}"/>
    <cellStyle name="40% - Accent5 4 2 2 2 5" xfId="16476" xr:uid="{84AAA669-7240-4EF4-AAC5-156B1BE79D41}"/>
    <cellStyle name="40% - Accent5 4 2 2 3" xfId="21559" xr:uid="{5E55CCA5-4E6D-44B9-AAAB-A70E65A570C3}"/>
    <cellStyle name="40% - Accent5 4 2 2 4" xfId="30006" xr:uid="{AFC018DA-AA9E-4116-8348-76AD371B4041}"/>
    <cellStyle name="40% - Accent5 4 2 2 5" xfId="38453" xr:uid="{4C6F271E-0484-4C28-8755-7D9034A95111}"/>
    <cellStyle name="40% - Accent5 4 2 2 6" xfId="12259" xr:uid="{16D976F4-47C4-4F41-B48A-A02C4260090A}"/>
    <cellStyle name="40% - Accent5 4 2 3" xfId="5005" xr:uid="{00000000-0005-0000-0000-0000BE060000}"/>
    <cellStyle name="40% - Accent5 4 2 3 2" xfId="23631" xr:uid="{E4B99032-23B9-46E8-ADBB-E058DB72CC59}"/>
    <cellStyle name="40% - Accent5 4 2 3 3" xfId="32078" xr:uid="{DB050235-CCC6-4B17-B369-59545DB5A493}"/>
    <cellStyle name="40% - Accent5 4 2 3 4" xfId="40525" xr:uid="{DAE7909F-057B-4596-BD06-F827ABA78833}"/>
    <cellStyle name="40% - Accent5 4 2 3 5" xfId="14331" xr:uid="{596BAB62-9CC2-4561-B0D5-A142A62FC9A0}"/>
    <cellStyle name="40% - Accent5 4 2 4" xfId="9381" xr:uid="{6D86932C-AFC4-4FF0-967D-0F56E90E02E1}"/>
    <cellStyle name="40% - Accent5 4 2 4 2" xfId="18697" xr:uid="{82B092CF-A5EE-4781-B6ED-D502C17C4AC0}"/>
    <cellStyle name="40% - Accent5 4 2 5" xfId="19414" xr:uid="{D3B88DDA-5114-4B58-A166-F1493AB2ADC7}"/>
    <cellStyle name="40% - Accent5 4 2 6" xfId="27861" xr:uid="{9CE35573-B850-4004-A864-63FEEA0A347A}"/>
    <cellStyle name="40% - Accent5 4 2 7" xfId="36308" xr:uid="{EA9CADD6-79E1-417D-AFFD-DDFFC5CA525A}"/>
    <cellStyle name="40% - Accent5 4 2 8" xfId="10114" xr:uid="{6D5F4E49-6C74-4CB8-9A1F-48D02C683106}"/>
    <cellStyle name="40% - Accent5 4 3" xfId="1110" xr:uid="{00000000-0005-0000-0000-0000BF060000}"/>
    <cellStyle name="40% - Accent5 4 3 2" xfId="3341" xr:uid="{00000000-0005-0000-0000-0000C0060000}"/>
    <cellStyle name="40% - Accent5 4 3 2 2" xfId="7563" xr:uid="{00000000-0005-0000-0000-0000C1060000}"/>
    <cellStyle name="40% - Accent5 4 3 2 2 2" xfId="26189" xr:uid="{73090A90-A7A9-48E1-AE4E-A9F07253B237}"/>
    <cellStyle name="40% - Accent5 4 3 2 2 3" xfId="34636" xr:uid="{4B8C5A0A-ED3F-4CF6-8A96-4B38CE57DD18}"/>
    <cellStyle name="40% - Accent5 4 3 2 2 4" xfId="43083" xr:uid="{A1D5FC0D-B6CD-4858-9B09-32AF144B3336}"/>
    <cellStyle name="40% - Accent5 4 3 2 2 5" xfId="16889" xr:uid="{6471A883-9F03-455C-B6B4-CF124B8F322D}"/>
    <cellStyle name="40% - Accent5 4 3 2 3" xfId="21972" xr:uid="{638A9708-36C0-4431-B64E-6D22985C19F6}"/>
    <cellStyle name="40% - Accent5 4 3 2 4" xfId="30419" xr:uid="{999B3D4D-3ECD-4132-8B53-B1DB5283E8A5}"/>
    <cellStyle name="40% - Accent5 4 3 2 5" xfId="38866" xr:uid="{BB621862-4E4F-48CE-BF65-AD39A4CFA8C0}"/>
    <cellStyle name="40% - Accent5 4 3 2 6" xfId="12672" xr:uid="{5EBB124C-C031-417B-BE3B-8A7646AE5F95}"/>
    <cellStyle name="40% - Accent5 4 3 3" xfId="5418" xr:uid="{00000000-0005-0000-0000-0000C2060000}"/>
    <cellStyle name="40% - Accent5 4 3 3 2" xfId="24044" xr:uid="{2B37A756-4512-4B0F-9A88-3344E9997E4D}"/>
    <cellStyle name="40% - Accent5 4 3 3 3" xfId="32491" xr:uid="{0C578416-5E9A-48D6-BFDF-A72FEFD2ABBB}"/>
    <cellStyle name="40% - Accent5 4 3 3 4" xfId="40938" xr:uid="{71FDE17C-40D4-4961-B936-E70DC4C888C1}"/>
    <cellStyle name="40% - Accent5 4 3 3 5" xfId="14744" xr:uid="{BE35B822-FB33-4E13-BE26-0BE0A4C1A003}"/>
    <cellStyle name="40% - Accent5 4 3 4" xfId="19827" xr:uid="{FE87A548-2D42-467C-8105-8580A05CCCB1}"/>
    <cellStyle name="40% - Accent5 4 3 5" xfId="28274" xr:uid="{BC0E40D2-FE8C-48F9-99E0-ED646E82DD68}"/>
    <cellStyle name="40% - Accent5 4 3 6" xfId="36721" xr:uid="{44A0F07C-8516-4AD2-815D-AA9DF612C32E}"/>
    <cellStyle name="40% - Accent5 4 3 7" xfId="10527" xr:uid="{35EB259B-DDF0-4E2D-B107-C0E2299F30C7}"/>
    <cellStyle name="40% - Accent5 4 4" xfId="1524" xr:uid="{00000000-0005-0000-0000-0000C3060000}"/>
    <cellStyle name="40% - Accent5 4 4 2" xfId="3754" xr:uid="{00000000-0005-0000-0000-0000C4060000}"/>
    <cellStyle name="40% - Accent5 4 4 2 2" xfId="7976" xr:uid="{00000000-0005-0000-0000-0000C5060000}"/>
    <cellStyle name="40% - Accent5 4 4 2 2 2" xfId="26602" xr:uid="{C93C334A-F0FE-49CA-85D9-B58D42A20399}"/>
    <cellStyle name="40% - Accent5 4 4 2 2 3" xfId="35049" xr:uid="{BF67B546-C609-428A-8A0A-E859CA018905}"/>
    <cellStyle name="40% - Accent5 4 4 2 2 4" xfId="43496" xr:uid="{1BEAC8B0-1CAE-4963-A75F-8DD02747DD23}"/>
    <cellStyle name="40% - Accent5 4 4 2 2 5" xfId="17302" xr:uid="{E9DD84C9-05D3-4382-8342-3720A395B376}"/>
    <cellStyle name="40% - Accent5 4 4 2 3" xfId="22385" xr:uid="{46F7DE7D-4F94-4F19-A1A3-E2EC6E0D2EDB}"/>
    <cellStyle name="40% - Accent5 4 4 2 4" xfId="30832" xr:uid="{C9A936C7-5FA9-4787-81E8-91C4F270FE86}"/>
    <cellStyle name="40% - Accent5 4 4 2 5" xfId="39279" xr:uid="{CFB6B698-BBEC-462C-B746-76F9386115AF}"/>
    <cellStyle name="40% - Accent5 4 4 2 6" xfId="13085" xr:uid="{65471B26-9244-4F4C-BB65-0C663302FD7F}"/>
    <cellStyle name="40% - Accent5 4 4 3" xfId="5831" xr:uid="{00000000-0005-0000-0000-0000C6060000}"/>
    <cellStyle name="40% - Accent5 4 4 3 2" xfId="24457" xr:uid="{C9A6E1EF-225F-4153-B415-8C05A36F49BE}"/>
    <cellStyle name="40% - Accent5 4 4 3 3" xfId="32904" xr:uid="{AA1BB4E5-69D7-42BE-80A6-CDEAF1A92327}"/>
    <cellStyle name="40% - Accent5 4 4 3 4" xfId="41351" xr:uid="{07CF214A-C37A-4235-AD82-FBF6D00094CA}"/>
    <cellStyle name="40% - Accent5 4 4 3 5" xfId="15157" xr:uid="{A2E02F03-03BC-4F91-AC3F-52226366A31E}"/>
    <cellStyle name="40% - Accent5 4 4 4" xfId="20240" xr:uid="{8E59ADFD-6F6A-49E1-887C-64C2EBA72E70}"/>
    <cellStyle name="40% - Accent5 4 4 5" xfId="28687" xr:uid="{C1C4DB56-061E-44C4-943B-38174E6810A5}"/>
    <cellStyle name="40% - Accent5 4 4 6" xfId="37134" xr:uid="{F681A06F-52B6-49D1-8335-90B5235B35A6}"/>
    <cellStyle name="40% - Accent5 4 4 7" xfId="10940" xr:uid="{0866FD55-C23B-49A5-8FF7-D7036166C8DC}"/>
    <cellStyle name="40% - Accent5 4 5" xfId="1938" xr:uid="{00000000-0005-0000-0000-0000C7060000}"/>
    <cellStyle name="40% - Accent5 4 5 2" xfId="4167" xr:uid="{00000000-0005-0000-0000-0000C8060000}"/>
    <cellStyle name="40% - Accent5 4 5 2 2" xfId="8389" xr:uid="{00000000-0005-0000-0000-0000C9060000}"/>
    <cellStyle name="40% - Accent5 4 5 2 2 2" xfId="27015" xr:uid="{89F7271A-A656-40E2-8AE5-02949E61CB43}"/>
    <cellStyle name="40% - Accent5 4 5 2 2 3" xfId="35462" xr:uid="{C71414B1-436C-4F09-A880-FC38887E2932}"/>
    <cellStyle name="40% - Accent5 4 5 2 2 4" xfId="43909" xr:uid="{A17A0083-0399-46ED-9996-7848D628D521}"/>
    <cellStyle name="40% - Accent5 4 5 2 2 5" xfId="17715" xr:uid="{B28BB109-4EE1-4C81-933A-04020C1F64BD}"/>
    <cellStyle name="40% - Accent5 4 5 2 3" xfId="22798" xr:uid="{B886532F-346F-413F-95A7-8187EFF9ED0D}"/>
    <cellStyle name="40% - Accent5 4 5 2 4" xfId="31245" xr:uid="{525B08DD-575F-43C7-9155-34FC08D3DF27}"/>
    <cellStyle name="40% - Accent5 4 5 2 5" xfId="39692" xr:uid="{2502154B-101F-4BBC-9D11-9229D693DC87}"/>
    <cellStyle name="40% - Accent5 4 5 2 6" xfId="13498" xr:uid="{C9C9C763-C82C-4CD7-9756-96EA0A1FBF23}"/>
    <cellStyle name="40% - Accent5 4 5 3" xfId="6244" xr:uid="{00000000-0005-0000-0000-0000CA060000}"/>
    <cellStyle name="40% - Accent5 4 5 3 2" xfId="24870" xr:uid="{A6A76C7A-2C0D-4141-A7F0-C8E4840346E9}"/>
    <cellStyle name="40% - Accent5 4 5 3 3" xfId="33317" xr:uid="{81BE1E8C-6622-4E4D-8499-26BF2CD8E1A3}"/>
    <cellStyle name="40% - Accent5 4 5 3 4" xfId="41764" xr:uid="{2CBF12F4-43AA-40F5-87B1-4342EEA870ED}"/>
    <cellStyle name="40% - Accent5 4 5 3 5" xfId="15570" xr:uid="{F27DDF97-B4C7-4FF7-9C2C-4E9013FD47F9}"/>
    <cellStyle name="40% - Accent5 4 5 4" xfId="20653" xr:uid="{74784A86-35F6-4CA6-BC2B-13707AED5DC5}"/>
    <cellStyle name="40% - Accent5 4 5 5" xfId="29100" xr:uid="{1EB42614-6F80-4ACD-B24F-8C90E4C0550B}"/>
    <cellStyle name="40% - Accent5 4 5 6" xfId="37547" xr:uid="{DAF546DF-F1D5-42C8-8115-9B15083683AE}"/>
    <cellStyle name="40% - Accent5 4 5 7" xfId="11353" xr:uid="{C23C3D8D-7615-4E46-AF19-9F2EC871E093}"/>
    <cellStyle name="40% - Accent5 4 6" xfId="2351" xr:uid="{00000000-0005-0000-0000-0000CB060000}"/>
    <cellStyle name="40% - Accent5 4 6 2" xfId="6657" xr:uid="{00000000-0005-0000-0000-0000CC060000}"/>
    <cellStyle name="40% - Accent5 4 6 2 2" xfId="25283" xr:uid="{949B87B7-9285-4A79-9DA6-A3A6EAC1D80F}"/>
    <cellStyle name="40% - Accent5 4 6 2 3" xfId="33730" xr:uid="{3137B36F-B0B0-4414-9257-824B3F9FC23F}"/>
    <cellStyle name="40% - Accent5 4 6 2 4" xfId="42177" xr:uid="{4E452861-F0E2-48BD-8ED5-FF7A696E5B0D}"/>
    <cellStyle name="40% - Accent5 4 6 2 5" xfId="15983" xr:uid="{D2419913-B7E7-4819-AE45-7BA7C9DEA61A}"/>
    <cellStyle name="40% - Accent5 4 6 3" xfId="21066" xr:uid="{4FD018A9-4641-4EFD-9854-D4F405665666}"/>
    <cellStyle name="40% - Accent5 4 6 4" xfId="29513" xr:uid="{B6BF1E2E-68BA-497B-BFBB-9FF4265F160F}"/>
    <cellStyle name="40% - Accent5 4 6 5" xfId="37960" xr:uid="{1F3580F4-DF36-42E8-A694-7BCDFAC787E4}"/>
    <cellStyle name="40% - Accent5 4 6 6" xfId="11766" xr:uid="{563C3B13-A13B-49D6-B7E2-14C4D1B1DD46}"/>
    <cellStyle name="40% - Accent5 4 7" xfId="4591" xr:uid="{00000000-0005-0000-0000-0000CD060000}"/>
    <cellStyle name="40% - Accent5 4 7 2" xfId="23217" xr:uid="{7F7D6C6A-B581-4B09-8C8C-77A465F38D5D}"/>
    <cellStyle name="40% - Accent5 4 7 3" xfId="31664" xr:uid="{518DA454-6E6E-4481-B591-21C2EE5D1652}"/>
    <cellStyle name="40% - Accent5 4 7 4" xfId="40111" xr:uid="{4F7A4843-866C-45CF-B62D-2D3A6AF16CD6}"/>
    <cellStyle name="40% - Accent5 4 7 5" xfId="13917" xr:uid="{95D09884-1E7E-4DA2-962A-95EB06E7FEA0}"/>
    <cellStyle name="40% - Accent5 4 8" xfId="8956" xr:uid="{20EBAEFE-DF5E-4B38-878B-CDA5BD3DABC1}"/>
    <cellStyle name="40% - Accent5 4 8 2" xfId="18280" xr:uid="{BADF776F-7851-4F0A-84FA-61B787834046}"/>
    <cellStyle name="40% - Accent5 4 9" xfId="19000" xr:uid="{4C82E0FB-E6EE-4B95-80CF-7F13D63AC731}"/>
    <cellStyle name="40% - Accent5 5" xfId="650" xr:uid="{00000000-0005-0000-0000-0000CE060000}"/>
    <cellStyle name="40% - Accent5 5 2" xfId="2921" xr:uid="{00000000-0005-0000-0000-0000CF060000}"/>
    <cellStyle name="40% - Accent5 5 2 2" xfId="7143" xr:uid="{00000000-0005-0000-0000-0000D0060000}"/>
    <cellStyle name="40% - Accent5 5 2 2 2" xfId="25769" xr:uid="{AB3295E2-86C4-4D8E-AA18-A080F87517E5}"/>
    <cellStyle name="40% - Accent5 5 2 2 3" xfId="34216" xr:uid="{BBDBD4F8-BBA0-4ACF-BFD1-21DE949C8A13}"/>
    <cellStyle name="40% - Accent5 5 2 2 4" xfId="42663" xr:uid="{7D213E07-D5E5-48D2-8DA3-D888E072EC79}"/>
    <cellStyle name="40% - Accent5 5 2 2 5" xfId="16469" xr:uid="{4BA904AA-22DA-4149-BC28-30C709E46C57}"/>
    <cellStyle name="40% - Accent5 5 2 3" xfId="21552" xr:uid="{5C3090E0-95C9-4E11-AE66-70D9D66021DB}"/>
    <cellStyle name="40% - Accent5 5 2 4" xfId="29999" xr:uid="{2CCB2422-2E2C-4401-9516-2DFF400217EF}"/>
    <cellStyle name="40% - Accent5 5 2 5" xfId="38446" xr:uid="{E68C8DEF-F8F6-4520-9D6F-AB9A68765058}"/>
    <cellStyle name="40% - Accent5 5 2 6" xfId="12252" xr:uid="{931ACD5E-A405-43FE-B242-A3F2DD2A0117}"/>
    <cellStyle name="40% - Accent5 5 3" xfId="4998" xr:uid="{00000000-0005-0000-0000-0000D1060000}"/>
    <cellStyle name="40% - Accent5 5 3 2" xfId="23624" xr:uid="{F0B271D6-A31F-4E9E-AC71-115DAB93391A}"/>
    <cellStyle name="40% - Accent5 5 3 3" xfId="32071" xr:uid="{3ECCF317-6957-4FED-8248-CE4ED7ABC2D2}"/>
    <cellStyle name="40% - Accent5 5 3 4" xfId="40518" xr:uid="{D63447FE-0634-4660-9867-865FCBDD54AC}"/>
    <cellStyle name="40% - Accent5 5 3 5" xfId="14324" xr:uid="{1F30F461-4A3C-4F24-9FA6-B538D3064B23}"/>
    <cellStyle name="40% - Accent5 5 4" xfId="9189" xr:uid="{AE9A155E-B06B-4FF1-8984-8F7810581B15}"/>
    <cellStyle name="40% - Accent5 5 4 2" xfId="18508" xr:uid="{22A40709-4FD6-4C4F-87C0-B9AE61B3D4CF}"/>
    <cellStyle name="40% - Accent5 5 5" xfId="19407" xr:uid="{1F854DD9-677F-4CBD-AD83-F806DC10452B}"/>
    <cellStyle name="40% - Accent5 5 6" xfId="27854" xr:uid="{0C568469-454A-4309-A6BF-F60BD31BEDB7}"/>
    <cellStyle name="40% - Accent5 5 7" xfId="36301" xr:uid="{C02B7C46-DD06-44FA-8B1C-4B991089B0AB}"/>
    <cellStyle name="40% - Accent5 5 8" xfId="10107" xr:uid="{58D8566D-FC69-4013-9636-0ACC3BE8689F}"/>
    <cellStyle name="40% - Accent5 6" xfId="1103" xr:uid="{00000000-0005-0000-0000-0000D2060000}"/>
    <cellStyle name="40% - Accent5 6 2" xfId="3334" xr:uid="{00000000-0005-0000-0000-0000D3060000}"/>
    <cellStyle name="40% - Accent5 6 2 2" xfId="7556" xr:uid="{00000000-0005-0000-0000-0000D4060000}"/>
    <cellStyle name="40% - Accent5 6 2 2 2" xfId="26182" xr:uid="{30B86DD7-D4A7-43CD-8A38-EB973427B02B}"/>
    <cellStyle name="40% - Accent5 6 2 2 3" xfId="34629" xr:uid="{2FB169D6-605C-4A9B-AF6D-4108E5747D5B}"/>
    <cellStyle name="40% - Accent5 6 2 2 4" xfId="43076" xr:uid="{04028827-8E8B-4876-BC7A-CDE27AEC0B68}"/>
    <cellStyle name="40% - Accent5 6 2 2 5" xfId="16882" xr:uid="{BF6DF1CA-9DE1-4536-95BA-B6CF907AAF84}"/>
    <cellStyle name="40% - Accent5 6 2 3" xfId="21965" xr:uid="{26280B7C-CE0E-49A1-A8B0-C7A57813C38A}"/>
    <cellStyle name="40% - Accent5 6 2 4" xfId="30412" xr:uid="{36A908C3-2A0C-4C67-8BAA-EE0AE06D2C7D}"/>
    <cellStyle name="40% - Accent5 6 2 5" xfId="38859" xr:uid="{8211F293-6B27-412C-A964-490EC4DF4966}"/>
    <cellStyle name="40% - Accent5 6 2 6" xfId="12665" xr:uid="{3C96A061-D4EF-428B-BD51-45AD4A250477}"/>
    <cellStyle name="40% - Accent5 6 3" xfId="5411" xr:uid="{00000000-0005-0000-0000-0000D5060000}"/>
    <cellStyle name="40% - Accent5 6 3 2" xfId="24037" xr:uid="{A3EA40B7-3AEA-48D5-A925-12EAE1BC0CC1}"/>
    <cellStyle name="40% - Accent5 6 3 3" xfId="32484" xr:uid="{DB3287A9-725C-45DA-A997-4F34CB463950}"/>
    <cellStyle name="40% - Accent5 6 3 4" xfId="40931" xr:uid="{249F2A71-6DEC-4E2A-B90B-25D7115C2F1C}"/>
    <cellStyle name="40% - Accent5 6 3 5" xfId="14737" xr:uid="{1B474218-3687-4D05-A27B-599502AB0AB9}"/>
    <cellStyle name="40% - Accent5 6 4" xfId="19820" xr:uid="{C8401EB2-28BB-458F-9ACC-960A2EB382D3}"/>
    <cellStyle name="40% - Accent5 6 5" xfId="28267" xr:uid="{5EA78ACC-02DF-4A92-94E3-8BC571D0495F}"/>
    <cellStyle name="40% - Accent5 6 6" xfId="36714" xr:uid="{4A51F4E4-5F92-4643-87EF-8EADF6F1617D}"/>
    <cellStyle name="40% - Accent5 6 7" xfId="10520" xr:uid="{EC6C9921-2591-45EF-8F68-870282D0A8FD}"/>
    <cellStyle name="40% - Accent5 7" xfId="1517" xr:uid="{00000000-0005-0000-0000-0000D6060000}"/>
    <cellStyle name="40% - Accent5 7 2" xfId="3747" xr:uid="{00000000-0005-0000-0000-0000D7060000}"/>
    <cellStyle name="40% - Accent5 7 2 2" xfId="7969" xr:uid="{00000000-0005-0000-0000-0000D8060000}"/>
    <cellStyle name="40% - Accent5 7 2 2 2" xfId="26595" xr:uid="{D3584A80-B39A-4BD0-96E4-67467B3F4E05}"/>
    <cellStyle name="40% - Accent5 7 2 2 3" xfId="35042" xr:uid="{E5DFDC92-6ACA-47A6-AE9C-E7295934697A}"/>
    <cellStyle name="40% - Accent5 7 2 2 4" xfId="43489" xr:uid="{B0B06C29-AE6B-4984-9F78-D9C2EF71B8B6}"/>
    <cellStyle name="40% - Accent5 7 2 2 5" xfId="17295" xr:uid="{0CF0E407-95B6-4638-98ED-10B8FD40F0AC}"/>
    <cellStyle name="40% - Accent5 7 2 3" xfId="22378" xr:uid="{43E6536A-5658-41E7-8BA8-99B9C67B8CBF}"/>
    <cellStyle name="40% - Accent5 7 2 4" xfId="30825" xr:uid="{B1436228-E36A-4EE4-B1CA-C5CA64225BD2}"/>
    <cellStyle name="40% - Accent5 7 2 5" xfId="39272" xr:uid="{E503721D-C2B9-44C7-A10A-DE3A469E3CB8}"/>
    <cellStyle name="40% - Accent5 7 2 6" xfId="13078" xr:uid="{71AA8CD3-3F55-4437-A613-0716BC5195FC}"/>
    <cellStyle name="40% - Accent5 7 3" xfId="5824" xr:uid="{00000000-0005-0000-0000-0000D9060000}"/>
    <cellStyle name="40% - Accent5 7 3 2" xfId="24450" xr:uid="{BB68CBF1-B94D-4F21-8884-6C6AE16C783D}"/>
    <cellStyle name="40% - Accent5 7 3 3" xfId="32897" xr:uid="{531AF108-2E22-4ABF-A9A6-F4C6160C4659}"/>
    <cellStyle name="40% - Accent5 7 3 4" xfId="41344" xr:uid="{476E09FA-42D0-45E9-B20B-7DCF37D47EEA}"/>
    <cellStyle name="40% - Accent5 7 3 5" xfId="15150" xr:uid="{382F096A-4DAF-4E8D-ABF9-260C5EB95F48}"/>
    <cellStyle name="40% - Accent5 7 4" xfId="20233" xr:uid="{2EA33D9A-3379-440D-94BD-A8048B4D82EF}"/>
    <cellStyle name="40% - Accent5 7 5" xfId="28680" xr:uid="{2D72CF0E-2C07-4575-9576-2B071CB22074}"/>
    <cellStyle name="40% - Accent5 7 6" xfId="37127" xr:uid="{3EC7280E-BCD7-4DFE-AAD7-645181737FD0}"/>
    <cellStyle name="40% - Accent5 7 7" xfId="10933" xr:uid="{BA289D70-58B5-4951-8038-EF8997B3FE52}"/>
    <cellStyle name="40% - Accent5 8" xfId="1931" xr:uid="{00000000-0005-0000-0000-0000DA060000}"/>
    <cellStyle name="40% - Accent5 8 2" xfId="4160" xr:uid="{00000000-0005-0000-0000-0000DB060000}"/>
    <cellStyle name="40% - Accent5 8 2 2" xfId="8382" xr:uid="{00000000-0005-0000-0000-0000DC060000}"/>
    <cellStyle name="40% - Accent5 8 2 2 2" xfId="27008" xr:uid="{D3795CA2-ECCE-4348-8129-91BC383B7AB5}"/>
    <cellStyle name="40% - Accent5 8 2 2 3" xfId="35455" xr:uid="{B67269EB-A17B-4223-95BD-B220943DADC6}"/>
    <cellStyle name="40% - Accent5 8 2 2 4" xfId="43902" xr:uid="{32747C29-E348-4541-B08F-5C6797A7D54C}"/>
    <cellStyle name="40% - Accent5 8 2 2 5" xfId="17708" xr:uid="{9383EF74-79E2-46DA-81C6-5C4325EF4B90}"/>
    <cellStyle name="40% - Accent5 8 2 3" xfId="22791" xr:uid="{0D15A30B-DFAC-490F-BBCC-110B75E9867A}"/>
    <cellStyle name="40% - Accent5 8 2 4" xfId="31238" xr:uid="{074B92F1-0E80-4942-AD79-CDD94BD5030E}"/>
    <cellStyle name="40% - Accent5 8 2 5" xfId="39685" xr:uid="{E7C8576A-F4D4-451C-AEB7-04BA8303C681}"/>
    <cellStyle name="40% - Accent5 8 2 6" xfId="13491" xr:uid="{5DBF5D3B-DD62-44CD-B180-EBDB13EED17F}"/>
    <cellStyle name="40% - Accent5 8 3" xfId="6237" xr:uid="{00000000-0005-0000-0000-0000DD060000}"/>
    <cellStyle name="40% - Accent5 8 3 2" xfId="24863" xr:uid="{77C5384F-B0AE-4B44-B99D-A44F851E6225}"/>
    <cellStyle name="40% - Accent5 8 3 3" xfId="33310" xr:uid="{8778B5D7-76C2-4673-BE59-EED0B91469DB}"/>
    <cellStyle name="40% - Accent5 8 3 4" xfId="41757" xr:uid="{BDABF27B-3B99-42FF-B0AB-029744D5B8BD}"/>
    <cellStyle name="40% - Accent5 8 3 5" xfId="15563" xr:uid="{5B2587E6-9286-4708-831C-FAF8A82FBBEF}"/>
    <cellStyle name="40% - Accent5 8 4" xfId="20646" xr:uid="{C8DEF9F2-CB33-43C2-B408-18EB291C65A7}"/>
    <cellStyle name="40% - Accent5 8 5" xfId="29093" xr:uid="{73CB49BD-495A-4D91-BE85-1629F1B8D89A}"/>
    <cellStyle name="40% - Accent5 8 6" xfId="37540" xr:uid="{4C51B329-A779-452F-A200-991FDBABB2FA}"/>
    <cellStyle name="40% - Accent5 8 7" xfId="11346" xr:uid="{EA7D0053-F7FA-4403-BEA8-A31C2593B8A3}"/>
    <cellStyle name="40% - Accent5 9" xfId="2344" xr:uid="{00000000-0005-0000-0000-0000DE060000}"/>
    <cellStyle name="40% - Accent5 9 2" xfId="6650" xr:uid="{00000000-0005-0000-0000-0000DF060000}"/>
    <cellStyle name="40% - Accent5 9 2 2" xfId="25276" xr:uid="{462B2047-8CE3-4F30-951E-BC7BB73CC063}"/>
    <cellStyle name="40% - Accent5 9 2 3" xfId="33723" xr:uid="{675694AA-31B3-45B9-9B15-B5311B608425}"/>
    <cellStyle name="40% - Accent5 9 2 4" xfId="42170" xr:uid="{55018BB8-DFFD-42C4-8F7D-A8B6414271F2}"/>
    <cellStyle name="40% - Accent5 9 2 5" xfId="15976" xr:uid="{0EA7A639-7F85-46CC-98F4-C67B30B90200}"/>
    <cellStyle name="40% - Accent5 9 3" xfId="21059" xr:uid="{D3D46FBE-8E8B-479B-9031-4D23F3AAEEC3}"/>
    <cellStyle name="40% - Accent5 9 4" xfId="29506" xr:uid="{F6376525-F755-4AEB-B697-3B388D7E386B}"/>
    <cellStyle name="40% - Accent5 9 5" xfId="37953" xr:uid="{7FAA9D4F-A509-4419-84BD-846953DC8EF1}"/>
    <cellStyle name="40% - Accent5 9 6" xfId="11759" xr:uid="{77F1DD58-2424-4EA6-A617-274D90FC0A3F}"/>
    <cellStyle name="40% - Accent6" xfId="89" builtinId="51" customBuiltin="1"/>
    <cellStyle name="40% - Accent6 10" xfId="4592" xr:uid="{00000000-0005-0000-0000-0000E1060000}"/>
    <cellStyle name="40% - Accent6 10 2" xfId="23218" xr:uid="{CEAA7976-2965-4620-9B93-6F17CF10D1C2}"/>
    <cellStyle name="40% - Accent6 10 3" xfId="31665" xr:uid="{71B27DEA-A467-4BE9-9C8F-C660F9A8A9B4}"/>
    <cellStyle name="40% - Accent6 10 4" xfId="40112" xr:uid="{E0C8C9AD-F00C-425C-9683-E9AC2AFE5AE4}"/>
    <cellStyle name="40% - Accent6 10 5" xfId="13918" xr:uid="{D677663C-5E4F-4C59-BEDB-CFCDBD4B53C2}"/>
    <cellStyle name="40% - Accent6 11" xfId="8769" xr:uid="{8369FE49-3815-490F-BF3A-3BEB88E35DFA}"/>
    <cellStyle name="40% - Accent6 11 2" xfId="18093" xr:uid="{F7E14E4D-7F7C-4C1A-B6DA-8779BDC339B7}"/>
    <cellStyle name="40% - Accent6 12" xfId="19001" xr:uid="{CD0EF648-0B4B-47FF-AC7B-E5B207301F17}"/>
    <cellStyle name="40% - Accent6 13" xfId="27448" xr:uid="{DA252F70-5A6C-4D33-83F8-4ECECEA40089}"/>
    <cellStyle name="40% - Accent6 14" xfId="35895" xr:uid="{2DCABBBD-5ED9-48D0-9789-698EAB0AA9D3}"/>
    <cellStyle name="40% - Accent6 15" xfId="9701" xr:uid="{024D85C6-4E4D-422A-9205-F05F58E62DE6}"/>
    <cellStyle name="40% - Accent6 2" xfId="90" xr:uid="{00000000-0005-0000-0000-0000E2060000}"/>
    <cellStyle name="40% - Accent6 2 10" xfId="8803" xr:uid="{3530B69D-EB1D-41EA-A6FB-440FE4FE29AB}"/>
    <cellStyle name="40% - Accent6 2 10 2" xfId="18127" xr:uid="{F40DABC3-4765-4E45-A124-20ACF823D00A}"/>
    <cellStyle name="40% - Accent6 2 11" xfId="19002" xr:uid="{1965C545-C7DA-4E8C-9ED4-CE5026CF2B74}"/>
    <cellStyle name="40% - Accent6 2 12" xfId="27449" xr:uid="{E5DE553E-2B98-492C-976C-7AF2153DB28E}"/>
    <cellStyle name="40% - Accent6 2 13" xfId="35896" xr:uid="{6E554960-29DD-4CFE-87DA-52C03F596734}"/>
    <cellStyle name="40% - Accent6 2 14" xfId="9702" xr:uid="{E655FD3A-7FFF-4941-9479-D137A9AB5EBD}"/>
    <cellStyle name="40% - Accent6 2 2" xfId="91" xr:uid="{00000000-0005-0000-0000-0000E3060000}"/>
    <cellStyle name="40% - Accent6 2 2 10" xfId="19003" xr:uid="{8968EB59-904C-4BF4-9452-B770BFC7531A}"/>
    <cellStyle name="40% - Accent6 2 2 11" xfId="27450" xr:uid="{E449176A-4EFB-40F5-8787-1B50CF2EDE35}"/>
    <cellStyle name="40% - Accent6 2 2 12" xfId="35897" xr:uid="{989A90A6-A496-4A74-9F51-2995133E732E}"/>
    <cellStyle name="40% - Accent6 2 2 13" xfId="9703" xr:uid="{35DCD101-4055-4790-9F68-04D69BC5A7CE}"/>
    <cellStyle name="40% - Accent6 2 2 2" xfId="92" xr:uid="{00000000-0005-0000-0000-0000E4060000}"/>
    <cellStyle name="40% - Accent6 2 2 2 10" xfId="27451" xr:uid="{3B4FE74B-EEE7-4E5C-8464-A7B88A1379F1}"/>
    <cellStyle name="40% - Accent6 2 2 2 11" xfId="35898" xr:uid="{75D7A4C0-706F-4FD7-B7DB-1E83134E13C5}"/>
    <cellStyle name="40% - Accent6 2 2 2 12" xfId="9704" xr:uid="{EE44AC4A-48BD-45BA-8BE1-678BD1A41B44}"/>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2 2 2" xfId="25780" xr:uid="{1A9785E0-2ACD-4D88-8655-00733938A661}"/>
    <cellStyle name="40% - Accent6 2 2 2 2 2 2 3" xfId="34227" xr:uid="{49A053D0-8123-42CA-9A93-8434DD2AC7FA}"/>
    <cellStyle name="40% - Accent6 2 2 2 2 2 2 4" xfId="42674" xr:uid="{88FA89AF-ECFC-45F5-855C-3297AE42B960}"/>
    <cellStyle name="40% - Accent6 2 2 2 2 2 2 5" xfId="16480" xr:uid="{30A8F300-4256-4C34-BCDC-669400403FCE}"/>
    <cellStyle name="40% - Accent6 2 2 2 2 2 3" xfId="21563" xr:uid="{1274EF0A-E541-49A5-ACA0-47B15C92D478}"/>
    <cellStyle name="40% - Accent6 2 2 2 2 2 4" xfId="30010" xr:uid="{72849246-911F-4994-9815-E4389A971853}"/>
    <cellStyle name="40% - Accent6 2 2 2 2 2 5" xfId="38457" xr:uid="{AEB41E9E-A43F-48CF-B71D-50BB32E59150}"/>
    <cellStyle name="40% - Accent6 2 2 2 2 2 6" xfId="12263" xr:uid="{D87D1122-0E6D-4653-AFD8-23A334F01043}"/>
    <cellStyle name="40% - Accent6 2 2 2 2 3" xfId="5009" xr:uid="{00000000-0005-0000-0000-0000E8060000}"/>
    <cellStyle name="40% - Accent6 2 2 2 2 3 2" xfId="23635" xr:uid="{9CDF5CAC-1BC0-41A2-8E9C-92B5B62B4485}"/>
    <cellStyle name="40% - Accent6 2 2 2 2 3 3" xfId="32082" xr:uid="{ED4B8D4A-9E87-47DD-95EE-3B65A73FBB18}"/>
    <cellStyle name="40% - Accent6 2 2 2 2 3 4" xfId="40529" xr:uid="{4AA0A944-90DC-453A-9945-91702AF6EA1C}"/>
    <cellStyle name="40% - Accent6 2 2 2 2 3 5" xfId="14335" xr:uid="{FC1A8D4C-20F9-4DE2-990A-2A08B4F6AB7A}"/>
    <cellStyle name="40% - Accent6 2 2 2 2 4" xfId="9538" xr:uid="{D1801D0B-FDF1-4C59-8DE2-DEC53081BC5D}"/>
    <cellStyle name="40% - Accent6 2 2 2 2 4 2" xfId="18854" xr:uid="{41573324-F20C-46A8-9CEF-2CCDD698A267}"/>
    <cellStyle name="40% - Accent6 2 2 2 2 5" xfId="19418" xr:uid="{C25D1672-BCE4-4F1E-9D2C-38C0EF6CD147}"/>
    <cellStyle name="40% - Accent6 2 2 2 2 6" xfId="27865" xr:uid="{6F6EA4DD-D726-49FE-BB93-E2F4E2C1234D}"/>
    <cellStyle name="40% - Accent6 2 2 2 2 7" xfId="36312" xr:uid="{40A397F4-3B5C-4C35-A00C-23A7E97F0281}"/>
    <cellStyle name="40% - Accent6 2 2 2 2 8" xfId="10118" xr:uid="{A7DD24D2-6B90-497B-803C-4123CFBE0AFA}"/>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2 2 2" xfId="26193" xr:uid="{1C948FFB-B86E-48F0-BDE0-A64AF2328267}"/>
    <cellStyle name="40% - Accent6 2 2 2 3 2 2 3" xfId="34640" xr:uid="{6EEB9B8D-6711-43FE-A757-256B4E3919E8}"/>
    <cellStyle name="40% - Accent6 2 2 2 3 2 2 4" xfId="43087" xr:uid="{AE26BAEB-18D6-4F9B-8D27-E02A790BFE22}"/>
    <cellStyle name="40% - Accent6 2 2 2 3 2 2 5" xfId="16893" xr:uid="{6E6BB9D0-EFC3-403F-B778-DBB9F0B35F3D}"/>
    <cellStyle name="40% - Accent6 2 2 2 3 2 3" xfId="21976" xr:uid="{F33D48E4-00CE-421A-8B65-83BDC8EF4DEA}"/>
    <cellStyle name="40% - Accent6 2 2 2 3 2 4" xfId="30423" xr:uid="{6CF54986-1AAD-4466-8EF5-D57083BCD54A}"/>
    <cellStyle name="40% - Accent6 2 2 2 3 2 5" xfId="38870" xr:uid="{005B1C9C-3E63-4E7D-9114-876BAF7632B3}"/>
    <cellStyle name="40% - Accent6 2 2 2 3 2 6" xfId="12676" xr:uid="{52F30431-7DEC-403B-A440-8D8ED8A55B0C}"/>
    <cellStyle name="40% - Accent6 2 2 2 3 3" xfId="5422" xr:uid="{00000000-0005-0000-0000-0000EC060000}"/>
    <cellStyle name="40% - Accent6 2 2 2 3 3 2" xfId="24048" xr:uid="{63A25E35-F355-41BD-96FB-5C681F56CD7B}"/>
    <cellStyle name="40% - Accent6 2 2 2 3 3 3" xfId="32495" xr:uid="{A3F6E472-57A9-42DD-BB47-E2746CAF1356}"/>
    <cellStyle name="40% - Accent6 2 2 2 3 3 4" xfId="40942" xr:uid="{04DA8986-B474-47B0-AA8E-F137D73F0F88}"/>
    <cellStyle name="40% - Accent6 2 2 2 3 3 5" xfId="14748" xr:uid="{C0D290BE-AE14-4169-92B5-83C70268A825}"/>
    <cellStyle name="40% - Accent6 2 2 2 3 4" xfId="19831" xr:uid="{96862C4C-7E00-4A99-B574-099C378BB941}"/>
    <cellStyle name="40% - Accent6 2 2 2 3 5" xfId="28278" xr:uid="{F8F427B8-12CF-4ED3-ACFE-E57F82EFD638}"/>
    <cellStyle name="40% - Accent6 2 2 2 3 6" xfId="36725" xr:uid="{36CE9A75-F6A2-43E7-AEB6-FF0AEA30986E}"/>
    <cellStyle name="40% - Accent6 2 2 2 3 7" xfId="10531" xr:uid="{4CF61EAF-C37A-4DC8-A5EC-0FF73431900E}"/>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2 2 2" xfId="26606" xr:uid="{B3AC8376-8320-4A85-AE95-F7168484BA57}"/>
    <cellStyle name="40% - Accent6 2 2 2 4 2 2 3" xfId="35053" xr:uid="{615B2FBB-C4C8-4C40-A5AC-EC240DF0633C}"/>
    <cellStyle name="40% - Accent6 2 2 2 4 2 2 4" xfId="43500" xr:uid="{C16D4CB4-5E46-4BB9-A4FF-C8CCB9A8486D}"/>
    <cellStyle name="40% - Accent6 2 2 2 4 2 2 5" xfId="17306" xr:uid="{035786CE-27B9-4F31-BD31-E570FD640E7C}"/>
    <cellStyle name="40% - Accent6 2 2 2 4 2 3" xfId="22389" xr:uid="{676E3CBC-080E-4B99-A042-1364B1D44B58}"/>
    <cellStyle name="40% - Accent6 2 2 2 4 2 4" xfId="30836" xr:uid="{C7C567A5-83DE-4D75-A37B-6EE62EF7D9F2}"/>
    <cellStyle name="40% - Accent6 2 2 2 4 2 5" xfId="39283" xr:uid="{8E4E068F-04C7-4A58-9F5B-B08CA40997A7}"/>
    <cellStyle name="40% - Accent6 2 2 2 4 2 6" xfId="13089" xr:uid="{1E738B86-6A58-4C93-91F8-B66A45B76394}"/>
    <cellStyle name="40% - Accent6 2 2 2 4 3" xfId="5835" xr:uid="{00000000-0005-0000-0000-0000F0060000}"/>
    <cellStyle name="40% - Accent6 2 2 2 4 3 2" xfId="24461" xr:uid="{5301A00C-0105-4856-A5A7-BAF449DB0FDA}"/>
    <cellStyle name="40% - Accent6 2 2 2 4 3 3" xfId="32908" xr:uid="{C841039D-5ED6-47F8-9393-11ADC6C5BD40}"/>
    <cellStyle name="40% - Accent6 2 2 2 4 3 4" xfId="41355" xr:uid="{A2D5600C-37F6-4A84-B0CA-E73B5EC2E3A9}"/>
    <cellStyle name="40% - Accent6 2 2 2 4 3 5" xfId="15161" xr:uid="{FBE323EF-ABC8-447D-B4F0-2EB373384430}"/>
    <cellStyle name="40% - Accent6 2 2 2 4 4" xfId="20244" xr:uid="{15AF5468-4999-4648-9E7A-08599E28A822}"/>
    <cellStyle name="40% - Accent6 2 2 2 4 5" xfId="28691" xr:uid="{335768D4-2CCD-4E21-99DA-C519AA40D104}"/>
    <cellStyle name="40% - Accent6 2 2 2 4 6" xfId="37138" xr:uid="{C340E0E6-19D4-495A-AF4F-26DFC8FE6527}"/>
    <cellStyle name="40% - Accent6 2 2 2 4 7" xfId="10944" xr:uid="{7F2F7340-094D-474E-ABB6-DFBD60A92AD8}"/>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2 2 2" xfId="27019" xr:uid="{48CDD6FB-7D7D-4085-BB97-A0A69EDADA4D}"/>
    <cellStyle name="40% - Accent6 2 2 2 5 2 2 3" xfId="35466" xr:uid="{BC5E2688-53AF-49D6-8BBF-A70F7C67466C}"/>
    <cellStyle name="40% - Accent6 2 2 2 5 2 2 4" xfId="43913" xr:uid="{E71A7CA2-B217-40E4-A85E-A81D30F49502}"/>
    <cellStyle name="40% - Accent6 2 2 2 5 2 2 5" xfId="17719" xr:uid="{6500A70D-08F3-46BC-AAA2-D6C3E8A586B8}"/>
    <cellStyle name="40% - Accent6 2 2 2 5 2 3" xfId="22802" xr:uid="{E95C2F24-CB96-472C-B014-E7CDD5378413}"/>
    <cellStyle name="40% - Accent6 2 2 2 5 2 4" xfId="31249" xr:uid="{C5F38DC7-58BF-4F78-8D56-334EA3304CA5}"/>
    <cellStyle name="40% - Accent6 2 2 2 5 2 5" xfId="39696" xr:uid="{60BB6428-A4B2-4299-8DA3-D892CAC74C13}"/>
    <cellStyle name="40% - Accent6 2 2 2 5 2 6" xfId="13502" xr:uid="{50073A64-B98F-4CB3-8062-E188864425D1}"/>
    <cellStyle name="40% - Accent6 2 2 2 5 3" xfId="6248" xr:uid="{00000000-0005-0000-0000-0000F4060000}"/>
    <cellStyle name="40% - Accent6 2 2 2 5 3 2" xfId="24874" xr:uid="{9B015004-9756-475F-82E8-FFE5045D9004}"/>
    <cellStyle name="40% - Accent6 2 2 2 5 3 3" xfId="33321" xr:uid="{74DFFF6E-2118-4CAE-9663-572291506FB0}"/>
    <cellStyle name="40% - Accent6 2 2 2 5 3 4" xfId="41768" xr:uid="{CA9FB988-6197-4E5F-B74B-EABC2127CA06}"/>
    <cellStyle name="40% - Accent6 2 2 2 5 3 5" xfId="15574" xr:uid="{A551763F-9B0F-4515-A00B-8DB9854F8043}"/>
    <cellStyle name="40% - Accent6 2 2 2 5 4" xfId="20657" xr:uid="{A37064C5-F5BC-4802-9C89-4F3B80387767}"/>
    <cellStyle name="40% - Accent6 2 2 2 5 5" xfId="29104" xr:uid="{747C77EF-E2F1-4F1B-B9B6-882A3DF0971C}"/>
    <cellStyle name="40% - Accent6 2 2 2 5 6" xfId="37551" xr:uid="{78609EDA-EF81-4444-A337-772560D687EF}"/>
    <cellStyle name="40% - Accent6 2 2 2 5 7" xfId="11357" xr:uid="{EEF4CC59-2486-45BC-A624-E2AC5F10C7FC}"/>
    <cellStyle name="40% - Accent6 2 2 2 6" xfId="2355" xr:uid="{00000000-0005-0000-0000-0000F5060000}"/>
    <cellStyle name="40% - Accent6 2 2 2 6 2" xfId="6661" xr:uid="{00000000-0005-0000-0000-0000F6060000}"/>
    <cellStyle name="40% - Accent6 2 2 2 6 2 2" xfId="25287" xr:uid="{36AB3D57-48BD-4177-866C-B88D865588DC}"/>
    <cellStyle name="40% - Accent6 2 2 2 6 2 3" xfId="33734" xr:uid="{C9B4916A-2C94-47F8-9F01-45928318788A}"/>
    <cellStyle name="40% - Accent6 2 2 2 6 2 4" xfId="42181" xr:uid="{1048C82C-68E7-4826-A8B6-C0258CBF697F}"/>
    <cellStyle name="40% - Accent6 2 2 2 6 2 5" xfId="15987" xr:uid="{D1860B79-5836-4919-97BE-273A5C8A86A0}"/>
    <cellStyle name="40% - Accent6 2 2 2 6 3" xfId="21070" xr:uid="{FA8DB306-2DCA-4119-B60A-9851DFA4A4F7}"/>
    <cellStyle name="40% - Accent6 2 2 2 6 4" xfId="29517" xr:uid="{120561C5-3528-4C00-99EF-DEAB26216816}"/>
    <cellStyle name="40% - Accent6 2 2 2 6 5" xfId="37964" xr:uid="{B91AC0C9-861A-4B71-BE1D-B5ACBFC84BEE}"/>
    <cellStyle name="40% - Accent6 2 2 2 6 6" xfId="11770" xr:uid="{43B9409C-8FC3-4DC7-AAF9-5D5095E185F1}"/>
    <cellStyle name="40% - Accent6 2 2 2 7" xfId="4595" xr:uid="{00000000-0005-0000-0000-0000F7060000}"/>
    <cellStyle name="40% - Accent6 2 2 2 7 2" xfId="23221" xr:uid="{940CCBE9-8DF4-45A0-ABFC-E1746BB95BE4}"/>
    <cellStyle name="40% - Accent6 2 2 2 7 3" xfId="31668" xr:uid="{D9A01377-1DF4-46A0-BE48-4D6BAD91C6BF}"/>
    <cellStyle name="40% - Accent6 2 2 2 7 4" xfId="40115" xr:uid="{27E68CFF-2837-4155-98E2-DFCED58ED32B}"/>
    <cellStyle name="40% - Accent6 2 2 2 7 5" xfId="13921" xr:uid="{7AB898AA-444D-4EAF-BA38-A747DDAC8863}"/>
    <cellStyle name="40% - Accent6 2 2 2 8" xfId="9113" xr:uid="{D9373B4A-E1DA-437A-874A-FCE4D00708EB}"/>
    <cellStyle name="40% - Accent6 2 2 2 8 2" xfId="18437" xr:uid="{BF4BC367-ADA3-4162-8368-1F4CEFFCD95B}"/>
    <cellStyle name="40% - Accent6 2 2 2 9" xfId="19004" xr:uid="{9C20942E-7EA2-4C98-A6A8-7A8CCF5A0277}"/>
    <cellStyle name="40% - Accent6 2 2 3" xfId="660" xr:uid="{00000000-0005-0000-0000-0000F8060000}"/>
    <cellStyle name="40% - Accent6 2 2 3 2" xfId="2931" xr:uid="{00000000-0005-0000-0000-0000F9060000}"/>
    <cellStyle name="40% - Accent6 2 2 3 2 2" xfId="7153" xr:uid="{00000000-0005-0000-0000-0000FA060000}"/>
    <cellStyle name="40% - Accent6 2 2 3 2 2 2" xfId="25779" xr:uid="{E3CB0AC1-29D7-411F-B942-D868722FD910}"/>
    <cellStyle name="40% - Accent6 2 2 3 2 2 3" xfId="34226" xr:uid="{96B6E7BA-B1B4-43D9-98A8-D9B15F952168}"/>
    <cellStyle name="40% - Accent6 2 2 3 2 2 4" xfId="42673" xr:uid="{01E4467E-110D-4B69-952E-841055DD083D}"/>
    <cellStyle name="40% - Accent6 2 2 3 2 2 5" xfId="16479" xr:uid="{B3E82A34-B41F-4B0C-ADD3-69C366C2BCBB}"/>
    <cellStyle name="40% - Accent6 2 2 3 2 3" xfId="21562" xr:uid="{3448056A-9D25-4F8F-807B-BF9610CA978E}"/>
    <cellStyle name="40% - Accent6 2 2 3 2 4" xfId="30009" xr:uid="{354F56A9-7E1B-43DF-9CC7-1579755ED842}"/>
    <cellStyle name="40% - Accent6 2 2 3 2 5" xfId="38456" xr:uid="{586B2F0A-46AD-43BF-91C6-62FCFB185C9C}"/>
    <cellStyle name="40% - Accent6 2 2 3 2 6" xfId="12262" xr:uid="{FFA1CD39-B812-4B5E-AF71-62DAED17650F}"/>
    <cellStyle name="40% - Accent6 2 2 3 3" xfId="5008" xr:uid="{00000000-0005-0000-0000-0000FB060000}"/>
    <cellStyle name="40% - Accent6 2 2 3 3 2" xfId="23634" xr:uid="{6DF0C73D-3215-461E-B978-3EA065527AB7}"/>
    <cellStyle name="40% - Accent6 2 2 3 3 3" xfId="32081" xr:uid="{E28D92D6-00E8-4D11-B08D-AFEDFEAC54BD}"/>
    <cellStyle name="40% - Accent6 2 2 3 3 4" xfId="40528" xr:uid="{E1588528-3D0F-464A-B3FE-40AA6EE06BC1}"/>
    <cellStyle name="40% - Accent6 2 2 3 3 5" xfId="14334" xr:uid="{CEEBBEAF-80BA-49ED-8BDC-A067DB03EFF7}"/>
    <cellStyle name="40% - Accent6 2 2 3 4" xfId="9331" xr:uid="{223B62DA-AA8A-4703-B6D5-D6AA8918B034}"/>
    <cellStyle name="40% - Accent6 2 2 3 4 2" xfId="18647" xr:uid="{850ACB75-46BE-443C-80D4-6B948D17B1ED}"/>
    <cellStyle name="40% - Accent6 2 2 3 5" xfId="19417" xr:uid="{07E9E5A0-2AE8-414E-A481-CC88BB5FAC6A}"/>
    <cellStyle name="40% - Accent6 2 2 3 6" xfId="27864" xr:uid="{C9653D05-BBF7-43E1-88F3-3F8B8D2BAC42}"/>
    <cellStyle name="40% - Accent6 2 2 3 7" xfId="36311" xr:uid="{72579D56-935D-4C3A-8555-8CC814B68852}"/>
    <cellStyle name="40% - Accent6 2 2 3 8" xfId="10117" xr:uid="{6BCB3C9A-B37C-43CD-8DCA-259C7B610E9B}"/>
    <cellStyle name="40% - Accent6 2 2 4" xfId="1113" xr:uid="{00000000-0005-0000-0000-0000FC060000}"/>
    <cellStyle name="40% - Accent6 2 2 4 2" xfId="3344" xr:uid="{00000000-0005-0000-0000-0000FD060000}"/>
    <cellStyle name="40% - Accent6 2 2 4 2 2" xfId="7566" xr:uid="{00000000-0005-0000-0000-0000FE060000}"/>
    <cellStyle name="40% - Accent6 2 2 4 2 2 2" xfId="26192" xr:uid="{B7E9EB99-A858-49B0-8655-38729D82E5D1}"/>
    <cellStyle name="40% - Accent6 2 2 4 2 2 3" xfId="34639" xr:uid="{F5AD88DA-3914-4920-84CE-2EAF2A7882CF}"/>
    <cellStyle name="40% - Accent6 2 2 4 2 2 4" xfId="43086" xr:uid="{54D961AE-8CFB-4D0A-A8F0-C2D99D4D459D}"/>
    <cellStyle name="40% - Accent6 2 2 4 2 2 5" xfId="16892" xr:uid="{925F97CA-BD02-498D-B526-8795109255B0}"/>
    <cellStyle name="40% - Accent6 2 2 4 2 3" xfId="21975" xr:uid="{349A44ED-FE99-4F1F-833E-4D5132C13F43}"/>
    <cellStyle name="40% - Accent6 2 2 4 2 4" xfId="30422" xr:uid="{24C59A16-3527-4BEF-96BD-7150EF225230}"/>
    <cellStyle name="40% - Accent6 2 2 4 2 5" xfId="38869" xr:uid="{18D6E396-9205-48C3-9808-F37402A486AE}"/>
    <cellStyle name="40% - Accent6 2 2 4 2 6" xfId="12675" xr:uid="{8E45E51E-E161-40D1-B1C6-3573BEF3DCAA}"/>
    <cellStyle name="40% - Accent6 2 2 4 3" xfId="5421" xr:uid="{00000000-0005-0000-0000-0000FF060000}"/>
    <cellStyle name="40% - Accent6 2 2 4 3 2" xfId="24047" xr:uid="{9E0CE695-323C-49BE-9D3B-B60F065B243B}"/>
    <cellStyle name="40% - Accent6 2 2 4 3 3" xfId="32494" xr:uid="{507C81A8-AC49-4DFF-9360-EB4BB46E557E}"/>
    <cellStyle name="40% - Accent6 2 2 4 3 4" xfId="40941" xr:uid="{A4D75920-6D47-423D-A0EE-5E1B7A0B6452}"/>
    <cellStyle name="40% - Accent6 2 2 4 3 5" xfId="14747" xr:uid="{0801F12F-9F9B-4120-A281-3DFD1598986D}"/>
    <cellStyle name="40% - Accent6 2 2 4 4" xfId="19830" xr:uid="{49450149-CB4A-4F96-8DB6-9968F738C8BC}"/>
    <cellStyle name="40% - Accent6 2 2 4 5" xfId="28277" xr:uid="{D12C524B-14AF-457E-9D57-D89900ECBD6E}"/>
    <cellStyle name="40% - Accent6 2 2 4 6" xfId="36724" xr:uid="{5C27D387-BAB5-4982-90D4-62553CC5A8A8}"/>
    <cellStyle name="40% - Accent6 2 2 4 7" xfId="10530" xr:uid="{C15C5B6B-FEFB-4998-A766-119D13F2BF7D}"/>
    <cellStyle name="40% - Accent6 2 2 5" xfId="1527" xr:uid="{00000000-0005-0000-0000-000000070000}"/>
    <cellStyle name="40% - Accent6 2 2 5 2" xfId="3757" xr:uid="{00000000-0005-0000-0000-000001070000}"/>
    <cellStyle name="40% - Accent6 2 2 5 2 2" xfId="7979" xr:uid="{00000000-0005-0000-0000-000002070000}"/>
    <cellStyle name="40% - Accent6 2 2 5 2 2 2" xfId="26605" xr:uid="{A33459B7-114D-438C-AC17-535FAA9E4DF5}"/>
    <cellStyle name="40% - Accent6 2 2 5 2 2 3" xfId="35052" xr:uid="{78C3EDF7-7F8B-43D4-A26C-C73E76B99660}"/>
    <cellStyle name="40% - Accent6 2 2 5 2 2 4" xfId="43499" xr:uid="{D3EABAC0-B820-4917-B6C3-F8AC5E156E7D}"/>
    <cellStyle name="40% - Accent6 2 2 5 2 2 5" xfId="17305" xr:uid="{E0372581-539C-4974-A051-99C7B2DC4AF7}"/>
    <cellStyle name="40% - Accent6 2 2 5 2 3" xfId="22388" xr:uid="{48373524-B79A-42B6-85E6-4002D7A494F5}"/>
    <cellStyle name="40% - Accent6 2 2 5 2 4" xfId="30835" xr:uid="{60B3B562-5603-4603-B292-F18F8B6B6A19}"/>
    <cellStyle name="40% - Accent6 2 2 5 2 5" xfId="39282" xr:uid="{0702F7CB-4E5B-4DD3-9807-1213E453C89E}"/>
    <cellStyle name="40% - Accent6 2 2 5 2 6" xfId="13088" xr:uid="{D6269BA2-5F90-44E8-9E34-B8EBAB7BF417}"/>
    <cellStyle name="40% - Accent6 2 2 5 3" xfId="5834" xr:uid="{00000000-0005-0000-0000-000003070000}"/>
    <cellStyle name="40% - Accent6 2 2 5 3 2" xfId="24460" xr:uid="{FA069AC3-5B9F-4112-8FC1-582178DD4557}"/>
    <cellStyle name="40% - Accent6 2 2 5 3 3" xfId="32907" xr:uid="{DEDBF13C-A375-49CB-A0A0-761F99E0E180}"/>
    <cellStyle name="40% - Accent6 2 2 5 3 4" xfId="41354" xr:uid="{F2ED9CAD-EAAC-46CF-BCF4-06378958E0FA}"/>
    <cellStyle name="40% - Accent6 2 2 5 3 5" xfId="15160" xr:uid="{176016BF-63C7-4D34-BDEF-EB42DB8FB9B1}"/>
    <cellStyle name="40% - Accent6 2 2 5 4" xfId="20243" xr:uid="{57C76134-4046-43B2-83F0-3ABAB29B84C0}"/>
    <cellStyle name="40% - Accent6 2 2 5 5" xfId="28690" xr:uid="{098663A7-C087-4FBC-A20C-7AB36E5FAE1D}"/>
    <cellStyle name="40% - Accent6 2 2 5 6" xfId="37137" xr:uid="{3B438DDF-D7F3-4FE8-B30E-7CEA1E981689}"/>
    <cellStyle name="40% - Accent6 2 2 5 7" xfId="10943" xr:uid="{27962386-78DB-442B-B005-8D5748A47F37}"/>
    <cellStyle name="40% - Accent6 2 2 6" xfId="1941" xr:uid="{00000000-0005-0000-0000-000004070000}"/>
    <cellStyle name="40% - Accent6 2 2 6 2" xfId="4170" xr:uid="{00000000-0005-0000-0000-000005070000}"/>
    <cellStyle name="40% - Accent6 2 2 6 2 2" xfId="8392" xr:uid="{00000000-0005-0000-0000-000006070000}"/>
    <cellStyle name="40% - Accent6 2 2 6 2 2 2" xfId="27018" xr:uid="{91F45417-6E37-4B72-96B7-917C63476745}"/>
    <cellStyle name="40% - Accent6 2 2 6 2 2 3" xfId="35465" xr:uid="{EA3CDB0D-CE27-45A6-A617-5E3A0653E69B}"/>
    <cellStyle name="40% - Accent6 2 2 6 2 2 4" xfId="43912" xr:uid="{2CDA0827-1B14-4EC5-996F-9AC951F82260}"/>
    <cellStyle name="40% - Accent6 2 2 6 2 2 5" xfId="17718" xr:uid="{60894E9F-09F8-497F-855E-8C2A71BFBF6A}"/>
    <cellStyle name="40% - Accent6 2 2 6 2 3" xfId="22801" xr:uid="{FBFEDE9A-7AA9-45E9-BA63-FDA2B48262EC}"/>
    <cellStyle name="40% - Accent6 2 2 6 2 4" xfId="31248" xr:uid="{EDF5A283-1DD8-4396-B11B-B7BD14D5155E}"/>
    <cellStyle name="40% - Accent6 2 2 6 2 5" xfId="39695" xr:uid="{9F257145-AE6E-4E7B-9835-F54FE35FBDC7}"/>
    <cellStyle name="40% - Accent6 2 2 6 2 6" xfId="13501" xr:uid="{C04A5CA2-930D-465E-BAF1-E6A7AFAAFA2C}"/>
    <cellStyle name="40% - Accent6 2 2 6 3" xfId="6247" xr:uid="{00000000-0005-0000-0000-000007070000}"/>
    <cellStyle name="40% - Accent6 2 2 6 3 2" xfId="24873" xr:uid="{C67C6FCB-7150-4154-8021-62A49D3C874C}"/>
    <cellStyle name="40% - Accent6 2 2 6 3 3" xfId="33320" xr:uid="{1E6E4EBD-E54E-49BA-B704-592A4D7E4C8B}"/>
    <cellStyle name="40% - Accent6 2 2 6 3 4" xfId="41767" xr:uid="{48779E8A-4201-4936-A224-F2C957F1B745}"/>
    <cellStyle name="40% - Accent6 2 2 6 3 5" xfId="15573" xr:uid="{C6285A64-457E-4E75-A7C3-191CBF98201D}"/>
    <cellStyle name="40% - Accent6 2 2 6 4" xfId="20656" xr:uid="{BB20DE7D-4F48-4ADD-A909-01DDD668F8A3}"/>
    <cellStyle name="40% - Accent6 2 2 6 5" xfId="29103" xr:uid="{8FED0FB7-F570-4AD6-BAAE-31C4E8363709}"/>
    <cellStyle name="40% - Accent6 2 2 6 6" xfId="37550" xr:uid="{2D0C84C6-ADC4-4294-824F-82E9575C5AD2}"/>
    <cellStyle name="40% - Accent6 2 2 6 7" xfId="11356" xr:uid="{F2BED295-2482-4BF4-81CA-50141A494B52}"/>
    <cellStyle name="40% - Accent6 2 2 7" xfId="2354" xr:uid="{00000000-0005-0000-0000-000008070000}"/>
    <cellStyle name="40% - Accent6 2 2 7 2" xfId="6660" xr:uid="{00000000-0005-0000-0000-000009070000}"/>
    <cellStyle name="40% - Accent6 2 2 7 2 2" xfId="25286" xr:uid="{00120F73-7AD6-435C-9595-7D3C2FD33FD4}"/>
    <cellStyle name="40% - Accent6 2 2 7 2 3" xfId="33733" xr:uid="{4173C2CC-29F6-4765-8CA4-D7FCA97B23E0}"/>
    <cellStyle name="40% - Accent6 2 2 7 2 4" xfId="42180" xr:uid="{75BB094D-EF09-4BB2-BD18-768425ECBEDD}"/>
    <cellStyle name="40% - Accent6 2 2 7 2 5" xfId="15986" xr:uid="{1F702EE6-6F1F-45D1-B365-ACE75D7E57DA}"/>
    <cellStyle name="40% - Accent6 2 2 7 3" xfId="21069" xr:uid="{21BCED64-F9B7-48E6-AD95-48C8B10B38CC}"/>
    <cellStyle name="40% - Accent6 2 2 7 4" xfId="29516" xr:uid="{625B832A-D6EE-46AF-BDAF-ED22E92AE8AA}"/>
    <cellStyle name="40% - Accent6 2 2 7 5" xfId="37963" xr:uid="{72BA7509-B68A-4E33-94DA-FB6C0485B71C}"/>
    <cellStyle name="40% - Accent6 2 2 7 6" xfId="11769" xr:uid="{F5E6DA37-64A2-443F-854F-BE7D23418AD6}"/>
    <cellStyle name="40% - Accent6 2 2 8" xfId="4594" xr:uid="{00000000-0005-0000-0000-00000A070000}"/>
    <cellStyle name="40% - Accent6 2 2 8 2" xfId="23220" xr:uid="{8A15A914-C1EE-4084-9BA4-A1AB907B25B2}"/>
    <cellStyle name="40% - Accent6 2 2 8 3" xfId="31667" xr:uid="{217A85FF-EBD3-4F43-82C2-A98C9142063A}"/>
    <cellStyle name="40% - Accent6 2 2 8 4" xfId="40114" xr:uid="{B598B04E-9BC3-4935-9218-6C55E2D712CC}"/>
    <cellStyle name="40% - Accent6 2 2 8 5" xfId="13920" xr:uid="{290D6825-9E37-4C09-914B-A1049D493E49}"/>
    <cellStyle name="40% - Accent6 2 2 9" xfId="8906" xr:uid="{C30FCA09-BA1A-4F54-9397-4FC676425C46}"/>
    <cellStyle name="40% - Accent6 2 2 9 2" xfId="18230" xr:uid="{3C01100F-2112-4463-BA1D-5F3C9A02F8C5}"/>
    <cellStyle name="40% - Accent6 2 3" xfId="93" xr:uid="{00000000-0005-0000-0000-00000B070000}"/>
    <cellStyle name="40% - Accent6 2 3 10" xfId="27452" xr:uid="{8523B0BD-DCC3-4BA2-B395-8692CB0172AB}"/>
    <cellStyle name="40% - Accent6 2 3 11" xfId="35899" xr:uid="{277975C4-2CE6-44D7-AF36-CA9DA284C133}"/>
    <cellStyle name="40% - Accent6 2 3 12" xfId="9705" xr:uid="{EFF665A3-83BF-4DF0-9245-27D82EF912FF}"/>
    <cellStyle name="40% - Accent6 2 3 2" xfId="662" xr:uid="{00000000-0005-0000-0000-00000C070000}"/>
    <cellStyle name="40% - Accent6 2 3 2 2" xfId="2933" xr:uid="{00000000-0005-0000-0000-00000D070000}"/>
    <cellStyle name="40% - Accent6 2 3 2 2 2" xfId="7155" xr:uid="{00000000-0005-0000-0000-00000E070000}"/>
    <cellStyle name="40% - Accent6 2 3 2 2 2 2" xfId="25781" xr:uid="{A87978CA-9F4B-451D-95E9-6DE12398255F}"/>
    <cellStyle name="40% - Accent6 2 3 2 2 2 3" xfId="34228" xr:uid="{AF4E0FA7-6034-4619-B40F-49CDF7FE7E0C}"/>
    <cellStyle name="40% - Accent6 2 3 2 2 2 4" xfId="42675" xr:uid="{1BE921F1-47A8-4B7B-9B1D-0BE2908EE930}"/>
    <cellStyle name="40% - Accent6 2 3 2 2 2 5" xfId="16481" xr:uid="{B6AB8EA1-C78C-4561-87E1-FE40248CE979}"/>
    <cellStyle name="40% - Accent6 2 3 2 2 3" xfId="21564" xr:uid="{CACCD064-120E-4F34-AC39-1A0363D062C2}"/>
    <cellStyle name="40% - Accent6 2 3 2 2 4" xfId="30011" xr:uid="{A9336616-3D32-4190-9274-E535DAC72DA1}"/>
    <cellStyle name="40% - Accent6 2 3 2 2 5" xfId="38458" xr:uid="{1BFAB69C-066C-4A46-83FB-65A8DC6944F8}"/>
    <cellStyle name="40% - Accent6 2 3 2 2 6" xfId="12264" xr:uid="{B345C13A-1A27-4B50-A315-045502CBFD06}"/>
    <cellStyle name="40% - Accent6 2 3 2 3" xfId="5010" xr:uid="{00000000-0005-0000-0000-00000F070000}"/>
    <cellStyle name="40% - Accent6 2 3 2 3 2" xfId="23636" xr:uid="{37C721E4-0843-48D1-B010-BE80AC37C613}"/>
    <cellStyle name="40% - Accent6 2 3 2 3 3" xfId="32083" xr:uid="{73B50B49-2B64-46D3-8CC0-6829BBF566AF}"/>
    <cellStyle name="40% - Accent6 2 3 2 3 4" xfId="40530" xr:uid="{013BE39C-2B6A-47C2-AEA4-01C6F243EA63}"/>
    <cellStyle name="40% - Accent6 2 3 2 3 5" xfId="14336" xr:uid="{13BA8E2F-0E28-41B1-8BC7-AB93741AE474}"/>
    <cellStyle name="40% - Accent6 2 3 2 4" xfId="9435" xr:uid="{36535681-1736-4584-8CB6-F8F38C9E0E5B}"/>
    <cellStyle name="40% - Accent6 2 3 2 4 2" xfId="18751" xr:uid="{670FEF8A-D709-475B-8FE4-6C45AFAFA545}"/>
    <cellStyle name="40% - Accent6 2 3 2 5" xfId="19419" xr:uid="{21C91510-C71B-45F2-ADE9-247C73B96633}"/>
    <cellStyle name="40% - Accent6 2 3 2 6" xfId="27866" xr:uid="{137150B0-D7B2-49AB-A29F-CD83D0F9CDA5}"/>
    <cellStyle name="40% - Accent6 2 3 2 7" xfId="36313" xr:uid="{A326AEE0-2F9D-4063-BA64-160F7BEAEE62}"/>
    <cellStyle name="40% - Accent6 2 3 2 8" xfId="10119" xr:uid="{6A34403F-6A67-4801-9D75-C5541417D787}"/>
    <cellStyle name="40% - Accent6 2 3 3" xfId="1115" xr:uid="{00000000-0005-0000-0000-000010070000}"/>
    <cellStyle name="40% - Accent6 2 3 3 2" xfId="3346" xr:uid="{00000000-0005-0000-0000-000011070000}"/>
    <cellStyle name="40% - Accent6 2 3 3 2 2" xfId="7568" xr:uid="{00000000-0005-0000-0000-000012070000}"/>
    <cellStyle name="40% - Accent6 2 3 3 2 2 2" xfId="26194" xr:uid="{5F74BE2E-552A-4A96-BC98-F765BAB2AE37}"/>
    <cellStyle name="40% - Accent6 2 3 3 2 2 3" xfId="34641" xr:uid="{FB74B274-D55D-4301-89C1-7D0ABDB50794}"/>
    <cellStyle name="40% - Accent6 2 3 3 2 2 4" xfId="43088" xr:uid="{B25D570E-BABC-45DC-8868-B8B086B07417}"/>
    <cellStyle name="40% - Accent6 2 3 3 2 2 5" xfId="16894" xr:uid="{3DBA3EE2-29E2-4A82-9F95-64527BAFAD20}"/>
    <cellStyle name="40% - Accent6 2 3 3 2 3" xfId="21977" xr:uid="{11BD7D84-8A63-430D-8972-5B643068A313}"/>
    <cellStyle name="40% - Accent6 2 3 3 2 4" xfId="30424" xr:uid="{ACF6E109-2874-4326-A468-844B580D0B69}"/>
    <cellStyle name="40% - Accent6 2 3 3 2 5" xfId="38871" xr:uid="{4ECCC0F7-D13A-4949-99DA-EB5000D0B0ED}"/>
    <cellStyle name="40% - Accent6 2 3 3 2 6" xfId="12677" xr:uid="{1EC5E46F-FBAE-4F5F-A4A5-2D37C1AB1CBB}"/>
    <cellStyle name="40% - Accent6 2 3 3 3" xfId="5423" xr:uid="{00000000-0005-0000-0000-000013070000}"/>
    <cellStyle name="40% - Accent6 2 3 3 3 2" xfId="24049" xr:uid="{4B02ADBA-E2DF-4083-A6ED-D7BB50CB1654}"/>
    <cellStyle name="40% - Accent6 2 3 3 3 3" xfId="32496" xr:uid="{C570CA9D-0B26-4E4C-A240-80964F9A5791}"/>
    <cellStyle name="40% - Accent6 2 3 3 3 4" xfId="40943" xr:uid="{B1A153B3-F15A-410D-A8EE-88E86E9DE930}"/>
    <cellStyle name="40% - Accent6 2 3 3 3 5" xfId="14749" xr:uid="{71D9FA7F-B0F7-43AA-9356-5A572220AC02}"/>
    <cellStyle name="40% - Accent6 2 3 3 4" xfId="19832" xr:uid="{A4B4F1D1-ACA2-4B86-8026-ED1B4701E592}"/>
    <cellStyle name="40% - Accent6 2 3 3 5" xfId="28279" xr:uid="{C0974C20-9716-444C-8F27-0D54F3DBDBF8}"/>
    <cellStyle name="40% - Accent6 2 3 3 6" xfId="36726" xr:uid="{F2E77DB7-77E9-44F9-A0CF-7A68DED49DE3}"/>
    <cellStyle name="40% - Accent6 2 3 3 7" xfId="10532" xr:uid="{9131586A-B482-45DE-88B1-6A786F90A269}"/>
    <cellStyle name="40% - Accent6 2 3 4" xfId="1529" xr:uid="{00000000-0005-0000-0000-000014070000}"/>
    <cellStyle name="40% - Accent6 2 3 4 2" xfId="3759" xr:uid="{00000000-0005-0000-0000-000015070000}"/>
    <cellStyle name="40% - Accent6 2 3 4 2 2" xfId="7981" xr:uid="{00000000-0005-0000-0000-000016070000}"/>
    <cellStyle name="40% - Accent6 2 3 4 2 2 2" xfId="26607" xr:uid="{F260ED5E-3A06-42E2-A1A1-5B73353FFE49}"/>
    <cellStyle name="40% - Accent6 2 3 4 2 2 3" xfId="35054" xr:uid="{3F708D60-2D47-41E4-8C63-41B2E6B40645}"/>
    <cellStyle name="40% - Accent6 2 3 4 2 2 4" xfId="43501" xr:uid="{B396B973-6513-41B4-A5E4-247B265E21D2}"/>
    <cellStyle name="40% - Accent6 2 3 4 2 2 5" xfId="17307" xr:uid="{288B94C5-6E05-4197-AA49-D3E834832F79}"/>
    <cellStyle name="40% - Accent6 2 3 4 2 3" xfId="22390" xr:uid="{36D5397E-D72F-48AE-89C7-BE60B213CA18}"/>
    <cellStyle name="40% - Accent6 2 3 4 2 4" xfId="30837" xr:uid="{2EA84E5F-28F1-43D7-BDF5-EB6381960F1C}"/>
    <cellStyle name="40% - Accent6 2 3 4 2 5" xfId="39284" xr:uid="{6EED5E8C-2635-481B-8B85-A1909049D457}"/>
    <cellStyle name="40% - Accent6 2 3 4 2 6" xfId="13090" xr:uid="{0D0F725C-5E14-4493-945C-37D272B6DAB4}"/>
    <cellStyle name="40% - Accent6 2 3 4 3" xfId="5836" xr:uid="{00000000-0005-0000-0000-000017070000}"/>
    <cellStyle name="40% - Accent6 2 3 4 3 2" xfId="24462" xr:uid="{5A89F84D-B5BD-49F9-B75E-17011BDB0EC5}"/>
    <cellStyle name="40% - Accent6 2 3 4 3 3" xfId="32909" xr:uid="{8960B73E-23B5-45F5-9E6F-0FEB07EF9EC9}"/>
    <cellStyle name="40% - Accent6 2 3 4 3 4" xfId="41356" xr:uid="{D2C9B94D-C18E-4934-8F33-82D7288B9BD1}"/>
    <cellStyle name="40% - Accent6 2 3 4 3 5" xfId="15162" xr:uid="{82E3B5E4-E638-4C02-845C-F8D17ED93B21}"/>
    <cellStyle name="40% - Accent6 2 3 4 4" xfId="20245" xr:uid="{657208F2-1526-4B2D-8FDB-6DA8D33405F3}"/>
    <cellStyle name="40% - Accent6 2 3 4 5" xfId="28692" xr:uid="{B4C723CE-63D4-40EE-BAEC-1FB0AEBEBEA9}"/>
    <cellStyle name="40% - Accent6 2 3 4 6" xfId="37139" xr:uid="{B769CBF9-7260-4678-B9BF-10D772FFAF78}"/>
    <cellStyle name="40% - Accent6 2 3 4 7" xfId="10945" xr:uid="{E0458C88-DF98-45D9-AB05-3F3B77C83451}"/>
    <cellStyle name="40% - Accent6 2 3 5" xfId="1943" xr:uid="{00000000-0005-0000-0000-000018070000}"/>
    <cellStyle name="40% - Accent6 2 3 5 2" xfId="4172" xr:uid="{00000000-0005-0000-0000-000019070000}"/>
    <cellStyle name="40% - Accent6 2 3 5 2 2" xfId="8394" xr:uid="{00000000-0005-0000-0000-00001A070000}"/>
    <cellStyle name="40% - Accent6 2 3 5 2 2 2" xfId="27020" xr:uid="{7E9EDF06-BFD6-4CC9-83BE-467DAD56D3A9}"/>
    <cellStyle name="40% - Accent6 2 3 5 2 2 3" xfId="35467" xr:uid="{31E2A32E-0C9A-4447-BD9D-5EA2B3599A7E}"/>
    <cellStyle name="40% - Accent6 2 3 5 2 2 4" xfId="43914" xr:uid="{4EF26DE1-9E17-4A28-A98B-397341B91250}"/>
    <cellStyle name="40% - Accent6 2 3 5 2 2 5" xfId="17720" xr:uid="{911174B7-E1B1-4270-A9DE-45749249C36B}"/>
    <cellStyle name="40% - Accent6 2 3 5 2 3" xfId="22803" xr:uid="{A4F1E4A1-7ABB-4FB1-85F2-149E0C5D7029}"/>
    <cellStyle name="40% - Accent6 2 3 5 2 4" xfId="31250" xr:uid="{ADC0CD81-75C6-4A9E-9ABE-1819CC620FD8}"/>
    <cellStyle name="40% - Accent6 2 3 5 2 5" xfId="39697" xr:uid="{220BEB64-A96C-4B02-AACE-9012C982A638}"/>
    <cellStyle name="40% - Accent6 2 3 5 2 6" xfId="13503" xr:uid="{6AAD8A1B-9087-4C4D-9188-467CC77B7ED0}"/>
    <cellStyle name="40% - Accent6 2 3 5 3" xfId="6249" xr:uid="{00000000-0005-0000-0000-00001B070000}"/>
    <cellStyle name="40% - Accent6 2 3 5 3 2" xfId="24875" xr:uid="{013A8724-571F-4E1C-A1BA-C5348A6A6477}"/>
    <cellStyle name="40% - Accent6 2 3 5 3 3" xfId="33322" xr:uid="{7F26C0D6-FD0B-4AEA-9007-CE993BCFAED9}"/>
    <cellStyle name="40% - Accent6 2 3 5 3 4" xfId="41769" xr:uid="{A71A2795-8B4F-42B1-8C2A-E128D75542CF}"/>
    <cellStyle name="40% - Accent6 2 3 5 3 5" xfId="15575" xr:uid="{295D1D43-EC5B-496F-8691-700B00D7D358}"/>
    <cellStyle name="40% - Accent6 2 3 5 4" xfId="20658" xr:uid="{6CB10612-6CF9-4E7F-9FB9-84D4F42B574C}"/>
    <cellStyle name="40% - Accent6 2 3 5 5" xfId="29105" xr:uid="{DB2D55DE-DDA5-484C-AB4A-AD916A1DD98E}"/>
    <cellStyle name="40% - Accent6 2 3 5 6" xfId="37552" xr:uid="{58617259-CC4F-4AD1-992D-74911F4AD240}"/>
    <cellStyle name="40% - Accent6 2 3 5 7" xfId="11358" xr:uid="{23C8D1D5-0145-45D8-8D53-08649D5C2CB4}"/>
    <cellStyle name="40% - Accent6 2 3 6" xfId="2356" xr:uid="{00000000-0005-0000-0000-00001C070000}"/>
    <cellStyle name="40% - Accent6 2 3 6 2" xfId="6662" xr:uid="{00000000-0005-0000-0000-00001D070000}"/>
    <cellStyle name="40% - Accent6 2 3 6 2 2" xfId="25288" xr:uid="{ABDD4CA5-911B-475A-BAAE-1805D29CAAA8}"/>
    <cellStyle name="40% - Accent6 2 3 6 2 3" xfId="33735" xr:uid="{72C336E9-EF9C-458E-985D-E49D70C1377B}"/>
    <cellStyle name="40% - Accent6 2 3 6 2 4" xfId="42182" xr:uid="{80E28941-43DC-4E0D-8DD2-5F85002799FB}"/>
    <cellStyle name="40% - Accent6 2 3 6 2 5" xfId="15988" xr:uid="{8927CAE7-F013-4440-9319-D3AC69BB7092}"/>
    <cellStyle name="40% - Accent6 2 3 6 3" xfId="21071" xr:uid="{D8FF8A30-2DD7-4A5D-A9F6-0D24BE31E174}"/>
    <cellStyle name="40% - Accent6 2 3 6 4" xfId="29518" xr:uid="{D5E1F7AE-B606-4B10-86B2-7C9B4C20550A}"/>
    <cellStyle name="40% - Accent6 2 3 6 5" xfId="37965" xr:uid="{F2535DFC-8847-467D-AC56-9907557ADC47}"/>
    <cellStyle name="40% - Accent6 2 3 6 6" xfId="11771" xr:uid="{7B28841A-6C12-4E61-98EC-D656D304EED2}"/>
    <cellStyle name="40% - Accent6 2 3 7" xfId="4596" xr:uid="{00000000-0005-0000-0000-00001E070000}"/>
    <cellStyle name="40% - Accent6 2 3 7 2" xfId="23222" xr:uid="{54F6FE47-507F-4A89-A5F7-7029FD9D6305}"/>
    <cellStyle name="40% - Accent6 2 3 7 3" xfId="31669" xr:uid="{5CC1D031-0F56-4466-BFD8-F3102A18D839}"/>
    <cellStyle name="40% - Accent6 2 3 7 4" xfId="40116" xr:uid="{48A90CE1-3E98-4C98-A4E9-990EC74F90FC}"/>
    <cellStyle name="40% - Accent6 2 3 7 5" xfId="13922" xr:uid="{A88325E1-4E42-435C-9B92-50852149D69E}"/>
    <cellStyle name="40% - Accent6 2 3 8" xfId="9010" xr:uid="{63E1B5F8-FE5F-441F-B768-94B1D98CB2B1}"/>
    <cellStyle name="40% - Accent6 2 3 8 2" xfId="18334" xr:uid="{E8377683-FB56-4250-9887-9FEDAE06578B}"/>
    <cellStyle name="40% - Accent6 2 3 9" xfId="19005" xr:uid="{5C3152AB-FF86-4732-8D16-86D15A149DFD}"/>
    <cellStyle name="40% - Accent6 2 4" xfId="659" xr:uid="{00000000-0005-0000-0000-00001F070000}"/>
    <cellStyle name="40% - Accent6 2 4 2" xfId="2930" xr:uid="{00000000-0005-0000-0000-000020070000}"/>
    <cellStyle name="40% - Accent6 2 4 2 2" xfId="7152" xr:uid="{00000000-0005-0000-0000-000021070000}"/>
    <cellStyle name="40% - Accent6 2 4 2 2 2" xfId="25778" xr:uid="{BD5CED76-AA5F-4820-B7E3-700AA385F2C7}"/>
    <cellStyle name="40% - Accent6 2 4 2 2 3" xfId="34225" xr:uid="{5A4A04BE-D75F-49AA-B647-C3D71F4A5DA1}"/>
    <cellStyle name="40% - Accent6 2 4 2 2 4" xfId="42672" xr:uid="{19CD1F5F-3CDD-46B0-ADEE-882968226710}"/>
    <cellStyle name="40% - Accent6 2 4 2 2 5" xfId="16478" xr:uid="{A69E6DDB-0C5A-47EF-B6EB-36B4CCE51383}"/>
    <cellStyle name="40% - Accent6 2 4 2 3" xfId="21561" xr:uid="{1860E30D-C9C1-4F6C-A343-F44DDF5FDEAA}"/>
    <cellStyle name="40% - Accent6 2 4 2 4" xfId="30008" xr:uid="{AE53C316-86C3-4813-A599-E3D01E23EB0C}"/>
    <cellStyle name="40% - Accent6 2 4 2 5" xfId="38455" xr:uid="{9F582E80-9A66-457E-AC07-AD6010863C31}"/>
    <cellStyle name="40% - Accent6 2 4 2 6" xfId="12261" xr:uid="{66523D68-50FE-4239-A10A-67F91FEE9F09}"/>
    <cellStyle name="40% - Accent6 2 4 3" xfId="5007" xr:uid="{00000000-0005-0000-0000-000022070000}"/>
    <cellStyle name="40% - Accent6 2 4 3 2" xfId="23633" xr:uid="{AE2E675C-4023-43CD-AC5C-0090935FD3B2}"/>
    <cellStyle name="40% - Accent6 2 4 3 3" xfId="32080" xr:uid="{D15A8BDB-4371-4525-8800-2212DAEAEAE9}"/>
    <cellStyle name="40% - Accent6 2 4 3 4" xfId="40527" xr:uid="{C88B8998-52AC-4B2C-AD24-8AD26A1AFC25}"/>
    <cellStyle name="40% - Accent6 2 4 3 5" xfId="14333" xr:uid="{6A404A93-AF94-49E1-B182-77BA44BD4236}"/>
    <cellStyle name="40% - Accent6 2 4 4" xfId="9227" xr:uid="{61BC3AC1-FAE9-47DF-8143-7EECE05FF8D3}"/>
    <cellStyle name="40% - Accent6 2 4 4 2" xfId="18544" xr:uid="{BB6E1E63-EB98-402F-8742-EC37C6D9BE1F}"/>
    <cellStyle name="40% - Accent6 2 4 5" xfId="19416" xr:uid="{8015D29D-7335-4546-AE81-6C8DAF04EE7D}"/>
    <cellStyle name="40% - Accent6 2 4 6" xfId="27863" xr:uid="{AE0E1F4E-C977-4496-9EEA-2A96DF67AD78}"/>
    <cellStyle name="40% - Accent6 2 4 7" xfId="36310" xr:uid="{22C67A65-6681-47C0-901D-B9036AF6021F}"/>
    <cellStyle name="40% - Accent6 2 4 8" xfId="10116" xr:uid="{7FD26ADF-701F-496E-B6E9-DCC15228E69B}"/>
    <cellStyle name="40% - Accent6 2 5" xfId="1112" xr:uid="{00000000-0005-0000-0000-000023070000}"/>
    <cellStyle name="40% - Accent6 2 5 2" xfId="3343" xr:uid="{00000000-0005-0000-0000-000024070000}"/>
    <cellStyle name="40% - Accent6 2 5 2 2" xfId="7565" xr:uid="{00000000-0005-0000-0000-000025070000}"/>
    <cellStyle name="40% - Accent6 2 5 2 2 2" xfId="26191" xr:uid="{FF7C6321-7D4C-49D4-89B3-70DCE47823F9}"/>
    <cellStyle name="40% - Accent6 2 5 2 2 3" xfId="34638" xr:uid="{40B1D28A-F231-4563-A932-EE0526D88BBF}"/>
    <cellStyle name="40% - Accent6 2 5 2 2 4" xfId="43085" xr:uid="{8072572C-6B2E-4B6A-A180-081764C2E6B1}"/>
    <cellStyle name="40% - Accent6 2 5 2 2 5" xfId="16891" xr:uid="{E08E8004-5D55-42E4-BC24-47683B7A2A35}"/>
    <cellStyle name="40% - Accent6 2 5 2 3" xfId="21974" xr:uid="{F7255FA8-F6E9-44A8-A42B-75FCD4A38C27}"/>
    <cellStyle name="40% - Accent6 2 5 2 4" xfId="30421" xr:uid="{5AEA887A-B1BF-4686-AA2E-92D2BFB1F758}"/>
    <cellStyle name="40% - Accent6 2 5 2 5" xfId="38868" xr:uid="{8F52AC42-8DD3-4738-A4AF-582C407E3F76}"/>
    <cellStyle name="40% - Accent6 2 5 2 6" xfId="12674" xr:uid="{3365A317-9F94-4A55-A85C-2495F2D9415E}"/>
    <cellStyle name="40% - Accent6 2 5 3" xfId="5420" xr:uid="{00000000-0005-0000-0000-000026070000}"/>
    <cellStyle name="40% - Accent6 2 5 3 2" xfId="24046" xr:uid="{D6D77EE8-7F97-4B5B-9704-3C9699DEACF1}"/>
    <cellStyle name="40% - Accent6 2 5 3 3" xfId="32493" xr:uid="{436C4A84-55BC-485F-9C46-E7439E0D65ED}"/>
    <cellStyle name="40% - Accent6 2 5 3 4" xfId="40940" xr:uid="{FC84AE7A-A1AE-4CC0-977E-D6782D62A29B}"/>
    <cellStyle name="40% - Accent6 2 5 3 5" xfId="14746" xr:uid="{855332BC-73E2-4FF9-9F5E-F64284235257}"/>
    <cellStyle name="40% - Accent6 2 5 4" xfId="19829" xr:uid="{B8A1876B-688B-4674-9753-6B78ECC0F79F}"/>
    <cellStyle name="40% - Accent6 2 5 5" xfId="28276" xr:uid="{03058031-CD28-4937-8A0D-AE4131F4A26B}"/>
    <cellStyle name="40% - Accent6 2 5 6" xfId="36723" xr:uid="{2C2B3888-8A68-46BF-A2C8-08083F2C12F0}"/>
    <cellStyle name="40% - Accent6 2 5 7" xfId="10529" xr:uid="{0CCE411A-097D-4F63-A6AA-28DC3DAC15AF}"/>
    <cellStyle name="40% - Accent6 2 6" xfId="1526" xr:uid="{00000000-0005-0000-0000-000027070000}"/>
    <cellStyle name="40% - Accent6 2 6 2" xfId="3756" xr:uid="{00000000-0005-0000-0000-000028070000}"/>
    <cellStyle name="40% - Accent6 2 6 2 2" xfId="7978" xr:uid="{00000000-0005-0000-0000-000029070000}"/>
    <cellStyle name="40% - Accent6 2 6 2 2 2" xfId="26604" xr:uid="{6CF37525-CD9F-4592-B6A3-EC93A28CE232}"/>
    <cellStyle name="40% - Accent6 2 6 2 2 3" xfId="35051" xr:uid="{0FCF7D63-2927-4763-95A1-5C78281875FA}"/>
    <cellStyle name="40% - Accent6 2 6 2 2 4" xfId="43498" xr:uid="{9EA91015-78AB-462D-B321-7DA6E79E6065}"/>
    <cellStyle name="40% - Accent6 2 6 2 2 5" xfId="17304" xr:uid="{1B91A90E-1B34-49DD-97F0-8B45624E193D}"/>
    <cellStyle name="40% - Accent6 2 6 2 3" xfId="22387" xr:uid="{DB7B322F-549A-46E1-8B91-EF5BD744FF28}"/>
    <cellStyle name="40% - Accent6 2 6 2 4" xfId="30834" xr:uid="{C4E3C9F3-0A74-492E-9B67-6877B51A790D}"/>
    <cellStyle name="40% - Accent6 2 6 2 5" xfId="39281" xr:uid="{1B49F755-B8C8-4C7B-A12F-F8DF8E3956C9}"/>
    <cellStyle name="40% - Accent6 2 6 2 6" xfId="13087" xr:uid="{88E3152C-4D5C-4EE6-B645-F175B8681E41}"/>
    <cellStyle name="40% - Accent6 2 6 3" xfId="5833" xr:uid="{00000000-0005-0000-0000-00002A070000}"/>
    <cellStyle name="40% - Accent6 2 6 3 2" xfId="24459" xr:uid="{3CDA12A9-7336-4CE8-8ABC-6D37FC41BD94}"/>
    <cellStyle name="40% - Accent6 2 6 3 3" xfId="32906" xr:uid="{76A0F799-9C45-444B-A88E-C7B51943E9C0}"/>
    <cellStyle name="40% - Accent6 2 6 3 4" xfId="41353" xr:uid="{EB1536EC-51FE-4EA4-AC09-BE5761103409}"/>
    <cellStyle name="40% - Accent6 2 6 3 5" xfId="15159" xr:uid="{AF8597E7-1A0C-417B-8556-5F19CE0B9745}"/>
    <cellStyle name="40% - Accent6 2 6 4" xfId="20242" xr:uid="{F9B1B989-8844-4574-A5CE-0A27506FB152}"/>
    <cellStyle name="40% - Accent6 2 6 5" xfId="28689" xr:uid="{71D2B372-AFBF-481D-97F5-3F93F5EC2102}"/>
    <cellStyle name="40% - Accent6 2 6 6" xfId="37136" xr:uid="{EACB8CDF-D660-4C60-88CD-8E637C3DC191}"/>
    <cellStyle name="40% - Accent6 2 6 7" xfId="10942" xr:uid="{22BBCDDA-B640-4D38-8BBB-49BB3658FB76}"/>
    <cellStyle name="40% - Accent6 2 7" xfId="1940" xr:uid="{00000000-0005-0000-0000-00002B070000}"/>
    <cellStyle name="40% - Accent6 2 7 2" xfId="4169" xr:uid="{00000000-0005-0000-0000-00002C070000}"/>
    <cellStyle name="40% - Accent6 2 7 2 2" xfId="8391" xr:uid="{00000000-0005-0000-0000-00002D070000}"/>
    <cellStyle name="40% - Accent6 2 7 2 2 2" xfId="27017" xr:uid="{9F9BAF51-1C11-4B8B-8A62-02CCA35F9E75}"/>
    <cellStyle name="40% - Accent6 2 7 2 2 3" xfId="35464" xr:uid="{71860D25-F4FC-4EE0-89DE-B348B5F04DFE}"/>
    <cellStyle name="40% - Accent6 2 7 2 2 4" xfId="43911" xr:uid="{F197C5FD-6894-41A2-BE14-C05FD118A2CF}"/>
    <cellStyle name="40% - Accent6 2 7 2 2 5" xfId="17717" xr:uid="{D4D84672-7172-4EFF-A3A8-D370FAE14CDF}"/>
    <cellStyle name="40% - Accent6 2 7 2 3" xfId="22800" xr:uid="{82942AA1-C484-4C29-BF2D-4BF33D71EC2D}"/>
    <cellStyle name="40% - Accent6 2 7 2 4" xfId="31247" xr:uid="{B0364742-320F-4E22-991D-1B450364DF9F}"/>
    <cellStyle name="40% - Accent6 2 7 2 5" xfId="39694" xr:uid="{3B245FED-A6B2-431D-A650-9E40FB4C19AF}"/>
    <cellStyle name="40% - Accent6 2 7 2 6" xfId="13500" xr:uid="{B86891D1-1BC6-480C-8E8F-A4920EA7FABD}"/>
    <cellStyle name="40% - Accent6 2 7 3" xfId="6246" xr:uid="{00000000-0005-0000-0000-00002E070000}"/>
    <cellStyle name="40% - Accent6 2 7 3 2" xfId="24872" xr:uid="{FCB2E947-C5C0-4F4F-8E58-EFA7D3C52E06}"/>
    <cellStyle name="40% - Accent6 2 7 3 3" xfId="33319" xr:uid="{A45EBE5B-19C3-4383-8D35-46CB39AB689C}"/>
    <cellStyle name="40% - Accent6 2 7 3 4" xfId="41766" xr:uid="{701AD4C5-832A-45DB-A7D5-863DA4D6D60E}"/>
    <cellStyle name="40% - Accent6 2 7 3 5" xfId="15572" xr:uid="{BB7C5FE3-172E-4CE9-9AF8-7A0693268035}"/>
    <cellStyle name="40% - Accent6 2 7 4" xfId="20655" xr:uid="{3B50C312-84E5-4C92-918A-2E07A7BA26F4}"/>
    <cellStyle name="40% - Accent6 2 7 5" xfId="29102" xr:uid="{40194AA2-E373-4EBA-A02C-B220F3B0C1AC}"/>
    <cellStyle name="40% - Accent6 2 7 6" xfId="37549" xr:uid="{02F2B4CC-B3D4-4A52-99D6-D8D17AE6E1EB}"/>
    <cellStyle name="40% - Accent6 2 7 7" xfId="11355" xr:uid="{8E69A081-DC34-447D-93FB-CB06D5C8FCA0}"/>
    <cellStyle name="40% - Accent6 2 8" xfId="2353" xr:uid="{00000000-0005-0000-0000-00002F070000}"/>
    <cellStyle name="40% - Accent6 2 8 2" xfId="6659" xr:uid="{00000000-0005-0000-0000-000030070000}"/>
    <cellStyle name="40% - Accent6 2 8 2 2" xfId="25285" xr:uid="{4400426F-1255-4A9E-AE90-3D424715E368}"/>
    <cellStyle name="40% - Accent6 2 8 2 3" xfId="33732" xr:uid="{D14B9D42-34CC-4CB4-BC1A-71C40CB0EC09}"/>
    <cellStyle name="40% - Accent6 2 8 2 4" xfId="42179" xr:uid="{8DF80269-DAC7-48C2-97D9-7AF852A46096}"/>
    <cellStyle name="40% - Accent6 2 8 2 5" xfId="15985" xr:uid="{A26B7076-66CD-4A21-BB7C-624B4CD6B379}"/>
    <cellStyle name="40% - Accent6 2 8 3" xfId="21068" xr:uid="{3B763157-A2B1-49FC-AFF8-E2BC921CAED6}"/>
    <cellStyle name="40% - Accent6 2 8 4" xfId="29515" xr:uid="{B1C329A8-3F38-47AA-85D9-45E22F205C4D}"/>
    <cellStyle name="40% - Accent6 2 8 5" xfId="37962" xr:uid="{48E25D2B-6498-41A9-AE3E-615E4DCE1A56}"/>
    <cellStyle name="40% - Accent6 2 8 6" xfId="11768" xr:uid="{898520FD-9091-4933-BBEA-B8173BAAC097}"/>
    <cellStyle name="40% - Accent6 2 9" xfId="4593" xr:uid="{00000000-0005-0000-0000-000031070000}"/>
    <cellStyle name="40% - Accent6 2 9 2" xfId="23219" xr:uid="{F6624BD1-BB3C-4F60-9E03-F89129247924}"/>
    <cellStyle name="40% - Accent6 2 9 3" xfId="31666" xr:uid="{383ACC0C-9363-417B-9FBE-EE0F08B4B7DF}"/>
    <cellStyle name="40% - Accent6 2 9 4" xfId="40113" xr:uid="{594B07AB-C52E-4BB8-B2E9-7D24793553AE}"/>
    <cellStyle name="40% - Accent6 2 9 5" xfId="13919" xr:uid="{70CEB368-C9CE-4E44-BE08-C914CCC63EBA}"/>
    <cellStyle name="40% - Accent6 3" xfId="94" xr:uid="{00000000-0005-0000-0000-000032070000}"/>
    <cellStyle name="40% - Accent6 3 10" xfId="19006" xr:uid="{8383C53D-5FE1-4907-A706-95EDF443BF72}"/>
    <cellStyle name="40% - Accent6 3 11" xfId="27453" xr:uid="{13944282-7769-4104-A850-DFA8AB529623}"/>
    <cellStyle name="40% - Accent6 3 12" xfId="35900" xr:uid="{4391C0AC-EDC0-4170-BD94-15F8F43BB449}"/>
    <cellStyle name="40% - Accent6 3 13" xfId="9706" xr:uid="{EC80C578-5955-42BC-BC7A-0BF7353D2775}"/>
    <cellStyle name="40% - Accent6 3 2" xfId="95" xr:uid="{00000000-0005-0000-0000-000033070000}"/>
    <cellStyle name="40% - Accent6 3 2 10" xfId="27454" xr:uid="{9BE0CC37-EDA9-42F3-B138-2923845E3F0A}"/>
    <cellStyle name="40% - Accent6 3 2 11" xfId="35901" xr:uid="{0AA91C60-6F22-452E-BBB8-7550A76C89AB}"/>
    <cellStyle name="40% - Accent6 3 2 12" xfId="9707" xr:uid="{2B9D14D4-5787-477E-9801-FD61B5285D3D}"/>
    <cellStyle name="40% - Accent6 3 2 2" xfId="664" xr:uid="{00000000-0005-0000-0000-000034070000}"/>
    <cellStyle name="40% - Accent6 3 2 2 2" xfId="2935" xr:uid="{00000000-0005-0000-0000-000035070000}"/>
    <cellStyle name="40% - Accent6 3 2 2 2 2" xfId="7157" xr:uid="{00000000-0005-0000-0000-000036070000}"/>
    <cellStyle name="40% - Accent6 3 2 2 2 2 2" xfId="25783" xr:uid="{48F5AA5F-2690-4400-8E88-FC807511B8F5}"/>
    <cellStyle name="40% - Accent6 3 2 2 2 2 3" xfId="34230" xr:uid="{0CBF527D-9E5F-40CD-8CF4-A6B3C57C5421}"/>
    <cellStyle name="40% - Accent6 3 2 2 2 2 4" xfId="42677" xr:uid="{123D2073-CB00-4A6E-A7FF-F6E6CCCA723F}"/>
    <cellStyle name="40% - Accent6 3 2 2 2 2 5" xfId="16483" xr:uid="{F8EA0C68-C337-4B18-81A5-9CCB386A23FD}"/>
    <cellStyle name="40% - Accent6 3 2 2 2 3" xfId="21566" xr:uid="{38A200CB-BFC0-40C4-A4A1-11C72FB08205}"/>
    <cellStyle name="40% - Accent6 3 2 2 2 4" xfId="30013" xr:uid="{5D344EE8-4C2C-4D91-9EDD-CA758260596B}"/>
    <cellStyle name="40% - Accent6 3 2 2 2 5" xfId="38460" xr:uid="{06F5227A-F862-4959-A375-B69F2A96DD72}"/>
    <cellStyle name="40% - Accent6 3 2 2 2 6" xfId="12266" xr:uid="{4640CDAF-275A-4A98-B859-BEF2E1C0FDB0}"/>
    <cellStyle name="40% - Accent6 3 2 2 3" xfId="5012" xr:uid="{00000000-0005-0000-0000-000037070000}"/>
    <cellStyle name="40% - Accent6 3 2 2 3 2" xfId="23638" xr:uid="{D8DABA25-E859-4EC7-B439-9F6CAD6DAD27}"/>
    <cellStyle name="40% - Accent6 3 2 2 3 3" xfId="32085" xr:uid="{7DBA5239-CA9D-494D-81C7-FA76F2960A16}"/>
    <cellStyle name="40% - Accent6 3 2 2 3 4" xfId="40532" xr:uid="{45658C6F-4490-4F62-9E65-945B65D924FF}"/>
    <cellStyle name="40% - Accent6 3 2 2 3 5" xfId="14338" xr:uid="{885DFCFA-0E81-47A4-8C04-EF87B8C89A6D}"/>
    <cellStyle name="40% - Accent6 3 2 2 4" xfId="9504" xr:uid="{23E46585-FD8F-4BA3-8B65-284D6884E4FD}"/>
    <cellStyle name="40% - Accent6 3 2 2 4 2" xfId="18820" xr:uid="{04BC8521-49B8-4A91-ACFD-03F285021235}"/>
    <cellStyle name="40% - Accent6 3 2 2 5" xfId="19421" xr:uid="{AC8EBC9E-9B6C-4B55-A59A-9FAA0BBFC721}"/>
    <cellStyle name="40% - Accent6 3 2 2 6" xfId="27868" xr:uid="{A2A14D46-52CC-4590-B7A9-0EF196744F4E}"/>
    <cellStyle name="40% - Accent6 3 2 2 7" xfId="36315" xr:uid="{E1813EA1-63BD-44CB-9495-75332A3E482E}"/>
    <cellStyle name="40% - Accent6 3 2 2 8" xfId="10121" xr:uid="{09EB0681-931A-485B-81AA-E02145FE534F}"/>
    <cellStyle name="40% - Accent6 3 2 3" xfId="1117" xr:uid="{00000000-0005-0000-0000-000038070000}"/>
    <cellStyle name="40% - Accent6 3 2 3 2" xfId="3348" xr:uid="{00000000-0005-0000-0000-000039070000}"/>
    <cellStyle name="40% - Accent6 3 2 3 2 2" xfId="7570" xr:uid="{00000000-0005-0000-0000-00003A070000}"/>
    <cellStyle name="40% - Accent6 3 2 3 2 2 2" xfId="26196" xr:uid="{EC80BA5C-9F3E-43DA-9A4D-5A147E3B0518}"/>
    <cellStyle name="40% - Accent6 3 2 3 2 2 3" xfId="34643" xr:uid="{E85ED5DD-3622-4725-AF28-E223DD4472D9}"/>
    <cellStyle name="40% - Accent6 3 2 3 2 2 4" xfId="43090" xr:uid="{BA43AC27-37D5-4893-9550-A2E321FDD387}"/>
    <cellStyle name="40% - Accent6 3 2 3 2 2 5" xfId="16896" xr:uid="{BA0B45EC-C58B-43AB-A1F1-E1254C925079}"/>
    <cellStyle name="40% - Accent6 3 2 3 2 3" xfId="21979" xr:uid="{6B9D5E03-F47B-4158-AC61-C1B6EDA523BA}"/>
    <cellStyle name="40% - Accent6 3 2 3 2 4" xfId="30426" xr:uid="{0AB7F64B-B15E-4EE3-A389-CBA858117645}"/>
    <cellStyle name="40% - Accent6 3 2 3 2 5" xfId="38873" xr:uid="{03D1F774-0CBA-40B8-8A56-4577CEDBA5D9}"/>
    <cellStyle name="40% - Accent6 3 2 3 2 6" xfId="12679" xr:uid="{06D46AEE-2495-48AB-85C3-889979ABA993}"/>
    <cellStyle name="40% - Accent6 3 2 3 3" xfId="5425" xr:uid="{00000000-0005-0000-0000-00003B070000}"/>
    <cellStyle name="40% - Accent6 3 2 3 3 2" xfId="24051" xr:uid="{497191F7-8F63-4764-9C13-97E8A8C8A88F}"/>
    <cellStyle name="40% - Accent6 3 2 3 3 3" xfId="32498" xr:uid="{DEE69D15-4384-4BFE-8D6E-823A08F1F7BE}"/>
    <cellStyle name="40% - Accent6 3 2 3 3 4" xfId="40945" xr:uid="{4C607F18-326F-4080-A992-DC00F6006625}"/>
    <cellStyle name="40% - Accent6 3 2 3 3 5" xfId="14751" xr:uid="{BCDF3B5D-2BEE-437F-8A93-2D8DCC1CC000}"/>
    <cellStyle name="40% - Accent6 3 2 3 4" xfId="19834" xr:uid="{6CC65172-33E8-436D-B3FD-21B0D1E7A375}"/>
    <cellStyle name="40% - Accent6 3 2 3 5" xfId="28281" xr:uid="{86A53C46-ED93-4E3B-B905-6D507425731E}"/>
    <cellStyle name="40% - Accent6 3 2 3 6" xfId="36728" xr:uid="{1F6B0A00-D8AB-40EA-A07B-AB2F12811C11}"/>
    <cellStyle name="40% - Accent6 3 2 3 7" xfId="10534" xr:uid="{E378CE2D-464F-4DC0-95AC-9EAA3FA5BDC4}"/>
    <cellStyle name="40% - Accent6 3 2 4" xfId="1531" xr:uid="{00000000-0005-0000-0000-00003C070000}"/>
    <cellStyle name="40% - Accent6 3 2 4 2" xfId="3761" xr:uid="{00000000-0005-0000-0000-00003D070000}"/>
    <cellStyle name="40% - Accent6 3 2 4 2 2" xfId="7983" xr:uid="{00000000-0005-0000-0000-00003E070000}"/>
    <cellStyle name="40% - Accent6 3 2 4 2 2 2" xfId="26609" xr:uid="{947CFF51-41DD-4FBB-937C-951836D9C5F3}"/>
    <cellStyle name="40% - Accent6 3 2 4 2 2 3" xfId="35056" xr:uid="{9B3FFEB1-471E-4B43-A96C-65CFD1E3082A}"/>
    <cellStyle name="40% - Accent6 3 2 4 2 2 4" xfId="43503" xr:uid="{20B0DA01-BCFC-43CC-B855-1A177BE60735}"/>
    <cellStyle name="40% - Accent6 3 2 4 2 2 5" xfId="17309" xr:uid="{E8C8BB1D-A2CF-4D9F-966B-4D36D00D21EA}"/>
    <cellStyle name="40% - Accent6 3 2 4 2 3" xfId="22392" xr:uid="{BB2F8556-C6B4-4FDA-8709-77979B62E0C1}"/>
    <cellStyle name="40% - Accent6 3 2 4 2 4" xfId="30839" xr:uid="{62692162-16C3-4803-8EEC-7704F9FF837D}"/>
    <cellStyle name="40% - Accent6 3 2 4 2 5" xfId="39286" xr:uid="{A42BA36C-14B2-4997-B9EC-9F65DAD38EA8}"/>
    <cellStyle name="40% - Accent6 3 2 4 2 6" xfId="13092" xr:uid="{3BB6D41E-108A-4EA3-AD91-8B29C33A3DAB}"/>
    <cellStyle name="40% - Accent6 3 2 4 3" xfId="5838" xr:uid="{00000000-0005-0000-0000-00003F070000}"/>
    <cellStyle name="40% - Accent6 3 2 4 3 2" xfId="24464" xr:uid="{3F80A733-92DB-4EFB-AF1B-87DAA6F8BCB8}"/>
    <cellStyle name="40% - Accent6 3 2 4 3 3" xfId="32911" xr:uid="{7EA2BF75-C6AE-48D8-BE72-E1C139802353}"/>
    <cellStyle name="40% - Accent6 3 2 4 3 4" xfId="41358" xr:uid="{07B0D8A4-26CB-4EB9-84AB-1B17629BE1F0}"/>
    <cellStyle name="40% - Accent6 3 2 4 3 5" xfId="15164" xr:uid="{E39D2B77-6B5A-4004-9C18-B98F26437723}"/>
    <cellStyle name="40% - Accent6 3 2 4 4" xfId="20247" xr:uid="{817B0185-19A1-4AEE-9D75-024057F3901B}"/>
    <cellStyle name="40% - Accent6 3 2 4 5" xfId="28694" xr:uid="{ACFF2987-B4CD-4089-B8C7-CEBE4C78825D}"/>
    <cellStyle name="40% - Accent6 3 2 4 6" xfId="37141" xr:uid="{856BE746-7B6D-4E79-BF96-5E4E11207622}"/>
    <cellStyle name="40% - Accent6 3 2 4 7" xfId="10947" xr:uid="{103CCFB0-FAF4-4856-B15D-2D860D3BC1D1}"/>
    <cellStyle name="40% - Accent6 3 2 5" xfId="1945" xr:uid="{00000000-0005-0000-0000-000040070000}"/>
    <cellStyle name="40% - Accent6 3 2 5 2" xfId="4174" xr:uid="{00000000-0005-0000-0000-000041070000}"/>
    <cellStyle name="40% - Accent6 3 2 5 2 2" xfId="8396" xr:uid="{00000000-0005-0000-0000-000042070000}"/>
    <cellStyle name="40% - Accent6 3 2 5 2 2 2" xfId="27022" xr:uid="{27394C8F-532C-4284-ABE0-D80ECB57C859}"/>
    <cellStyle name="40% - Accent6 3 2 5 2 2 3" xfId="35469" xr:uid="{F34A9911-0475-42D5-937D-BDED9F4EA6B8}"/>
    <cellStyle name="40% - Accent6 3 2 5 2 2 4" xfId="43916" xr:uid="{BAD50064-4FB7-46EF-AF2A-A0F79D233EAD}"/>
    <cellStyle name="40% - Accent6 3 2 5 2 2 5" xfId="17722" xr:uid="{BF4033A8-B693-4D4A-A596-403239423840}"/>
    <cellStyle name="40% - Accent6 3 2 5 2 3" xfId="22805" xr:uid="{A08F8EE3-AD03-4CBB-8946-15A1B42F940D}"/>
    <cellStyle name="40% - Accent6 3 2 5 2 4" xfId="31252" xr:uid="{4A21D746-B676-4120-B402-65399666D7EE}"/>
    <cellStyle name="40% - Accent6 3 2 5 2 5" xfId="39699" xr:uid="{D463E5AA-8D6E-466C-95D7-A43DE06D94FC}"/>
    <cellStyle name="40% - Accent6 3 2 5 2 6" xfId="13505" xr:uid="{057D68EF-C9F4-409A-BBE7-94FE4252FB92}"/>
    <cellStyle name="40% - Accent6 3 2 5 3" xfId="6251" xr:uid="{00000000-0005-0000-0000-000043070000}"/>
    <cellStyle name="40% - Accent6 3 2 5 3 2" xfId="24877" xr:uid="{78060620-54A0-4770-9D6E-1D13ED75F0ED}"/>
    <cellStyle name="40% - Accent6 3 2 5 3 3" xfId="33324" xr:uid="{C8E9EFD5-4895-49D2-B5C6-A4D4D6007F9F}"/>
    <cellStyle name="40% - Accent6 3 2 5 3 4" xfId="41771" xr:uid="{0364A5FB-993F-4295-AF92-429DF4AF671C}"/>
    <cellStyle name="40% - Accent6 3 2 5 3 5" xfId="15577" xr:uid="{5605252A-AB99-4164-B101-456B3263CB01}"/>
    <cellStyle name="40% - Accent6 3 2 5 4" xfId="20660" xr:uid="{7616221C-E0F1-40C0-B17A-22401F577B90}"/>
    <cellStyle name="40% - Accent6 3 2 5 5" xfId="29107" xr:uid="{942DCFCB-626A-4EB3-A402-5569C03903EA}"/>
    <cellStyle name="40% - Accent6 3 2 5 6" xfId="37554" xr:uid="{2FC9C929-C695-416B-AA5C-7F5718AFB7FF}"/>
    <cellStyle name="40% - Accent6 3 2 5 7" xfId="11360" xr:uid="{0D0CC736-21CE-4CA4-BBFE-D8865AC853B5}"/>
    <cellStyle name="40% - Accent6 3 2 6" xfId="2358" xr:uid="{00000000-0005-0000-0000-000044070000}"/>
    <cellStyle name="40% - Accent6 3 2 6 2" xfId="6664" xr:uid="{00000000-0005-0000-0000-000045070000}"/>
    <cellStyle name="40% - Accent6 3 2 6 2 2" xfId="25290" xr:uid="{4A2AE0F9-4954-4D52-85B8-3F5025396E54}"/>
    <cellStyle name="40% - Accent6 3 2 6 2 3" xfId="33737" xr:uid="{21517068-1990-44B2-8073-8DB1F1397926}"/>
    <cellStyle name="40% - Accent6 3 2 6 2 4" xfId="42184" xr:uid="{44AE34D9-74F7-429F-BED0-31673BA1BAA2}"/>
    <cellStyle name="40% - Accent6 3 2 6 2 5" xfId="15990" xr:uid="{F2910A43-6B1E-4C4A-BA3F-1C24F9D57C6E}"/>
    <cellStyle name="40% - Accent6 3 2 6 3" xfId="21073" xr:uid="{109054D4-0704-4374-8454-87E1B6D69865}"/>
    <cellStyle name="40% - Accent6 3 2 6 4" xfId="29520" xr:uid="{724AF0ED-52FF-4528-A00E-49F00403B149}"/>
    <cellStyle name="40% - Accent6 3 2 6 5" xfId="37967" xr:uid="{8BED5AB8-28DC-4618-8B05-A5E6AB39E8C8}"/>
    <cellStyle name="40% - Accent6 3 2 6 6" xfId="11773" xr:uid="{15022B99-206F-4F0F-A242-855A33FFA748}"/>
    <cellStyle name="40% - Accent6 3 2 7" xfId="4598" xr:uid="{00000000-0005-0000-0000-000046070000}"/>
    <cellStyle name="40% - Accent6 3 2 7 2" xfId="23224" xr:uid="{10ED8AAC-8EA4-4576-AE99-CB6E11C60F89}"/>
    <cellStyle name="40% - Accent6 3 2 7 3" xfId="31671" xr:uid="{7B9F2317-E384-4D23-AEB1-5F15540476B0}"/>
    <cellStyle name="40% - Accent6 3 2 7 4" xfId="40118" xr:uid="{30C594FD-3E1B-40CB-B3DB-29AAD1B017DA}"/>
    <cellStyle name="40% - Accent6 3 2 7 5" xfId="13924" xr:uid="{C0944B3F-B2F5-48D4-93E1-9BE619A5905D}"/>
    <cellStyle name="40% - Accent6 3 2 8" xfId="9079" xr:uid="{7FA93E2E-699F-4676-8533-A3CC5F80D807}"/>
    <cellStyle name="40% - Accent6 3 2 8 2" xfId="18403" xr:uid="{B89419DE-0B3C-44CE-9C36-409600437514}"/>
    <cellStyle name="40% - Accent6 3 2 9" xfId="19007" xr:uid="{DA33BFD8-DEDE-45C1-9C60-B0A281B31707}"/>
    <cellStyle name="40% - Accent6 3 3" xfId="663" xr:uid="{00000000-0005-0000-0000-000047070000}"/>
    <cellStyle name="40% - Accent6 3 3 2" xfId="2934" xr:uid="{00000000-0005-0000-0000-000048070000}"/>
    <cellStyle name="40% - Accent6 3 3 2 2" xfId="7156" xr:uid="{00000000-0005-0000-0000-000049070000}"/>
    <cellStyle name="40% - Accent6 3 3 2 2 2" xfId="25782" xr:uid="{49071F37-AD66-48BF-B50E-A95E1FB86EFF}"/>
    <cellStyle name="40% - Accent6 3 3 2 2 3" xfId="34229" xr:uid="{9295F26B-3544-4520-8EDE-A928BE13D3CC}"/>
    <cellStyle name="40% - Accent6 3 3 2 2 4" xfId="42676" xr:uid="{F57C7C2B-E6CC-4206-9D79-D1284EBFCE8B}"/>
    <cellStyle name="40% - Accent6 3 3 2 2 5" xfId="16482" xr:uid="{2FCF4878-6975-44F6-92A3-990F9772D5B3}"/>
    <cellStyle name="40% - Accent6 3 3 2 3" xfId="21565" xr:uid="{957BCA55-E7BB-4DC6-85E9-21A3454D3CA9}"/>
    <cellStyle name="40% - Accent6 3 3 2 4" xfId="30012" xr:uid="{6BFB328B-4A6A-45C6-9F45-AAFC878D22C5}"/>
    <cellStyle name="40% - Accent6 3 3 2 5" xfId="38459" xr:uid="{B056D24B-6289-4190-80C7-2F13E40C7254}"/>
    <cellStyle name="40% - Accent6 3 3 2 6" xfId="12265" xr:uid="{24044200-C802-43B0-98C6-085689464F7C}"/>
    <cellStyle name="40% - Accent6 3 3 3" xfId="5011" xr:uid="{00000000-0005-0000-0000-00004A070000}"/>
    <cellStyle name="40% - Accent6 3 3 3 2" xfId="23637" xr:uid="{9FABA098-116F-4B20-B2F1-0EA762B08F6C}"/>
    <cellStyle name="40% - Accent6 3 3 3 3" xfId="32084" xr:uid="{769C756F-6B2C-4617-9B55-CA07575A20CE}"/>
    <cellStyle name="40% - Accent6 3 3 3 4" xfId="40531" xr:uid="{BA02EFFF-9763-4D5E-8976-1E2A0827809F}"/>
    <cellStyle name="40% - Accent6 3 3 3 5" xfId="14337" xr:uid="{0BE316D5-A21F-4B78-A082-DA85D2BD6BC9}"/>
    <cellStyle name="40% - Accent6 3 3 4" xfId="9297" xr:uid="{1226E28F-09E7-4580-8D19-7F14AC1CB4B3}"/>
    <cellStyle name="40% - Accent6 3 3 4 2" xfId="18613" xr:uid="{3E8C848E-52E3-4C01-A4FF-7B1156307FAC}"/>
    <cellStyle name="40% - Accent6 3 3 5" xfId="19420" xr:uid="{22E8929B-9D99-4FFB-9AF7-EABB12E365F2}"/>
    <cellStyle name="40% - Accent6 3 3 6" xfId="27867" xr:uid="{77BAE7AB-8999-4AD8-9280-6F3461DB969C}"/>
    <cellStyle name="40% - Accent6 3 3 7" xfId="36314" xr:uid="{0BA34DD9-A4E6-42DE-A999-12112482A4FE}"/>
    <cellStyle name="40% - Accent6 3 3 8" xfId="10120" xr:uid="{543AF012-062D-4F0E-9C1D-8DC089FDAD56}"/>
    <cellStyle name="40% - Accent6 3 4" xfId="1116" xr:uid="{00000000-0005-0000-0000-00004B070000}"/>
    <cellStyle name="40% - Accent6 3 4 2" xfId="3347" xr:uid="{00000000-0005-0000-0000-00004C070000}"/>
    <cellStyle name="40% - Accent6 3 4 2 2" xfId="7569" xr:uid="{00000000-0005-0000-0000-00004D070000}"/>
    <cellStyle name="40% - Accent6 3 4 2 2 2" xfId="26195" xr:uid="{8125EF5E-2E0D-4611-B33A-6290CC76A105}"/>
    <cellStyle name="40% - Accent6 3 4 2 2 3" xfId="34642" xr:uid="{EC997C61-1C59-42F7-8B20-D4586270C6B0}"/>
    <cellStyle name="40% - Accent6 3 4 2 2 4" xfId="43089" xr:uid="{D83A0EE7-2E02-40FD-A110-611806A56680}"/>
    <cellStyle name="40% - Accent6 3 4 2 2 5" xfId="16895" xr:uid="{C5509DA0-F52B-4253-BD5A-3BDAC52A29FA}"/>
    <cellStyle name="40% - Accent6 3 4 2 3" xfId="21978" xr:uid="{EC4C44B2-599E-4D19-9639-E0CAD2D74A52}"/>
    <cellStyle name="40% - Accent6 3 4 2 4" xfId="30425" xr:uid="{5F027CFE-85E5-40A6-BBB6-9390F9AD27BC}"/>
    <cellStyle name="40% - Accent6 3 4 2 5" xfId="38872" xr:uid="{6D83719C-0CA3-4EC8-B52F-4D8D1A8F0082}"/>
    <cellStyle name="40% - Accent6 3 4 2 6" xfId="12678" xr:uid="{891FA706-34CE-4A66-AC4F-0067CC5E41B5}"/>
    <cellStyle name="40% - Accent6 3 4 3" xfId="5424" xr:uid="{00000000-0005-0000-0000-00004E070000}"/>
    <cellStyle name="40% - Accent6 3 4 3 2" xfId="24050" xr:uid="{829335D8-3E63-4BE0-8FB3-1520AF5DC456}"/>
    <cellStyle name="40% - Accent6 3 4 3 3" xfId="32497" xr:uid="{BE7CC8E9-0F57-4078-92FA-383469239D41}"/>
    <cellStyle name="40% - Accent6 3 4 3 4" xfId="40944" xr:uid="{AEA7897A-7B29-421B-AFDD-AFFC5BD1BABB}"/>
    <cellStyle name="40% - Accent6 3 4 3 5" xfId="14750" xr:uid="{B126BF98-575C-4245-A9EE-B1A589E87233}"/>
    <cellStyle name="40% - Accent6 3 4 4" xfId="19833" xr:uid="{D66CA3E2-4BC2-425C-B0EF-C13A800C8603}"/>
    <cellStyle name="40% - Accent6 3 4 5" xfId="28280" xr:uid="{26D54250-D058-498B-81BD-BC9C1FF3DAB2}"/>
    <cellStyle name="40% - Accent6 3 4 6" xfId="36727" xr:uid="{BEB5817F-6C5C-4888-A7B5-D91525DE725B}"/>
    <cellStyle name="40% - Accent6 3 4 7" xfId="10533" xr:uid="{D540AAF0-DC9F-4BD9-AB59-8B167C493301}"/>
    <cellStyle name="40% - Accent6 3 5" xfId="1530" xr:uid="{00000000-0005-0000-0000-00004F070000}"/>
    <cellStyle name="40% - Accent6 3 5 2" xfId="3760" xr:uid="{00000000-0005-0000-0000-000050070000}"/>
    <cellStyle name="40% - Accent6 3 5 2 2" xfId="7982" xr:uid="{00000000-0005-0000-0000-000051070000}"/>
    <cellStyle name="40% - Accent6 3 5 2 2 2" xfId="26608" xr:uid="{6D9C659A-91F3-4AF9-A3D0-8197C9F1DD84}"/>
    <cellStyle name="40% - Accent6 3 5 2 2 3" xfId="35055" xr:uid="{37F4C979-81F5-44AE-B2FE-473BB02EE38D}"/>
    <cellStyle name="40% - Accent6 3 5 2 2 4" xfId="43502" xr:uid="{68289AA5-5DFB-4F40-9038-C7CAB67D5EE3}"/>
    <cellStyle name="40% - Accent6 3 5 2 2 5" xfId="17308" xr:uid="{0E18874B-9FAD-430D-92F0-36C927B99141}"/>
    <cellStyle name="40% - Accent6 3 5 2 3" xfId="22391" xr:uid="{2AA548F1-1A28-42BA-A016-42501688E7CA}"/>
    <cellStyle name="40% - Accent6 3 5 2 4" xfId="30838" xr:uid="{FCB48A5A-BBE8-4325-BA46-B0E07A801F7F}"/>
    <cellStyle name="40% - Accent6 3 5 2 5" xfId="39285" xr:uid="{067A5686-D519-404B-A920-607040A9BF33}"/>
    <cellStyle name="40% - Accent6 3 5 2 6" xfId="13091" xr:uid="{78BA4A21-73A0-4FFA-AFEC-D67FE7D86070}"/>
    <cellStyle name="40% - Accent6 3 5 3" xfId="5837" xr:uid="{00000000-0005-0000-0000-000052070000}"/>
    <cellStyle name="40% - Accent6 3 5 3 2" xfId="24463" xr:uid="{085C4057-DC57-49EB-BCD2-FF6FF66BEDC2}"/>
    <cellStyle name="40% - Accent6 3 5 3 3" xfId="32910" xr:uid="{ED67EE2E-0AD6-4D18-8A3D-7FF2D7360156}"/>
    <cellStyle name="40% - Accent6 3 5 3 4" xfId="41357" xr:uid="{10B19075-CA38-4C4A-A984-444686D273F2}"/>
    <cellStyle name="40% - Accent6 3 5 3 5" xfId="15163" xr:uid="{243F76BF-B02F-4C03-BC46-AB40C106E011}"/>
    <cellStyle name="40% - Accent6 3 5 4" xfId="20246" xr:uid="{180A5423-119B-4555-8C2D-F8C0215633FB}"/>
    <cellStyle name="40% - Accent6 3 5 5" xfId="28693" xr:uid="{DD1CA709-D12F-4CE7-B0F2-F627E6B9AE81}"/>
    <cellStyle name="40% - Accent6 3 5 6" xfId="37140" xr:uid="{03CEF6A3-BFF7-4286-B944-05360DAAF6AD}"/>
    <cellStyle name="40% - Accent6 3 5 7" xfId="10946" xr:uid="{7DE113F6-52AF-452B-B85B-26772A71B3F6}"/>
    <cellStyle name="40% - Accent6 3 6" xfId="1944" xr:uid="{00000000-0005-0000-0000-000053070000}"/>
    <cellStyle name="40% - Accent6 3 6 2" xfId="4173" xr:uid="{00000000-0005-0000-0000-000054070000}"/>
    <cellStyle name="40% - Accent6 3 6 2 2" xfId="8395" xr:uid="{00000000-0005-0000-0000-000055070000}"/>
    <cellStyle name="40% - Accent6 3 6 2 2 2" xfId="27021" xr:uid="{8912D6E4-8511-4982-A932-FF63BDD460EB}"/>
    <cellStyle name="40% - Accent6 3 6 2 2 3" xfId="35468" xr:uid="{4EE8880E-1AAF-4B09-8B60-FECB45167C16}"/>
    <cellStyle name="40% - Accent6 3 6 2 2 4" xfId="43915" xr:uid="{499A289E-0AEF-428C-ABB7-DF31752E27EC}"/>
    <cellStyle name="40% - Accent6 3 6 2 2 5" xfId="17721" xr:uid="{11A8C3B1-7BEB-4C47-B73F-22440F700818}"/>
    <cellStyle name="40% - Accent6 3 6 2 3" xfId="22804" xr:uid="{03BAFDC2-EF0A-4A34-81B1-E7B878EBF98C}"/>
    <cellStyle name="40% - Accent6 3 6 2 4" xfId="31251" xr:uid="{47513B6D-3ED7-4925-AF52-CE02016F13D4}"/>
    <cellStyle name="40% - Accent6 3 6 2 5" xfId="39698" xr:uid="{D37485D7-357B-4D79-8655-5457A46DED05}"/>
    <cellStyle name="40% - Accent6 3 6 2 6" xfId="13504" xr:uid="{20F2D9B7-A79F-4AD6-AAED-B996383CA0F8}"/>
    <cellStyle name="40% - Accent6 3 6 3" xfId="6250" xr:uid="{00000000-0005-0000-0000-000056070000}"/>
    <cellStyle name="40% - Accent6 3 6 3 2" xfId="24876" xr:uid="{9EBA0F24-6C5C-4B8E-A315-76A225F4DF7D}"/>
    <cellStyle name="40% - Accent6 3 6 3 3" xfId="33323" xr:uid="{5B8B9676-7720-4CCD-BCBB-A1D52F26E097}"/>
    <cellStyle name="40% - Accent6 3 6 3 4" xfId="41770" xr:uid="{74A1A0FC-94B1-4FA6-A16B-6AA695F47AB1}"/>
    <cellStyle name="40% - Accent6 3 6 3 5" xfId="15576" xr:uid="{E1299DAD-C236-4E9E-AA1A-A4F51C4C329D}"/>
    <cellStyle name="40% - Accent6 3 6 4" xfId="20659" xr:uid="{CCA59083-D4CB-4D86-9BA6-7E7484A6899C}"/>
    <cellStyle name="40% - Accent6 3 6 5" xfId="29106" xr:uid="{75272453-E826-4F49-8DF7-76D7AB8BBC72}"/>
    <cellStyle name="40% - Accent6 3 6 6" xfId="37553" xr:uid="{95982F66-C552-431D-BA68-54137FB22328}"/>
    <cellStyle name="40% - Accent6 3 6 7" xfId="11359" xr:uid="{21EF1FFF-303C-4567-B79F-DDA4A9901B5E}"/>
    <cellStyle name="40% - Accent6 3 7" xfId="2357" xr:uid="{00000000-0005-0000-0000-000057070000}"/>
    <cellStyle name="40% - Accent6 3 7 2" xfId="6663" xr:uid="{00000000-0005-0000-0000-000058070000}"/>
    <cellStyle name="40% - Accent6 3 7 2 2" xfId="25289" xr:uid="{AB787D3B-F092-42CC-B8E9-4521D1C0252E}"/>
    <cellStyle name="40% - Accent6 3 7 2 3" xfId="33736" xr:uid="{29135029-40EE-46BA-B9C3-3491E718E033}"/>
    <cellStyle name="40% - Accent6 3 7 2 4" xfId="42183" xr:uid="{725A0D3E-C20A-4CB3-8F3E-1A4BBF169E62}"/>
    <cellStyle name="40% - Accent6 3 7 2 5" xfId="15989" xr:uid="{BE9BD988-602B-47C7-8A50-7ECB7C64B427}"/>
    <cellStyle name="40% - Accent6 3 7 3" xfId="21072" xr:uid="{36FF349E-7633-46CD-BB68-8F0AEEE3E4BE}"/>
    <cellStyle name="40% - Accent6 3 7 4" xfId="29519" xr:uid="{D28D900F-3104-460D-8369-A710897D6995}"/>
    <cellStyle name="40% - Accent6 3 7 5" xfId="37966" xr:uid="{27F192DD-36EF-4D68-8D38-C341D83C01B1}"/>
    <cellStyle name="40% - Accent6 3 7 6" xfId="11772" xr:uid="{C622011E-73CA-4447-86DD-2B6202E2E121}"/>
    <cellStyle name="40% - Accent6 3 8" xfId="4597" xr:uid="{00000000-0005-0000-0000-000059070000}"/>
    <cellStyle name="40% - Accent6 3 8 2" xfId="23223" xr:uid="{33D02C91-F67E-409D-8907-6063653DCF57}"/>
    <cellStyle name="40% - Accent6 3 8 3" xfId="31670" xr:uid="{7716FB4B-3241-4AEB-95EF-4F2F1006F3E2}"/>
    <cellStyle name="40% - Accent6 3 8 4" xfId="40117" xr:uid="{6C81CCB3-505D-4566-9A4D-3CA947271573}"/>
    <cellStyle name="40% - Accent6 3 8 5" xfId="13923" xr:uid="{668258BE-CE20-482E-B6EF-87A2E5312363}"/>
    <cellStyle name="40% - Accent6 3 9" xfId="8872" xr:uid="{E018AF0F-504E-4DED-BF70-CC97997D74E9}"/>
    <cellStyle name="40% - Accent6 3 9 2" xfId="18196" xr:uid="{3857A329-567A-4715-991D-ED2620DA67F7}"/>
    <cellStyle name="40% - Accent6 4" xfId="96" xr:uid="{00000000-0005-0000-0000-00005A070000}"/>
    <cellStyle name="40% - Accent6 4 10" xfId="27455" xr:uid="{AD39EAA1-0B15-4478-AB42-D40A6B4EF97D}"/>
    <cellStyle name="40% - Accent6 4 11" xfId="35902" xr:uid="{CFC54DF7-8B45-4D45-971F-3CFA85D1E65F}"/>
    <cellStyle name="40% - Accent6 4 12" xfId="9708" xr:uid="{16B96766-6FB4-4FAE-B1BA-80099D9BA9AE}"/>
    <cellStyle name="40% - Accent6 4 2" xfId="665" xr:uid="{00000000-0005-0000-0000-00005B070000}"/>
    <cellStyle name="40% - Accent6 4 2 2" xfId="2936" xr:uid="{00000000-0005-0000-0000-00005C070000}"/>
    <cellStyle name="40% - Accent6 4 2 2 2" xfId="7158" xr:uid="{00000000-0005-0000-0000-00005D070000}"/>
    <cellStyle name="40% - Accent6 4 2 2 2 2" xfId="25784" xr:uid="{AC1D74DB-5EF5-482E-BD91-A2463EC0470F}"/>
    <cellStyle name="40% - Accent6 4 2 2 2 3" xfId="34231" xr:uid="{2E613FFC-4B29-466E-B839-84FCAA79C603}"/>
    <cellStyle name="40% - Accent6 4 2 2 2 4" xfId="42678" xr:uid="{48251ACC-A874-4133-8F50-E21095C2EF60}"/>
    <cellStyle name="40% - Accent6 4 2 2 2 5" xfId="16484" xr:uid="{7DAF329F-D961-4E2C-8D2B-F1A65D3F7326}"/>
    <cellStyle name="40% - Accent6 4 2 2 3" xfId="21567" xr:uid="{96569262-AC63-481A-B793-9669917A4FB7}"/>
    <cellStyle name="40% - Accent6 4 2 2 4" xfId="30014" xr:uid="{7E8EA493-7984-4D88-80E1-02A4CDF882BD}"/>
    <cellStyle name="40% - Accent6 4 2 2 5" xfId="38461" xr:uid="{4380C33A-71A2-4CAB-B464-7F0D88018A18}"/>
    <cellStyle name="40% - Accent6 4 2 2 6" xfId="12267" xr:uid="{0575B9C8-BF49-44B2-AF63-8AF97DA9FEA1}"/>
    <cellStyle name="40% - Accent6 4 2 3" xfId="5013" xr:uid="{00000000-0005-0000-0000-00005E070000}"/>
    <cellStyle name="40% - Accent6 4 2 3 2" xfId="23639" xr:uid="{ACDA8150-964A-4D18-A622-66BB53B0DEB5}"/>
    <cellStyle name="40% - Accent6 4 2 3 3" xfId="32086" xr:uid="{D59FDB7B-551E-4A5B-90A0-1936BD07A360}"/>
    <cellStyle name="40% - Accent6 4 2 3 4" xfId="40533" xr:uid="{D333C138-0ACC-45F0-8A90-7EABD5A3D740}"/>
    <cellStyle name="40% - Accent6 4 2 3 5" xfId="14339" xr:uid="{E07686F0-7BC7-4AE0-A291-8CB40AD1BB73}"/>
    <cellStyle name="40% - Accent6 4 2 4" xfId="9383" xr:uid="{07C7426F-B517-4815-A0BF-2BAE02B26B53}"/>
    <cellStyle name="40% - Accent6 4 2 4 2" xfId="18699" xr:uid="{F95EE4EB-CA93-494F-B918-C68183265B2E}"/>
    <cellStyle name="40% - Accent6 4 2 5" xfId="19422" xr:uid="{AAC6A4B1-6B6F-49E9-A065-68B531FD057F}"/>
    <cellStyle name="40% - Accent6 4 2 6" xfId="27869" xr:uid="{558C844E-7BDD-4D82-9D8F-D17DD5E7A671}"/>
    <cellStyle name="40% - Accent6 4 2 7" xfId="36316" xr:uid="{5490E7F9-0F7C-4706-8AC3-C30750A6620B}"/>
    <cellStyle name="40% - Accent6 4 2 8" xfId="10122" xr:uid="{8E7B8346-49B5-4160-96A1-84CD6ABB9419}"/>
    <cellStyle name="40% - Accent6 4 3" xfId="1118" xr:uid="{00000000-0005-0000-0000-00005F070000}"/>
    <cellStyle name="40% - Accent6 4 3 2" xfId="3349" xr:uid="{00000000-0005-0000-0000-000060070000}"/>
    <cellStyle name="40% - Accent6 4 3 2 2" xfId="7571" xr:uid="{00000000-0005-0000-0000-000061070000}"/>
    <cellStyle name="40% - Accent6 4 3 2 2 2" xfId="26197" xr:uid="{ED262FEB-DCD0-420D-A044-2290E4F8095C}"/>
    <cellStyle name="40% - Accent6 4 3 2 2 3" xfId="34644" xr:uid="{DA4F6472-ED49-4961-A55D-017BE016F08E}"/>
    <cellStyle name="40% - Accent6 4 3 2 2 4" xfId="43091" xr:uid="{EA42C81E-1616-4792-A667-8BD0D2ACAA89}"/>
    <cellStyle name="40% - Accent6 4 3 2 2 5" xfId="16897" xr:uid="{EA22A3A8-5FE5-4684-AAC6-99CD98C933C3}"/>
    <cellStyle name="40% - Accent6 4 3 2 3" xfId="21980" xr:uid="{E9F4477B-6B64-4F8F-84B6-DABEA7027258}"/>
    <cellStyle name="40% - Accent6 4 3 2 4" xfId="30427" xr:uid="{10043FDB-5220-4B3E-97E0-4014C57408AA}"/>
    <cellStyle name="40% - Accent6 4 3 2 5" xfId="38874" xr:uid="{FA9D93A0-C323-49A5-B2BD-B62072F40FBB}"/>
    <cellStyle name="40% - Accent6 4 3 2 6" xfId="12680" xr:uid="{2008C3C8-D9CB-4EAF-BD9F-E96388B9AD67}"/>
    <cellStyle name="40% - Accent6 4 3 3" xfId="5426" xr:uid="{00000000-0005-0000-0000-000062070000}"/>
    <cellStyle name="40% - Accent6 4 3 3 2" xfId="24052" xr:uid="{00C03012-C65D-4608-833D-FF421412D8A9}"/>
    <cellStyle name="40% - Accent6 4 3 3 3" xfId="32499" xr:uid="{EF4623E6-A1A6-41FF-9948-47F9B3E5B307}"/>
    <cellStyle name="40% - Accent6 4 3 3 4" xfId="40946" xr:uid="{F5D40F55-C851-462E-9ADF-BFC83CB8EA19}"/>
    <cellStyle name="40% - Accent6 4 3 3 5" xfId="14752" xr:uid="{8FF91E18-148D-4D8C-8647-999DC03FEC58}"/>
    <cellStyle name="40% - Accent6 4 3 4" xfId="19835" xr:uid="{8EF7396A-C847-4D0F-9A3F-3225F22C5D8A}"/>
    <cellStyle name="40% - Accent6 4 3 5" xfId="28282" xr:uid="{E37EF7E7-EFAD-4B0D-A944-5EE5DDE8E334}"/>
    <cellStyle name="40% - Accent6 4 3 6" xfId="36729" xr:uid="{B64B4BF3-B441-4248-90C5-28056E1888C8}"/>
    <cellStyle name="40% - Accent6 4 3 7" xfId="10535" xr:uid="{EE57726D-8F31-4327-8674-9CE5F6D9061B}"/>
    <cellStyle name="40% - Accent6 4 4" xfId="1532" xr:uid="{00000000-0005-0000-0000-000063070000}"/>
    <cellStyle name="40% - Accent6 4 4 2" xfId="3762" xr:uid="{00000000-0005-0000-0000-000064070000}"/>
    <cellStyle name="40% - Accent6 4 4 2 2" xfId="7984" xr:uid="{00000000-0005-0000-0000-000065070000}"/>
    <cellStyle name="40% - Accent6 4 4 2 2 2" xfId="26610" xr:uid="{037D7650-0B4F-4E44-B986-CB256AF7A817}"/>
    <cellStyle name="40% - Accent6 4 4 2 2 3" xfId="35057" xr:uid="{563AD016-725F-433B-AF71-7448230CAAA1}"/>
    <cellStyle name="40% - Accent6 4 4 2 2 4" xfId="43504" xr:uid="{AA2A9640-C907-4DE2-90A1-48E146490D42}"/>
    <cellStyle name="40% - Accent6 4 4 2 2 5" xfId="17310" xr:uid="{40B46B4A-36D7-4BD9-B6AB-E8B546A3CAC8}"/>
    <cellStyle name="40% - Accent6 4 4 2 3" xfId="22393" xr:uid="{0A5BE02B-CCDE-4068-AB8D-1F082DE68413}"/>
    <cellStyle name="40% - Accent6 4 4 2 4" xfId="30840" xr:uid="{79FB41E9-7C61-427E-ABD9-011DEF765580}"/>
    <cellStyle name="40% - Accent6 4 4 2 5" xfId="39287" xr:uid="{DEEADDAF-FDB8-4C0D-8333-F17B91F4DD2A}"/>
    <cellStyle name="40% - Accent6 4 4 2 6" xfId="13093" xr:uid="{C153E24B-AA6C-4537-A283-ECACEA1F7282}"/>
    <cellStyle name="40% - Accent6 4 4 3" xfId="5839" xr:uid="{00000000-0005-0000-0000-000066070000}"/>
    <cellStyle name="40% - Accent6 4 4 3 2" xfId="24465" xr:uid="{88026F0B-BF71-4783-8696-05C5D0E4680A}"/>
    <cellStyle name="40% - Accent6 4 4 3 3" xfId="32912" xr:uid="{65360B6E-AA48-47DC-B51C-87E63A9B3B54}"/>
    <cellStyle name="40% - Accent6 4 4 3 4" xfId="41359" xr:uid="{D4BACA11-0419-423E-A1AA-AEA98A9F7238}"/>
    <cellStyle name="40% - Accent6 4 4 3 5" xfId="15165" xr:uid="{E6EAE123-46A1-45F2-B252-29821FFF1EBE}"/>
    <cellStyle name="40% - Accent6 4 4 4" xfId="20248" xr:uid="{00560472-ED73-40A5-BD8B-B08E647A27CE}"/>
    <cellStyle name="40% - Accent6 4 4 5" xfId="28695" xr:uid="{556BC9ED-EFAC-4F95-ADE4-63FA499BC90C}"/>
    <cellStyle name="40% - Accent6 4 4 6" xfId="37142" xr:uid="{81960E0D-1B36-479E-88ED-69A6CFF289E7}"/>
    <cellStyle name="40% - Accent6 4 4 7" xfId="10948" xr:uid="{86CE0F3F-03D8-488B-8EF7-7E39E359629B}"/>
    <cellStyle name="40% - Accent6 4 5" xfId="1946" xr:uid="{00000000-0005-0000-0000-000067070000}"/>
    <cellStyle name="40% - Accent6 4 5 2" xfId="4175" xr:uid="{00000000-0005-0000-0000-000068070000}"/>
    <cellStyle name="40% - Accent6 4 5 2 2" xfId="8397" xr:uid="{00000000-0005-0000-0000-000069070000}"/>
    <cellStyle name="40% - Accent6 4 5 2 2 2" xfId="27023" xr:uid="{019F22F9-B09A-4A28-9E26-27CE115B6B62}"/>
    <cellStyle name="40% - Accent6 4 5 2 2 3" xfId="35470" xr:uid="{73AA8A7E-A4FB-4653-B203-E80DF495CDAE}"/>
    <cellStyle name="40% - Accent6 4 5 2 2 4" xfId="43917" xr:uid="{437CF018-5FB8-46CC-A1BE-A5E6957F775E}"/>
    <cellStyle name="40% - Accent6 4 5 2 2 5" xfId="17723" xr:uid="{13AED7D9-3360-4EC6-8D0B-6F5AF6A8F084}"/>
    <cellStyle name="40% - Accent6 4 5 2 3" xfId="22806" xr:uid="{73592713-826A-4925-8658-3AFB6DA03A63}"/>
    <cellStyle name="40% - Accent6 4 5 2 4" xfId="31253" xr:uid="{77EDB547-8507-4B1E-A4B4-DFAD86103568}"/>
    <cellStyle name="40% - Accent6 4 5 2 5" xfId="39700" xr:uid="{AFB575E4-0117-49E3-ADE9-2EAFDB80761D}"/>
    <cellStyle name="40% - Accent6 4 5 2 6" xfId="13506" xr:uid="{107CDB22-2699-4086-90E5-3AEA674A91D0}"/>
    <cellStyle name="40% - Accent6 4 5 3" xfId="6252" xr:uid="{00000000-0005-0000-0000-00006A070000}"/>
    <cellStyle name="40% - Accent6 4 5 3 2" xfId="24878" xr:uid="{11159CE6-BEA2-472E-BB36-6C88C27D0D13}"/>
    <cellStyle name="40% - Accent6 4 5 3 3" xfId="33325" xr:uid="{AF90B63D-669B-4ADA-8189-569C19D80279}"/>
    <cellStyle name="40% - Accent6 4 5 3 4" xfId="41772" xr:uid="{F6E211D6-B395-4F07-B7D4-D7B99AAA91BC}"/>
    <cellStyle name="40% - Accent6 4 5 3 5" xfId="15578" xr:uid="{B2351893-6DAE-430B-BB9A-2C33432FCBA1}"/>
    <cellStyle name="40% - Accent6 4 5 4" xfId="20661" xr:uid="{49058749-B9D1-406E-9BD7-B833027F7808}"/>
    <cellStyle name="40% - Accent6 4 5 5" xfId="29108" xr:uid="{F285B05E-0A7D-4DA1-88D0-DDB0772B3420}"/>
    <cellStyle name="40% - Accent6 4 5 6" xfId="37555" xr:uid="{30AF684C-5BE6-4658-91D6-40A0FF8361E9}"/>
    <cellStyle name="40% - Accent6 4 5 7" xfId="11361" xr:uid="{1662B19D-79CC-4105-BBC4-9DA8375AF309}"/>
    <cellStyle name="40% - Accent6 4 6" xfId="2359" xr:uid="{00000000-0005-0000-0000-00006B070000}"/>
    <cellStyle name="40% - Accent6 4 6 2" xfId="6665" xr:uid="{00000000-0005-0000-0000-00006C070000}"/>
    <cellStyle name="40% - Accent6 4 6 2 2" xfId="25291" xr:uid="{CD9AD800-F4E6-4399-981C-53397C0BB489}"/>
    <cellStyle name="40% - Accent6 4 6 2 3" xfId="33738" xr:uid="{418EFF64-3178-4A04-A642-950174A23F94}"/>
    <cellStyle name="40% - Accent6 4 6 2 4" xfId="42185" xr:uid="{72858E87-3C9B-47A0-94F0-CE8B5688AA11}"/>
    <cellStyle name="40% - Accent6 4 6 2 5" xfId="15991" xr:uid="{E3586092-C912-4082-AE9E-935076227040}"/>
    <cellStyle name="40% - Accent6 4 6 3" xfId="21074" xr:uid="{4E8584D6-9A10-4AF5-9EB3-1433CDD6C81A}"/>
    <cellStyle name="40% - Accent6 4 6 4" xfId="29521" xr:uid="{D02301F3-3DA3-4986-8AD7-4E3490020140}"/>
    <cellStyle name="40% - Accent6 4 6 5" xfId="37968" xr:uid="{2A400600-3882-4186-BB48-778F136C354B}"/>
    <cellStyle name="40% - Accent6 4 6 6" xfId="11774" xr:uid="{E6DADC6D-7DDF-4745-A32E-F1371C20A55F}"/>
    <cellStyle name="40% - Accent6 4 7" xfId="4599" xr:uid="{00000000-0005-0000-0000-00006D070000}"/>
    <cellStyle name="40% - Accent6 4 7 2" xfId="23225" xr:uid="{4C8B17DF-BF86-4219-A5D4-D491A3D12350}"/>
    <cellStyle name="40% - Accent6 4 7 3" xfId="31672" xr:uid="{D3812E20-A6C2-47BB-8CDB-806C3C5D9E45}"/>
    <cellStyle name="40% - Accent6 4 7 4" xfId="40119" xr:uid="{741CD136-48A4-4E7E-A955-14F2C0E29802}"/>
    <cellStyle name="40% - Accent6 4 7 5" xfId="13925" xr:uid="{27FB78C4-F4B6-402A-8856-75024F37679A}"/>
    <cellStyle name="40% - Accent6 4 8" xfId="8958" xr:uid="{058203D5-6D6D-4106-8D68-93F66B236239}"/>
    <cellStyle name="40% - Accent6 4 8 2" xfId="18282" xr:uid="{44BD4689-37CB-4490-B09E-18CDD82B274E}"/>
    <cellStyle name="40% - Accent6 4 9" xfId="19008" xr:uid="{7FE504A8-3AA3-4ABE-AC11-21C700409B19}"/>
    <cellStyle name="40% - Accent6 5" xfId="658" xr:uid="{00000000-0005-0000-0000-00006E070000}"/>
    <cellStyle name="40% - Accent6 5 2" xfId="2929" xr:uid="{00000000-0005-0000-0000-00006F070000}"/>
    <cellStyle name="40% - Accent6 5 2 2" xfId="7151" xr:uid="{00000000-0005-0000-0000-000070070000}"/>
    <cellStyle name="40% - Accent6 5 2 2 2" xfId="25777" xr:uid="{3FE5A345-15E7-471D-B481-D892B758B472}"/>
    <cellStyle name="40% - Accent6 5 2 2 3" xfId="34224" xr:uid="{A1C39A02-3F1F-4C34-BC7D-0FD19F3A4F60}"/>
    <cellStyle name="40% - Accent6 5 2 2 4" xfId="42671" xr:uid="{B1AAB62A-7D52-4161-A76A-AAD2C2D66B83}"/>
    <cellStyle name="40% - Accent6 5 2 2 5" xfId="16477" xr:uid="{FD1E5D5F-2D11-4381-A9C7-4B8407A5CB90}"/>
    <cellStyle name="40% - Accent6 5 2 3" xfId="21560" xr:uid="{F8B6A967-0006-47F4-BA2E-FE30AE1FFC06}"/>
    <cellStyle name="40% - Accent6 5 2 4" xfId="30007" xr:uid="{F965E64F-5A6B-4619-BBFA-6D41A98346C7}"/>
    <cellStyle name="40% - Accent6 5 2 5" xfId="38454" xr:uid="{2BD3C728-8CB3-480B-A929-310779F1529E}"/>
    <cellStyle name="40% - Accent6 5 2 6" xfId="12260" xr:uid="{2FCA2366-DB01-40EA-A2BC-8F026D6C7EA1}"/>
    <cellStyle name="40% - Accent6 5 3" xfId="5006" xr:uid="{00000000-0005-0000-0000-000071070000}"/>
    <cellStyle name="40% - Accent6 5 3 2" xfId="23632" xr:uid="{C4BC5A5F-5242-4988-8045-2E31080BBBA4}"/>
    <cellStyle name="40% - Accent6 5 3 3" xfId="32079" xr:uid="{49AA750F-4EDD-4CE0-A6DA-4BA9B0B31D40}"/>
    <cellStyle name="40% - Accent6 5 3 4" xfId="40526" xr:uid="{09B12B5F-26E7-4DCE-8C5C-39A9F8F40F34}"/>
    <cellStyle name="40% - Accent6 5 3 5" xfId="14332" xr:uid="{C6804080-A2EC-4DD6-BAA3-47266AAAE9E9}"/>
    <cellStyle name="40% - Accent6 5 4" xfId="9192" xr:uid="{19661A88-B46A-4EF9-A9F3-4BCF8E242108}"/>
    <cellStyle name="40% - Accent6 5 4 2" xfId="18510" xr:uid="{F0CB51AE-14E0-498F-923A-3BAB31EABDC3}"/>
    <cellStyle name="40% - Accent6 5 5" xfId="19415" xr:uid="{82A2F811-BE5C-487D-B5D7-F30BCD55DDBD}"/>
    <cellStyle name="40% - Accent6 5 6" xfId="27862" xr:uid="{D155432C-00FB-4763-8A44-143EF4B43C44}"/>
    <cellStyle name="40% - Accent6 5 7" xfId="36309" xr:uid="{D1C9C9A3-E63E-4F93-AB3C-60EA87BC96AB}"/>
    <cellStyle name="40% - Accent6 5 8" xfId="10115" xr:uid="{AD8836B2-86B3-4C40-AA56-265716B92934}"/>
    <cellStyle name="40% - Accent6 6" xfId="1111" xr:uid="{00000000-0005-0000-0000-000072070000}"/>
    <cellStyle name="40% - Accent6 6 2" xfId="3342" xr:uid="{00000000-0005-0000-0000-000073070000}"/>
    <cellStyle name="40% - Accent6 6 2 2" xfId="7564" xr:uid="{00000000-0005-0000-0000-000074070000}"/>
    <cellStyle name="40% - Accent6 6 2 2 2" xfId="26190" xr:uid="{B0881C31-4E56-4265-A769-0DEAAB3978E0}"/>
    <cellStyle name="40% - Accent6 6 2 2 3" xfId="34637" xr:uid="{F440D819-A702-400E-A2AB-411427602A1E}"/>
    <cellStyle name="40% - Accent6 6 2 2 4" xfId="43084" xr:uid="{8626287B-02A7-407B-AAEE-90605BACAD10}"/>
    <cellStyle name="40% - Accent6 6 2 2 5" xfId="16890" xr:uid="{C9E29A48-9DAF-421E-A651-68282940FDAD}"/>
    <cellStyle name="40% - Accent6 6 2 3" xfId="21973" xr:uid="{D8D818AE-BF2F-49E3-B416-7CE97DC7A24D}"/>
    <cellStyle name="40% - Accent6 6 2 4" xfId="30420" xr:uid="{7210F89C-3B14-4386-8D55-C4402B264E1A}"/>
    <cellStyle name="40% - Accent6 6 2 5" xfId="38867" xr:uid="{A4DF3816-621A-4E8A-B6E4-55338098538C}"/>
    <cellStyle name="40% - Accent6 6 2 6" xfId="12673" xr:uid="{E8943A44-47EE-4F9A-88DA-B4C4A89211F4}"/>
    <cellStyle name="40% - Accent6 6 3" xfId="5419" xr:uid="{00000000-0005-0000-0000-000075070000}"/>
    <cellStyle name="40% - Accent6 6 3 2" xfId="24045" xr:uid="{6A97E464-307C-4F0E-AB88-F0503CFE7B34}"/>
    <cellStyle name="40% - Accent6 6 3 3" xfId="32492" xr:uid="{D9D3B51E-64AA-4DCF-9768-2122C57B662C}"/>
    <cellStyle name="40% - Accent6 6 3 4" xfId="40939" xr:uid="{38394970-6910-4AEC-BA4C-C7BE5EA44C0B}"/>
    <cellStyle name="40% - Accent6 6 3 5" xfId="14745" xr:uid="{D08FB208-A8B7-4A54-BC5B-0481748616DB}"/>
    <cellStyle name="40% - Accent6 6 4" xfId="19828" xr:uid="{B9E722AF-0361-4398-BB0D-DE098454DF8C}"/>
    <cellStyle name="40% - Accent6 6 5" xfId="28275" xr:uid="{0C46E3B3-37A1-42AB-B5C3-0648923B9366}"/>
    <cellStyle name="40% - Accent6 6 6" xfId="36722" xr:uid="{D590DFC7-7C4F-4A3E-83D7-6FB87683A704}"/>
    <cellStyle name="40% - Accent6 6 7" xfId="10528" xr:uid="{0E1E2EB5-C7A0-4E6C-BFBB-51DD543EE3E5}"/>
    <cellStyle name="40% - Accent6 7" xfId="1525" xr:uid="{00000000-0005-0000-0000-000076070000}"/>
    <cellStyle name="40% - Accent6 7 2" xfId="3755" xr:uid="{00000000-0005-0000-0000-000077070000}"/>
    <cellStyle name="40% - Accent6 7 2 2" xfId="7977" xr:uid="{00000000-0005-0000-0000-000078070000}"/>
    <cellStyle name="40% - Accent6 7 2 2 2" xfId="26603" xr:uid="{7E5CF6D5-537B-418F-827B-D66DC68FB6A0}"/>
    <cellStyle name="40% - Accent6 7 2 2 3" xfId="35050" xr:uid="{B8D4A7DE-0F10-41C1-B2B6-CC8EE5605B7F}"/>
    <cellStyle name="40% - Accent6 7 2 2 4" xfId="43497" xr:uid="{1CE14E60-E496-4177-89CF-4A506A870F05}"/>
    <cellStyle name="40% - Accent6 7 2 2 5" xfId="17303" xr:uid="{EBBAB08B-990F-4A44-AD75-F6DDA0731BE1}"/>
    <cellStyle name="40% - Accent6 7 2 3" xfId="22386" xr:uid="{D327E868-8660-4A2F-BAC0-643F265339BC}"/>
    <cellStyle name="40% - Accent6 7 2 4" xfId="30833" xr:uid="{8EDE7EFC-3ABF-4F49-8142-E9DF6F644D3B}"/>
    <cellStyle name="40% - Accent6 7 2 5" xfId="39280" xr:uid="{9BF31596-E56F-4709-8D3D-1BC0EE04BB10}"/>
    <cellStyle name="40% - Accent6 7 2 6" xfId="13086" xr:uid="{1E7F5D88-3398-4EF5-BE5D-8F0D11EE812C}"/>
    <cellStyle name="40% - Accent6 7 3" xfId="5832" xr:uid="{00000000-0005-0000-0000-000079070000}"/>
    <cellStyle name="40% - Accent6 7 3 2" xfId="24458" xr:uid="{0F270E36-5073-4E52-AB64-09D6D25AB2BD}"/>
    <cellStyle name="40% - Accent6 7 3 3" xfId="32905" xr:uid="{349B8961-9AF4-4E8A-852E-A76477ADF325}"/>
    <cellStyle name="40% - Accent6 7 3 4" xfId="41352" xr:uid="{345D5B54-9629-414A-989D-579D7A53A5A4}"/>
    <cellStyle name="40% - Accent6 7 3 5" xfId="15158" xr:uid="{07E094DE-6898-4729-B318-F8E4F0C2F291}"/>
    <cellStyle name="40% - Accent6 7 4" xfId="20241" xr:uid="{20AF2ABB-0D75-4B4F-A49F-348FF174A81B}"/>
    <cellStyle name="40% - Accent6 7 5" xfId="28688" xr:uid="{BF1DE78C-0FAD-4578-97BA-D909955A8EAE}"/>
    <cellStyle name="40% - Accent6 7 6" xfId="37135" xr:uid="{8F8C5C80-580B-425E-82AA-B221F6D2EEAD}"/>
    <cellStyle name="40% - Accent6 7 7" xfId="10941" xr:uid="{304E7D96-DCB6-4B53-917E-AE72057377AA}"/>
    <cellStyle name="40% - Accent6 8" xfId="1939" xr:uid="{00000000-0005-0000-0000-00007A070000}"/>
    <cellStyle name="40% - Accent6 8 2" xfId="4168" xr:uid="{00000000-0005-0000-0000-00007B070000}"/>
    <cellStyle name="40% - Accent6 8 2 2" xfId="8390" xr:uid="{00000000-0005-0000-0000-00007C070000}"/>
    <cellStyle name="40% - Accent6 8 2 2 2" xfId="27016" xr:uid="{F3EB5E56-8905-4F19-ABB3-F2F570415DFD}"/>
    <cellStyle name="40% - Accent6 8 2 2 3" xfId="35463" xr:uid="{1FAD71CE-6C96-4689-A1C0-5F7D1C0FF7BC}"/>
    <cellStyle name="40% - Accent6 8 2 2 4" xfId="43910" xr:uid="{4B52A101-E4CD-4D8D-9BF5-80D710E7F955}"/>
    <cellStyle name="40% - Accent6 8 2 2 5" xfId="17716" xr:uid="{1EB8DC80-84E0-4F1F-9FCD-E4AFFDEA4309}"/>
    <cellStyle name="40% - Accent6 8 2 3" xfId="22799" xr:uid="{8A204D64-D42E-4E4C-9254-E3E68621CA7B}"/>
    <cellStyle name="40% - Accent6 8 2 4" xfId="31246" xr:uid="{E9D468FF-4635-4524-8AB3-EB09473B082B}"/>
    <cellStyle name="40% - Accent6 8 2 5" xfId="39693" xr:uid="{30974BCB-ADD8-426F-B24F-B557075C6401}"/>
    <cellStyle name="40% - Accent6 8 2 6" xfId="13499" xr:uid="{EE70D952-2699-4654-A502-942A8AD1E3E9}"/>
    <cellStyle name="40% - Accent6 8 3" xfId="6245" xr:uid="{00000000-0005-0000-0000-00007D070000}"/>
    <cellStyle name="40% - Accent6 8 3 2" xfId="24871" xr:uid="{CD7BE06B-D974-4C3C-BC12-B0C79C27B9AD}"/>
    <cellStyle name="40% - Accent6 8 3 3" xfId="33318" xr:uid="{27E2DACB-3F79-4E65-BA37-38A874732962}"/>
    <cellStyle name="40% - Accent6 8 3 4" xfId="41765" xr:uid="{C0C1CEBA-8F97-4E5B-B70D-AA92D39B1367}"/>
    <cellStyle name="40% - Accent6 8 3 5" xfId="15571" xr:uid="{D6AD3F68-706A-4606-9E44-591A10B1D836}"/>
    <cellStyle name="40% - Accent6 8 4" xfId="20654" xr:uid="{D714922B-A383-43E3-90B8-1E11B087D4DA}"/>
    <cellStyle name="40% - Accent6 8 5" xfId="29101" xr:uid="{2C8532B6-C66A-4FD1-A345-18626F8630D7}"/>
    <cellStyle name="40% - Accent6 8 6" xfId="37548" xr:uid="{5D90437B-2E43-4AA3-A7A3-6D285CE692E3}"/>
    <cellStyle name="40% - Accent6 8 7" xfId="11354" xr:uid="{2DDA3DD0-5344-4946-9AEC-4E36A8F82B2A}"/>
    <cellStyle name="40% - Accent6 9" xfId="2352" xr:uid="{00000000-0005-0000-0000-00007E070000}"/>
    <cellStyle name="40% - Accent6 9 2" xfId="6658" xr:uid="{00000000-0005-0000-0000-00007F070000}"/>
    <cellStyle name="40% - Accent6 9 2 2" xfId="25284" xr:uid="{0B5CA3B5-D265-4238-BD82-B7F6EA5D5BCF}"/>
    <cellStyle name="40% - Accent6 9 2 3" xfId="33731" xr:uid="{4FFC82FF-8228-4712-B486-685AEC1199E2}"/>
    <cellStyle name="40% - Accent6 9 2 4" xfId="42178" xr:uid="{1708B804-54EE-4134-8FE6-0821411EA9A9}"/>
    <cellStyle name="40% - Accent6 9 2 5" xfId="15984" xr:uid="{572EFB6D-4109-443F-A35D-5A6A7A7C6D3E}"/>
    <cellStyle name="40% - Accent6 9 3" xfId="21067" xr:uid="{A35B0C8E-9497-47DB-9C63-254087FACA28}"/>
    <cellStyle name="40% - Accent6 9 4" xfId="29514" xr:uid="{27B966BB-2C45-428C-ABC7-E5B798B0E526}"/>
    <cellStyle name="40% - Accent6 9 5" xfId="37961" xr:uid="{23D307EA-A798-4B53-8196-D432814BFBC3}"/>
    <cellStyle name="40% - Accent6 9 6" xfId="11767" xr:uid="{3247A62F-2639-4C93-9062-AE9EC8E40E1B}"/>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0 2 2" xfId="25609" xr:uid="{44B1A82D-3A76-4BDD-BC79-1CEF7176D3EB}"/>
    <cellStyle name="Comma 4 2 2 2 10 2 3" xfId="34056" xr:uid="{CCCDB230-6DF7-4505-891F-6ABCBB71E552}"/>
    <cellStyle name="Comma 4 2 2 2 10 2 4" xfId="42503" xr:uid="{591E2768-29FB-48EB-9FFD-68003C910699}"/>
    <cellStyle name="Comma 4 2 2 2 10 2 5" xfId="16309" xr:uid="{97E35CD8-7E06-48A4-8CE4-AEEBE48A9961}"/>
    <cellStyle name="Comma 4 2 2 2 10 3" xfId="21392" xr:uid="{8FCA6939-B75F-4070-B6C9-4DE3C75F3E26}"/>
    <cellStyle name="Comma 4 2 2 2 10 4" xfId="29839" xr:uid="{322E9988-35EF-41C8-A7C9-964A56A6B212}"/>
    <cellStyle name="Comma 4 2 2 2 10 5" xfId="38286" xr:uid="{8A1CC754-F119-4969-A494-84A9DBA540BF}"/>
    <cellStyle name="Comma 4 2 2 2 10 6" xfId="12092" xr:uid="{8935BDD2-1B6E-419A-88A9-6F9E0ACEDFCF}"/>
    <cellStyle name="Comma 4 2 2 2 11" xfId="4600" xr:uid="{00000000-0005-0000-0000-0000A3070000}"/>
    <cellStyle name="Comma 4 2 2 2 11 2" xfId="23226" xr:uid="{9B0BC9AA-C008-48DA-AA79-14E0E913D460}"/>
    <cellStyle name="Comma 4 2 2 2 11 3" xfId="31673" xr:uid="{3E334060-67A0-4D0F-A8DD-9F6B852874EF}"/>
    <cellStyle name="Comma 4 2 2 2 11 4" xfId="40120" xr:uid="{35F82A8F-5124-40F8-BBF0-D50E9A101957}"/>
    <cellStyle name="Comma 4 2 2 2 11 5" xfId="13926" xr:uid="{3BCF79F6-376E-4BBF-B0EB-143A08D34653}"/>
    <cellStyle name="Comma 4 2 2 2 12" xfId="8806" xr:uid="{6C773D0B-D2E3-4A8C-B041-8DA2843B9E25}"/>
    <cellStyle name="Comma 4 2 2 2 12 2" xfId="18130" xr:uid="{5705CD73-C528-41F1-9CA4-6E1FCCAC6C51}"/>
    <cellStyle name="Comma 4 2 2 2 13" xfId="19009" xr:uid="{424A7DBF-A53E-4C83-977F-168C2203B02B}"/>
    <cellStyle name="Comma 4 2 2 2 14" xfId="27456" xr:uid="{A9D5F02C-FB3F-4BEE-8194-675054276BE9}"/>
    <cellStyle name="Comma 4 2 2 2 15" xfId="35903" xr:uid="{1C269B6D-6831-4963-A6CF-5A07F1EDEA53}"/>
    <cellStyle name="Comma 4 2 2 2 16" xfId="9709" xr:uid="{3AB47765-B6AB-4D0C-9378-9C54CA327D51}"/>
    <cellStyle name="Comma 4 2 2 2 2" xfId="129" xr:uid="{00000000-0005-0000-0000-0000A4070000}"/>
    <cellStyle name="Comma 4 2 2 2 2 10" xfId="4601" xr:uid="{00000000-0005-0000-0000-0000A5070000}"/>
    <cellStyle name="Comma 4 2 2 2 2 10 2" xfId="23227" xr:uid="{D6398021-D20A-4A95-A735-8C0EC6D2E821}"/>
    <cellStyle name="Comma 4 2 2 2 2 10 3" xfId="31674" xr:uid="{AF1E1C88-206D-42F6-B239-7E4C3BB12988}"/>
    <cellStyle name="Comma 4 2 2 2 2 10 4" xfId="40121" xr:uid="{27352D18-61E2-4F44-AA49-2FD74D4C9BE9}"/>
    <cellStyle name="Comma 4 2 2 2 2 10 5" xfId="13927" xr:uid="{26C20119-1B72-49D6-8E97-E749F1F07650}"/>
    <cellStyle name="Comma 4 2 2 2 2 11" xfId="8909" xr:uid="{477FCE05-1F49-4658-A03C-A8A5E7983C47}"/>
    <cellStyle name="Comma 4 2 2 2 2 11 2" xfId="18233" xr:uid="{CA5E337B-A793-43B7-891F-72E8F3CC49D4}"/>
    <cellStyle name="Comma 4 2 2 2 2 12" xfId="19010" xr:uid="{F43F8357-B1BF-43AD-84FD-A2482E656CE4}"/>
    <cellStyle name="Comma 4 2 2 2 2 13" xfId="27457" xr:uid="{D4A4C1B9-FB22-4CC3-B8FE-18AA04E9AA65}"/>
    <cellStyle name="Comma 4 2 2 2 2 14" xfId="35904" xr:uid="{5647CD6A-6B5A-49F2-8581-C4C90E11665A}"/>
    <cellStyle name="Comma 4 2 2 2 2 15" xfId="9710" xr:uid="{34EBDB7D-D028-437F-ACA3-2D467BFC93AF}"/>
    <cellStyle name="Comma 4 2 2 2 2 2" xfId="130" xr:uid="{00000000-0005-0000-0000-0000A6070000}"/>
    <cellStyle name="Comma 4 2 2 2 2 2 10" xfId="9116" xr:uid="{7A07505D-6B4C-4086-90B5-B5D345FB7611}"/>
    <cellStyle name="Comma 4 2 2 2 2 2 10 2" xfId="18440" xr:uid="{94BA1746-DB2B-4526-9E15-6CA05508FA04}"/>
    <cellStyle name="Comma 4 2 2 2 2 2 11" xfId="19011" xr:uid="{774DAEDF-D5CE-4E3F-8FB9-7DD6852AB20B}"/>
    <cellStyle name="Comma 4 2 2 2 2 2 12" xfId="27458" xr:uid="{C60472A4-193B-4993-97FD-6CAC70781308}"/>
    <cellStyle name="Comma 4 2 2 2 2 2 13" xfId="35905" xr:uid="{75A0C31F-79AE-4353-BCDB-07605E015EF4}"/>
    <cellStyle name="Comma 4 2 2 2 2 2 14" xfId="9711" xr:uid="{F091781C-11F0-4393-8EC3-997E0F023CB5}"/>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2 2 2" xfId="25787" xr:uid="{D6323EF5-4609-4E3E-9EC5-7F2D46B24F01}"/>
    <cellStyle name="Comma 4 2 2 2 2 2 2 2 2 3" xfId="34234" xr:uid="{49EE1459-A2B4-4B43-9811-34F6936C5474}"/>
    <cellStyle name="Comma 4 2 2 2 2 2 2 2 2 4" xfId="42681" xr:uid="{41DDBF1C-C37D-4940-84A1-F4208AFD676E}"/>
    <cellStyle name="Comma 4 2 2 2 2 2 2 2 2 5" xfId="16487" xr:uid="{86107040-6ABB-43D9-8846-A3ABF665E11B}"/>
    <cellStyle name="Comma 4 2 2 2 2 2 2 2 3" xfId="21570" xr:uid="{1F9608A0-C1B7-4249-939C-3AD5E3F7A89D}"/>
    <cellStyle name="Comma 4 2 2 2 2 2 2 2 4" xfId="30017" xr:uid="{9488D1E4-F427-43E3-BC2E-D13603603866}"/>
    <cellStyle name="Comma 4 2 2 2 2 2 2 2 5" xfId="38464" xr:uid="{2A4065AB-9CD4-45FB-9780-99B52F76248F}"/>
    <cellStyle name="Comma 4 2 2 2 2 2 2 2 6" xfId="12270" xr:uid="{E5EC0762-1128-4B46-B813-35BEB9FDF08E}"/>
    <cellStyle name="Comma 4 2 2 2 2 2 2 3" xfId="5016" xr:uid="{00000000-0005-0000-0000-0000AA070000}"/>
    <cellStyle name="Comma 4 2 2 2 2 2 2 3 2" xfId="23642" xr:uid="{FA578F4F-1675-4D36-81BE-66D419A2451F}"/>
    <cellStyle name="Comma 4 2 2 2 2 2 2 3 3" xfId="32089" xr:uid="{9B664F30-292E-4041-95C1-8B8F33F68A40}"/>
    <cellStyle name="Comma 4 2 2 2 2 2 2 3 4" xfId="40536" xr:uid="{F8D58B02-8B85-4AA4-BDBB-607293D4F2A7}"/>
    <cellStyle name="Comma 4 2 2 2 2 2 2 3 5" xfId="14342" xr:uid="{816D72F4-B282-4145-8C03-0BD2A8FBBDDF}"/>
    <cellStyle name="Comma 4 2 2 2 2 2 2 4" xfId="9541" xr:uid="{21DC771E-83A2-48BA-BE40-3E9E8454DE28}"/>
    <cellStyle name="Comma 4 2 2 2 2 2 2 4 2" xfId="18857" xr:uid="{76014770-71E8-4752-B2FD-D9E27AFB02DC}"/>
    <cellStyle name="Comma 4 2 2 2 2 2 2 5" xfId="19425" xr:uid="{1DDB97B7-13B1-4B0A-9DD6-1F2B93B685F8}"/>
    <cellStyle name="Comma 4 2 2 2 2 2 2 6" xfId="27872" xr:uid="{3C9DE525-2B7F-45FD-9197-D6B4F768F871}"/>
    <cellStyle name="Comma 4 2 2 2 2 2 2 7" xfId="36319" xr:uid="{2EE65DFF-B54C-49F5-ACB4-58568D2141C8}"/>
    <cellStyle name="Comma 4 2 2 2 2 2 2 8" xfId="10125" xr:uid="{F231ED34-106C-49FA-881A-6F349B33D65E}"/>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2 2 2" xfId="26200" xr:uid="{4595DE12-4EBD-4C64-B686-0F7A21220A9D}"/>
    <cellStyle name="Comma 4 2 2 2 2 2 3 2 2 3" xfId="34647" xr:uid="{1610D417-22EE-4ADE-A7BA-448F33779806}"/>
    <cellStyle name="Comma 4 2 2 2 2 2 3 2 2 4" xfId="43094" xr:uid="{62EB4267-20DA-40F8-8A26-E42317F8F796}"/>
    <cellStyle name="Comma 4 2 2 2 2 2 3 2 2 5" xfId="16900" xr:uid="{A540D407-DC64-4192-B5DB-4AA02DE04CFC}"/>
    <cellStyle name="Comma 4 2 2 2 2 2 3 2 3" xfId="21983" xr:uid="{2095A8C0-1901-44F6-9E40-0AFBAC2C5EB0}"/>
    <cellStyle name="Comma 4 2 2 2 2 2 3 2 4" xfId="30430" xr:uid="{7A1D50F5-5195-48A2-85D5-402ACAB9604D}"/>
    <cellStyle name="Comma 4 2 2 2 2 2 3 2 5" xfId="38877" xr:uid="{D49507A4-25EF-40BA-9819-BBA4B2603F35}"/>
    <cellStyle name="Comma 4 2 2 2 2 2 3 2 6" xfId="12683" xr:uid="{E6236D02-3176-466F-843E-020CA03121B9}"/>
    <cellStyle name="Comma 4 2 2 2 2 2 3 3" xfId="5429" xr:uid="{00000000-0005-0000-0000-0000AE070000}"/>
    <cellStyle name="Comma 4 2 2 2 2 2 3 3 2" xfId="24055" xr:uid="{E84F81CA-F7AD-467D-B980-36D3950B5B1D}"/>
    <cellStyle name="Comma 4 2 2 2 2 2 3 3 3" xfId="32502" xr:uid="{E092EC44-E347-4A37-A13B-564BDFDFEBE5}"/>
    <cellStyle name="Comma 4 2 2 2 2 2 3 3 4" xfId="40949" xr:uid="{7522CFB6-478E-44FD-92AA-BCC44CE0D2E8}"/>
    <cellStyle name="Comma 4 2 2 2 2 2 3 3 5" xfId="14755" xr:uid="{CF09D78C-8A53-4F66-ACF0-864A61216CB9}"/>
    <cellStyle name="Comma 4 2 2 2 2 2 3 4" xfId="19838" xr:uid="{D21244D8-4A19-4457-8F26-A69D75AA05BB}"/>
    <cellStyle name="Comma 4 2 2 2 2 2 3 5" xfId="28285" xr:uid="{64F30601-BB6D-44B6-8577-888C22B3E8F6}"/>
    <cellStyle name="Comma 4 2 2 2 2 2 3 6" xfId="36732" xr:uid="{4EB2179C-5566-4286-91A0-5AC634F8AF8B}"/>
    <cellStyle name="Comma 4 2 2 2 2 2 3 7" xfId="10538" xr:uid="{16359959-8A2A-4847-81FC-BB094D4DD3B1}"/>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2 2 2" xfId="26613" xr:uid="{CA0E98AA-A219-4783-9AC6-8AA4CAEFB4FB}"/>
    <cellStyle name="Comma 4 2 2 2 2 2 4 2 2 3" xfId="35060" xr:uid="{304954F6-E13F-4F3F-BDEC-30CF3DCFAE09}"/>
    <cellStyle name="Comma 4 2 2 2 2 2 4 2 2 4" xfId="43507" xr:uid="{E6A606B2-FFBE-461A-B50C-9E7750A4BD3E}"/>
    <cellStyle name="Comma 4 2 2 2 2 2 4 2 2 5" xfId="17313" xr:uid="{CEB3F2C5-F95C-4717-A050-75F0F96F3308}"/>
    <cellStyle name="Comma 4 2 2 2 2 2 4 2 3" xfId="22396" xr:uid="{58F43791-8A3B-494C-9C48-8C702C2C8150}"/>
    <cellStyle name="Comma 4 2 2 2 2 2 4 2 4" xfId="30843" xr:uid="{44D03648-D900-48BC-BC55-4F0E4311C39E}"/>
    <cellStyle name="Comma 4 2 2 2 2 2 4 2 5" xfId="39290" xr:uid="{3825D514-20EE-488B-9957-8EC9254F8441}"/>
    <cellStyle name="Comma 4 2 2 2 2 2 4 2 6" xfId="13096" xr:uid="{F9E27474-D99C-4DC5-AA1A-8702EAD99ECE}"/>
    <cellStyle name="Comma 4 2 2 2 2 2 4 3" xfId="5842" xr:uid="{00000000-0005-0000-0000-0000B2070000}"/>
    <cellStyle name="Comma 4 2 2 2 2 2 4 3 2" xfId="24468" xr:uid="{4D74E722-924C-42F2-A56C-D432491C1B6A}"/>
    <cellStyle name="Comma 4 2 2 2 2 2 4 3 3" xfId="32915" xr:uid="{4A76A229-3E91-4E70-956E-E56AB83BC80F}"/>
    <cellStyle name="Comma 4 2 2 2 2 2 4 3 4" xfId="41362" xr:uid="{0B6EB627-886F-49FC-A8B0-7610851DBE89}"/>
    <cellStyle name="Comma 4 2 2 2 2 2 4 3 5" xfId="15168" xr:uid="{A88AF02C-BE4B-496F-87A5-ACF4466E6830}"/>
    <cellStyle name="Comma 4 2 2 2 2 2 4 4" xfId="20251" xr:uid="{6F97DB3B-C4FB-4BAE-9FF2-1BDF5B9CB6B3}"/>
    <cellStyle name="Comma 4 2 2 2 2 2 4 5" xfId="28698" xr:uid="{C77E99E4-434B-45DD-B566-925C4C842703}"/>
    <cellStyle name="Comma 4 2 2 2 2 2 4 6" xfId="37145" xr:uid="{DA3183D4-148B-449E-8C26-88159E61B4D6}"/>
    <cellStyle name="Comma 4 2 2 2 2 2 4 7" xfId="10951" xr:uid="{B96123B0-18B8-41B2-A976-2DFC5F76D245}"/>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2 2 2" xfId="27026" xr:uid="{3CCE9A73-983F-4A85-86F3-36FB3B1FA071}"/>
    <cellStyle name="Comma 4 2 2 2 2 2 5 2 2 3" xfId="35473" xr:uid="{35F2E88B-89EE-4EFB-9E80-2B9E28DC4997}"/>
    <cellStyle name="Comma 4 2 2 2 2 2 5 2 2 4" xfId="43920" xr:uid="{47623212-7061-4252-B37A-0CF9041E0BED}"/>
    <cellStyle name="Comma 4 2 2 2 2 2 5 2 2 5" xfId="17726" xr:uid="{6E877366-9A84-4BC3-ABBC-FC1EEF717D6C}"/>
    <cellStyle name="Comma 4 2 2 2 2 2 5 2 3" xfId="22809" xr:uid="{5B599F47-5FEF-407D-A42E-F5524AD2F5D1}"/>
    <cellStyle name="Comma 4 2 2 2 2 2 5 2 4" xfId="31256" xr:uid="{497B0842-D83D-43FC-AD47-2B410731ABC4}"/>
    <cellStyle name="Comma 4 2 2 2 2 2 5 2 5" xfId="39703" xr:uid="{77563984-9C0E-43B7-BDF4-BD59F43E5874}"/>
    <cellStyle name="Comma 4 2 2 2 2 2 5 2 6" xfId="13509" xr:uid="{88DC1825-3164-4AAF-8C52-898AD9B03540}"/>
    <cellStyle name="Comma 4 2 2 2 2 2 5 3" xfId="6255" xr:uid="{00000000-0005-0000-0000-0000B6070000}"/>
    <cellStyle name="Comma 4 2 2 2 2 2 5 3 2" xfId="24881" xr:uid="{BDBF2DB3-CDD3-45E6-8731-1AF0DD362F85}"/>
    <cellStyle name="Comma 4 2 2 2 2 2 5 3 3" xfId="33328" xr:uid="{12E84024-F5F5-4816-87DB-0C6476343A0F}"/>
    <cellStyle name="Comma 4 2 2 2 2 2 5 3 4" xfId="41775" xr:uid="{FA6B2A20-1519-474A-942B-08C2747CE972}"/>
    <cellStyle name="Comma 4 2 2 2 2 2 5 3 5" xfId="15581" xr:uid="{F53488D6-B016-4410-9EC1-0E6CAC3D1912}"/>
    <cellStyle name="Comma 4 2 2 2 2 2 5 4" xfId="20664" xr:uid="{BEFACEA2-8A44-4569-9DC4-42A1CFC845FD}"/>
    <cellStyle name="Comma 4 2 2 2 2 2 5 5" xfId="29111" xr:uid="{B8698AAE-9A04-46F7-BA70-45E33C30D263}"/>
    <cellStyle name="Comma 4 2 2 2 2 2 5 6" xfId="37558" xr:uid="{C5CF4FC3-7281-4956-B535-65222FBBE91F}"/>
    <cellStyle name="Comma 4 2 2 2 2 2 5 7" xfId="11364" xr:uid="{E2EF0653-1833-4D26-A7EF-58B1A7CAA6FE}"/>
    <cellStyle name="Comma 4 2 2 2 2 2 6" xfId="2384" xr:uid="{00000000-0005-0000-0000-0000B7070000}"/>
    <cellStyle name="Comma 4 2 2 2 2 2 6 2" xfId="6668" xr:uid="{00000000-0005-0000-0000-0000B8070000}"/>
    <cellStyle name="Comma 4 2 2 2 2 2 6 2 2" xfId="25294" xr:uid="{42F6BBE2-F16A-4104-BB86-F38883870858}"/>
    <cellStyle name="Comma 4 2 2 2 2 2 6 2 3" xfId="33741" xr:uid="{3C99C4A8-AD1E-4DB7-A5B9-E3B763917216}"/>
    <cellStyle name="Comma 4 2 2 2 2 2 6 2 4" xfId="42188" xr:uid="{F6C1FD6F-3591-4BA7-92F3-E916333B95D6}"/>
    <cellStyle name="Comma 4 2 2 2 2 2 6 2 5" xfId="15994" xr:uid="{3999F8D8-1207-43DB-A311-6F5811822DC2}"/>
    <cellStyle name="Comma 4 2 2 2 2 2 6 3" xfId="21077" xr:uid="{4B956031-CB54-4F58-80D1-60FE1E39F90A}"/>
    <cellStyle name="Comma 4 2 2 2 2 2 6 4" xfId="29524" xr:uid="{F17F95B9-678F-4A6E-B676-25D94DB8E7B8}"/>
    <cellStyle name="Comma 4 2 2 2 2 2 6 5" xfId="37971" xr:uid="{D5BD7F52-7C7F-4907-B37A-AEF413101026}"/>
    <cellStyle name="Comma 4 2 2 2 2 2 6 6" xfId="11777" xr:uid="{E8B6A796-561E-4CF2-B78F-F600962030BC}"/>
    <cellStyle name="Comma 4 2 2 2 2 2 7" xfId="2379" xr:uid="{00000000-0005-0000-0000-0000B9070000}"/>
    <cellStyle name="Comma 4 2 2 2 2 2 8" xfId="2762" xr:uid="{00000000-0005-0000-0000-0000BA070000}"/>
    <cellStyle name="Comma 4 2 2 2 2 2 8 2" xfId="6985" xr:uid="{00000000-0005-0000-0000-0000BB070000}"/>
    <cellStyle name="Comma 4 2 2 2 2 2 8 2 2" xfId="25611" xr:uid="{BCDD658D-271C-4E77-B785-2EF0FFB76406}"/>
    <cellStyle name="Comma 4 2 2 2 2 2 8 2 3" xfId="34058" xr:uid="{AF02F3D0-D55E-4E28-92E6-FA09AD5B5180}"/>
    <cellStyle name="Comma 4 2 2 2 2 2 8 2 4" xfId="42505" xr:uid="{486145EB-AB2B-42C1-93F0-DA9ED6741399}"/>
    <cellStyle name="Comma 4 2 2 2 2 2 8 2 5" xfId="16311" xr:uid="{F21495EB-D48D-46E5-84A9-3686FBD951E8}"/>
    <cellStyle name="Comma 4 2 2 2 2 2 8 3" xfId="21394" xr:uid="{57F31C4C-6581-4DF3-B3AF-AC01E6F8C5FC}"/>
    <cellStyle name="Comma 4 2 2 2 2 2 8 4" xfId="29841" xr:uid="{1D2EF476-44D8-4B58-9441-29F5A752160B}"/>
    <cellStyle name="Comma 4 2 2 2 2 2 8 5" xfId="38288" xr:uid="{E8970295-B1EB-44DD-B874-AB065DDAD9E3}"/>
    <cellStyle name="Comma 4 2 2 2 2 2 8 6" xfId="12094" xr:uid="{D24CEC83-557C-4C19-8A84-9290DED29720}"/>
    <cellStyle name="Comma 4 2 2 2 2 2 9" xfId="4602" xr:uid="{00000000-0005-0000-0000-0000BC070000}"/>
    <cellStyle name="Comma 4 2 2 2 2 2 9 2" xfId="23228" xr:uid="{0F7C0C0B-0126-4551-8BC2-43BECE73582B}"/>
    <cellStyle name="Comma 4 2 2 2 2 2 9 3" xfId="31675" xr:uid="{1B640770-7383-42D7-8DA6-118124C1C270}"/>
    <cellStyle name="Comma 4 2 2 2 2 2 9 4" xfId="40122" xr:uid="{2513BCE4-DE82-4C88-9147-76463195531E}"/>
    <cellStyle name="Comma 4 2 2 2 2 2 9 5" xfId="13928" xr:uid="{572AC856-3C26-47B6-A5AC-CD218FE1B119}"/>
    <cellStyle name="Comma 4 2 2 2 2 3" xfId="667" xr:uid="{00000000-0005-0000-0000-0000BD070000}"/>
    <cellStyle name="Comma 4 2 2 2 2 3 2" xfId="2938" xr:uid="{00000000-0005-0000-0000-0000BE070000}"/>
    <cellStyle name="Comma 4 2 2 2 2 3 2 2" xfId="7160" xr:uid="{00000000-0005-0000-0000-0000BF070000}"/>
    <cellStyle name="Comma 4 2 2 2 2 3 2 2 2" xfId="25786" xr:uid="{814BF177-9417-43F9-B7FD-8DA9AEFE0F64}"/>
    <cellStyle name="Comma 4 2 2 2 2 3 2 2 3" xfId="34233" xr:uid="{1916D4B2-CB39-445A-A017-799C93AB929F}"/>
    <cellStyle name="Comma 4 2 2 2 2 3 2 2 4" xfId="42680" xr:uid="{5062ADC9-1F1E-4442-916E-5B18C686A406}"/>
    <cellStyle name="Comma 4 2 2 2 2 3 2 2 5" xfId="16486" xr:uid="{B6A7E915-F12F-4238-BA97-B76890F5DF8F}"/>
    <cellStyle name="Comma 4 2 2 2 2 3 2 3" xfId="21569" xr:uid="{EF7C920A-307C-456E-85C3-2E52AED0F9D5}"/>
    <cellStyle name="Comma 4 2 2 2 2 3 2 4" xfId="30016" xr:uid="{D5319463-68F0-4FAA-A74D-57B28F645FA8}"/>
    <cellStyle name="Comma 4 2 2 2 2 3 2 5" xfId="38463" xr:uid="{C4EAE391-5299-4821-B8B1-8438E3AE1C6F}"/>
    <cellStyle name="Comma 4 2 2 2 2 3 2 6" xfId="12269" xr:uid="{B3CCCC86-09A4-4BB1-9222-19DABE1153DB}"/>
    <cellStyle name="Comma 4 2 2 2 2 3 3" xfId="5015" xr:uid="{00000000-0005-0000-0000-0000C0070000}"/>
    <cellStyle name="Comma 4 2 2 2 2 3 3 2" xfId="23641" xr:uid="{768BFBEC-1224-40E6-835C-EDE33F14D461}"/>
    <cellStyle name="Comma 4 2 2 2 2 3 3 3" xfId="32088" xr:uid="{6AE0A346-65F0-455B-ADA0-4174C5B5F960}"/>
    <cellStyle name="Comma 4 2 2 2 2 3 3 4" xfId="40535" xr:uid="{55771A82-558C-4AFB-9779-E810D6294827}"/>
    <cellStyle name="Comma 4 2 2 2 2 3 3 5" xfId="14341" xr:uid="{B7C465FF-B904-475F-B676-651466DFE894}"/>
    <cellStyle name="Comma 4 2 2 2 2 3 4" xfId="9334" xr:uid="{50E8807F-6450-4082-BD30-0A86C2E78D0E}"/>
    <cellStyle name="Comma 4 2 2 2 2 3 4 2" xfId="18650" xr:uid="{BB44B13C-C2E1-418E-BF12-AD580BA09291}"/>
    <cellStyle name="Comma 4 2 2 2 2 3 5" xfId="19424" xr:uid="{12BA3AE7-F483-4550-A1F1-70DB8102A483}"/>
    <cellStyle name="Comma 4 2 2 2 2 3 6" xfId="27871" xr:uid="{B98A01DB-126A-45EE-B461-EB44267D2618}"/>
    <cellStyle name="Comma 4 2 2 2 2 3 7" xfId="36318" xr:uid="{913D8B1B-B449-43DD-856E-88596AF64215}"/>
    <cellStyle name="Comma 4 2 2 2 2 3 8" xfId="10124" xr:uid="{98CD98F6-DA8C-4BA6-AA4E-5A6FEE7E9FF7}"/>
    <cellStyle name="Comma 4 2 2 2 2 4" xfId="1120" xr:uid="{00000000-0005-0000-0000-0000C1070000}"/>
    <cellStyle name="Comma 4 2 2 2 2 4 2" xfId="3351" xr:uid="{00000000-0005-0000-0000-0000C2070000}"/>
    <cellStyle name="Comma 4 2 2 2 2 4 2 2" xfId="7573" xr:uid="{00000000-0005-0000-0000-0000C3070000}"/>
    <cellStyle name="Comma 4 2 2 2 2 4 2 2 2" xfId="26199" xr:uid="{6FF3EF4A-C284-4331-BD30-19E18F2BC335}"/>
    <cellStyle name="Comma 4 2 2 2 2 4 2 2 3" xfId="34646" xr:uid="{9AEFF1E7-DE3F-42D3-A6D3-5335B764227F}"/>
    <cellStyle name="Comma 4 2 2 2 2 4 2 2 4" xfId="43093" xr:uid="{B2C5754C-3644-48EB-B0A5-D9EA3B459CBB}"/>
    <cellStyle name="Comma 4 2 2 2 2 4 2 2 5" xfId="16899" xr:uid="{596E1024-54DE-4F0B-A247-3414029C08B5}"/>
    <cellStyle name="Comma 4 2 2 2 2 4 2 3" xfId="21982" xr:uid="{13633DE5-D109-49FC-94F8-BF96D88E6D3E}"/>
    <cellStyle name="Comma 4 2 2 2 2 4 2 4" xfId="30429" xr:uid="{D25033FA-5D10-4785-A0B1-9427E1B8C24C}"/>
    <cellStyle name="Comma 4 2 2 2 2 4 2 5" xfId="38876" xr:uid="{6E5E0128-1364-4FFE-B062-70E06741DD08}"/>
    <cellStyle name="Comma 4 2 2 2 2 4 2 6" xfId="12682" xr:uid="{FAA8D115-BF30-4979-8AD5-C9C868D17C56}"/>
    <cellStyle name="Comma 4 2 2 2 2 4 3" xfId="5428" xr:uid="{00000000-0005-0000-0000-0000C4070000}"/>
    <cellStyle name="Comma 4 2 2 2 2 4 3 2" xfId="24054" xr:uid="{5DC53DB9-A42D-4530-AAB5-C9466D949E4B}"/>
    <cellStyle name="Comma 4 2 2 2 2 4 3 3" xfId="32501" xr:uid="{DEBD1B27-EC5F-4EBC-BF9A-7341A07C90ED}"/>
    <cellStyle name="Comma 4 2 2 2 2 4 3 4" xfId="40948" xr:uid="{CDC3CD50-D0CF-4BDE-BD58-A8352D0D7D31}"/>
    <cellStyle name="Comma 4 2 2 2 2 4 3 5" xfId="14754" xr:uid="{36C11253-EB97-40E8-B1F3-765B798CDDDF}"/>
    <cellStyle name="Comma 4 2 2 2 2 4 4" xfId="19837" xr:uid="{8D5FF943-1593-40A6-9196-F163771ECCF2}"/>
    <cellStyle name="Comma 4 2 2 2 2 4 5" xfId="28284" xr:uid="{FCA882A2-47CD-4080-8C14-14EAAF87F603}"/>
    <cellStyle name="Comma 4 2 2 2 2 4 6" xfId="36731" xr:uid="{C7DAD06C-8D79-4713-8D04-174A4746E092}"/>
    <cellStyle name="Comma 4 2 2 2 2 4 7" xfId="10537" xr:uid="{9B6DA6C1-3B4A-4FCC-A001-A5DFEABC4E9A}"/>
    <cellStyle name="Comma 4 2 2 2 2 5" xfId="1534" xr:uid="{00000000-0005-0000-0000-0000C5070000}"/>
    <cellStyle name="Comma 4 2 2 2 2 5 2" xfId="3764" xr:uid="{00000000-0005-0000-0000-0000C6070000}"/>
    <cellStyle name="Comma 4 2 2 2 2 5 2 2" xfId="7986" xr:uid="{00000000-0005-0000-0000-0000C7070000}"/>
    <cellStyle name="Comma 4 2 2 2 2 5 2 2 2" xfId="26612" xr:uid="{AA34573A-7D9D-4E2B-A1C8-6541DC474093}"/>
    <cellStyle name="Comma 4 2 2 2 2 5 2 2 3" xfId="35059" xr:uid="{D9B7DF99-CBE7-4532-BCA4-B4D73A7200CA}"/>
    <cellStyle name="Comma 4 2 2 2 2 5 2 2 4" xfId="43506" xr:uid="{0A31B3E8-D3C0-43B0-8425-954D6F55A4CA}"/>
    <cellStyle name="Comma 4 2 2 2 2 5 2 2 5" xfId="17312" xr:uid="{BD45A4C6-0A32-467C-BFEF-73C8224DC1EE}"/>
    <cellStyle name="Comma 4 2 2 2 2 5 2 3" xfId="22395" xr:uid="{B0A3501C-F893-4E26-B181-3715BD301CF5}"/>
    <cellStyle name="Comma 4 2 2 2 2 5 2 4" xfId="30842" xr:uid="{3A41D6E5-3342-4D6B-88E4-6E44D38D82B1}"/>
    <cellStyle name="Comma 4 2 2 2 2 5 2 5" xfId="39289" xr:uid="{E5ACE8D2-FA18-47EE-BB37-1CCBB0D4E73A}"/>
    <cellStyle name="Comma 4 2 2 2 2 5 2 6" xfId="13095" xr:uid="{45F99E1B-BE32-4F85-AAB5-12EB71BC6DB8}"/>
    <cellStyle name="Comma 4 2 2 2 2 5 3" xfId="5841" xr:uid="{00000000-0005-0000-0000-0000C8070000}"/>
    <cellStyle name="Comma 4 2 2 2 2 5 3 2" xfId="24467" xr:uid="{D51455E0-2A0C-4DFD-A1D7-919E03A92EBF}"/>
    <cellStyle name="Comma 4 2 2 2 2 5 3 3" xfId="32914" xr:uid="{B211BA06-2C7B-4F73-B946-8B56590AE75C}"/>
    <cellStyle name="Comma 4 2 2 2 2 5 3 4" xfId="41361" xr:uid="{B5D9FF95-173B-459E-8704-99B902A628C7}"/>
    <cellStyle name="Comma 4 2 2 2 2 5 3 5" xfId="15167" xr:uid="{1E3C8FC1-5E45-47D6-B86E-063C849F38DF}"/>
    <cellStyle name="Comma 4 2 2 2 2 5 4" xfId="20250" xr:uid="{F9208A1B-0900-44D2-AF3B-C7D46603F607}"/>
    <cellStyle name="Comma 4 2 2 2 2 5 5" xfId="28697" xr:uid="{16DE3280-BC10-4E01-8E00-FDDA81D9166B}"/>
    <cellStyle name="Comma 4 2 2 2 2 5 6" xfId="37144" xr:uid="{18F4EE31-294D-439F-9BF6-7EF1AAED9CD1}"/>
    <cellStyle name="Comma 4 2 2 2 2 5 7" xfId="10950" xr:uid="{5ADD4543-1AE6-4813-9F7D-40A3AFAD3BD0}"/>
    <cellStyle name="Comma 4 2 2 2 2 6" xfId="1948" xr:uid="{00000000-0005-0000-0000-0000C9070000}"/>
    <cellStyle name="Comma 4 2 2 2 2 6 2" xfId="4177" xr:uid="{00000000-0005-0000-0000-0000CA070000}"/>
    <cellStyle name="Comma 4 2 2 2 2 6 2 2" xfId="8399" xr:uid="{00000000-0005-0000-0000-0000CB070000}"/>
    <cellStyle name="Comma 4 2 2 2 2 6 2 2 2" xfId="27025" xr:uid="{BC72C130-3A4A-416D-8355-0FF77202D9E4}"/>
    <cellStyle name="Comma 4 2 2 2 2 6 2 2 3" xfId="35472" xr:uid="{95AFCC77-E22A-460C-ABC0-A2533436BF00}"/>
    <cellStyle name="Comma 4 2 2 2 2 6 2 2 4" xfId="43919" xr:uid="{E7330754-9AFA-46C0-A464-F8A034D4AD14}"/>
    <cellStyle name="Comma 4 2 2 2 2 6 2 2 5" xfId="17725" xr:uid="{AE4DD01A-E299-4A75-9E49-ECFEE5D0CEE7}"/>
    <cellStyle name="Comma 4 2 2 2 2 6 2 3" xfId="22808" xr:uid="{9246380A-E800-4B27-A3A0-BB741FDFEBAA}"/>
    <cellStyle name="Comma 4 2 2 2 2 6 2 4" xfId="31255" xr:uid="{1F8292F3-47F6-49C3-AC30-DD75F8E8D724}"/>
    <cellStyle name="Comma 4 2 2 2 2 6 2 5" xfId="39702" xr:uid="{D518A66E-4A06-43A8-847F-3F3BACBF2150}"/>
    <cellStyle name="Comma 4 2 2 2 2 6 2 6" xfId="13508" xr:uid="{9905C645-B5A3-4232-8E61-08E0348FDCF9}"/>
    <cellStyle name="Comma 4 2 2 2 2 6 3" xfId="6254" xr:uid="{00000000-0005-0000-0000-0000CC070000}"/>
    <cellStyle name="Comma 4 2 2 2 2 6 3 2" xfId="24880" xr:uid="{B98F83F8-722B-43DA-855B-4B92D545452A}"/>
    <cellStyle name="Comma 4 2 2 2 2 6 3 3" xfId="33327" xr:uid="{5ED6600E-598B-4C88-BB6A-8B80B1F3F410}"/>
    <cellStyle name="Comma 4 2 2 2 2 6 3 4" xfId="41774" xr:uid="{E3CF9A9B-7C05-43A4-BF60-7633A9A9E96D}"/>
    <cellStyle name="Comma 4 2 2 2 2 6 3 5" xfId="15580" xr:uid="{C34132FC-F6C4-4871-BF33-D0AEFDFB0435}"/>
    <cellStyle name="Comma 4 2 2 2 2 6 4" xfId="20663" xr:uid="{6853661C-8AE8-4AFD-A73D-4F081872BBD8}"/>
    <cellStyle name="Comma 4 2 2 2 2 6 5" xfId="29110" xr:uid="{F09AA1C9-A507-4D6D-9AA1-07915684F1A3}"/>
    <cellStyle name="Comma 4 2 2 2 2 6 6" xfId="37557" xr:uid="{6C945279-D7C4-4124-BA22-A58CCC548A26}"/>
    <cellStyle name="Comma 4 2 2 2 2 6 7" xfId="11363" xr:uid="{337AE542-635D-47F4-ADF2-93D4733D78F4}"/>
    <cellStyle name="Comma 4 2 2 2 2 7" xfId="2383" xr:uid="{00000000-0005-0000-0000-0000CD070000}"/>
    <cellStyle name="Comma 4 2 2 2 2 7 2" xfId="6667" xr:uid="{00000000-0005-0000-0000-0000CE070000}"/>
    <cellStyle name="Comma 4 2 2 2 2 7 2 2" xfId="25293" xr:uid="{1177164C-64AB-4B8E-8961-485B9A6B34BD}"/>
    <cellStyle name="Comma 4 2 2 2 2 7 2 3" xfId="33740" xr:uid="{032FEC11-9C39-4EA9-8F10-27EA9D68677F}"/>
    <cellStyle name="Comma 4 2 2 2 2 7 2 4" xfId="42187" xr:uid="{210898DF-3985-4E87-B4F3-2DA1D2FAAECA}"/>
    <cellStyle name="Comma 4 2 2 2 2 7 2 5" xfId="15993" xr:uid="{DC6104FF-C5A5-449A-9FB0-C9C74357C123}"/>
    <cellStyle name="Comma 4 2 2 2 2 7 3" xfId="21076" xr:uid="{F14CB553-89BA-445F-9595-572A47351040}"/>
    <cellStyle name="Comma 4 2 2 2 2 7 4" xfId="29523" xr:uid="{2CFA25B4-2104-4336-8B91-8393BDC707B6}"/>
    <cellStyle name="Comma 4 2 2 2 2 7 5" xfId="37970" xr:uid="{CD6F434D-F59D-46D0-BB41-B30B92186643}"/>
    <cellStyle name="Comma 4 2 2 2 2 7 6" xfId="11776" xr:uid="{B0E81AD6-2C0A-4BF8-8B46-B92049DE942A}"/>
    <cellStyle name="Comma 4 2 2 2 2 8" xfId="2380" xr:uid="{00000000-0005-0000-0000-0000CF070000}"/>
    <cellStyle name="Comma 4 2 2 2 2 9" xfId="2761" xr:uid="{00000000-0005-0000-0000-0000D0070000}"/>
    <cellStyle name="Comma 4 2 2 2 2 9 2" xfId="6984" xr:uid="{00000000-0005-0000-0000-0000D1070000}"/>
    <cellStyle name="Comma 4 2 2 2 2 9 2 2" xfId="25610" xr:uid="{C8A9EF3D-5238-4BFE-ABAB-121C94C70094}"/>
    <cellStyle name="Comma 4 2 2 2 2 9 2 3" xfId="34057" xr:uid="{77865ADE-0E2E-4A88-851E-63C015DA928A}"/>
    <cellStyle name="Comma 4 2 2 2 2 9 2 4" xfId="42504" xr:uid="{26B356BB-7256-4005-9CFA-89DFAFFAB355}"/>
    <cellStyle name="Comma 4 2 2 2 2 9 2 5" xfId="16310" xr:uid="{C8DBA23A-B4A7-4BCB-9438-913DE8E5A25D}"/>
    <cellStyle name="Comma 4 2 2 2 2 9 3" xfId="21393" xr:uid="{D6250DA4-59F4-4641-B5F6-94A83914BEA2}"/>
    <cellStyle name="Comma 4 2 2 2 2 9 4" xfId="29840" xr:uid="{EBB65828-CA1F-4A07-B54D-7006CE713D18}"/>
    <cellStyle name="Comma 4 2 2 2 2 9 5" xfId="38287" xr:uid="{B316EC8D-F9A2-405F-9DA4-3DE8585485A8}"/>
    <cellStyle name="Comma 4 2 2 2 2 9 6" xfId="12093" xr:uid="{64295C31-5161-4984-8A6C-CE37AE4C4F8C}"/>
    <cellStyle name="Comma 4 2 2 2 3" xfId="131" xr:uid="{00000000-0005-0000-0000-0000D2070000}"/>
    <cellStyle name="Comma 4 2 2 2 3 10" xfId="9013" xr:uid="{D7491CA1-A7A0-4099-A659-9FB418CDDACA}"/>
    <cellStyle name="Comma 4 2 2 2 3 10 2" xfId="18337" xr:uid="{872F75B1-92EA-454C-81B6-1652654E61F5}"/>
    <cellStyle name="Comma 4 2 2 2 3 11" xfId="19012" xr:uid="{E4BC1EFE-F010-413A-8794-649E2F9448E1}"/>
    <cellStyle name="Comma 4 2 2 2 3 12" xfId="27459" xr:uid="{1F73BC35-D68B-4A86-953A-1084CEE00292}"/>
    <cellStyle name="Comma 4 2 2 2 3 13" xfId="35906" xr:uid="{A5C10DA7-E1FE-4165-8D47-959C6A733963}"/>
    <cellStyle name="Comma 4 2 2 2 3 14" xfId="9712" xr:uid="{E08B0430-B302-4F52-A6B7-B97EEB221F2B}"/>
    <cellStyle name="Comma 4 2 2 2 3 2" xfId="669" xr:uid="{00000000-0005-0000-0000-0000D3070000}"/>
    <cellStyle name="Comma 4 2 2 2 3 2 2" xfId="2940" xr:uid="{00000000-0005-0000-0000-0000D4070000}"/>
    <cellStyle name="Comma 4 2 2 2 3 2 2 2" xfId="7162" xr:uid="{00000000-0005-0000-0000-0000D5070000}"/>
    <cellStyle name="Comma 4 2 2 2 3 2 2 2 2" xfId="25788" xr:uid="{3DDE32D1-0136-4C74-9444-9230D843CB48}"/>
    <cellStyle name="Comma 4 2 2 2 3 2 2 2 3" xfId="34235" xr:uid="{6D42B30B-C43E-4055-8261-389113F3CEC5}"/>
    <cellStyle name="Comma 4 2 2 2 3 2 2 2 4" xfId="42682" xr:uid="{2EEBB736-CE6A-451C-874B-97BC884C2017}"/>
    <cellStyle name="Comma 4 2 2 2 3 2 2 2 5" xfId="16488" xr:uid="{12F50A48-4DBB-49A2-8A3C-2C1ACD42C83C}"/>
    <cellStyle name="Comma 4 2 2 2 3 2 2 3" xfId="21571" xr:uid="{943E26AA-A958-46C5-9AC2-8616CE7036BF}"/>
    <cellStyle name="Comma 4 2 2 2 3 2 2 4" xfId="30018" xr:uid="{DD07750E-0F9A-4DFB-B3F5-49B91C6C5CEB}"/>
    <cellStyle name="Comma 4 2 2 2 3 2 2 5" xfId="38465" xr:uid="{E0BD665C-F3A9-45A4-97FF-D97066FDE601}"/>
    <cellStyle name="Comma 4 2 2 2 3 2 2 6" xfId="12271" xr:uid="{4DB1E8D3-AF8A-427A-ACA6-3069D7CF7A30}"/>
    <cellStyle name="Comma 4 2 2 2 3 2 3" xfId="5017" xr:uid="{00000000-0005-0000-0000-0000D6070000}"/>
    <cellStyle name="Comma 4 2 2 2 3 2 3 2" xfId="23643" xr:uid="{776ACE80-5F14-4011-A04C-1665CD0B0A2E}"/>
    <cellStyle name="Comma 4 2 2 2 3 2 3 3" xfId="32090" xr:uid="{C697080A-B5B2-4EB9-A9BD-5B928E80810A}"/>
    <cellStyle name="Comma 4 2 2 2 3 2 3 4" xfId="40537" xr:uid="{D97C9F6C-D3D0-44D1-9435-7FDA385CE5CE}"/>
    <cellStyle name="Comma 4 2 2 2 3 2 3 5" xfId="14343" xr:uid="{2DE23FC0-AF91-4D6B-A717-A4B3C721483D}"/>
    <cellStyle name="Comma 4 2 2 2 3 2 4" xfId="9438" xr:uid="{8E9C4341-814A-43D1-8D35-8CCC512A2E32}"/>
    <cellStyle name="Comma 4 2 2 2 3 2 4 2" xfId="18754" xr:uid="{2CF9E9E5-129C-4731-B251-96BF027B44F0}"/>
    <cellStyle name="Comma 4 2 2 2 3 2 5" xfId="19426" xr:uid="{E69AAB92-8752-4A09-817C-A7C73CF383CF}"/>
    <cellStyle name="Comma 4 2 2 2 3 2 6" xfId="27873" xr:uid="{33254299-5CAC-4DFC-8310-A3532A3A7BDE}"/>
    <cellStyle name="Comma 4 2 2 2 3 2 7" xfId="36320" xr:uid="{A73DC838-FCA3-44E4-B8A0-C1D1D9E9F781}"/>
    <cellStyle name="Comma 4 2 2 2 3 2 8" xfId="10126" xr:uid="{CAC67A2E-1782-44F1-BF01-C9DA92B463AC}"/>
    <cellStyle name="Comma 4 2 2 2 3 3" xfId="1122" xr:uid="{00000000-0005-0000-0000-0000D7070000}"/>
    <cellStyle name="Comma 4 2 2 2 3 3 2" xfId="3353" xr:uid="{00000000-0005-0000-0000-0000D8070000}"/>
    <cellStyle name="Comma 4 2 2 2 3 3 2 2" xfId="7575" xr:uid="{00000000-0005-0000-0000-0000D9070000}"/>
    <cellStyle name="Comma 4 2 2 2 3 3 2 2 2" xfId="26201" xr:uid="{51392054-36FB-4695-884E-A5D10A420699}"/>
    <cellStyle name="Comma 4 2 2 2 3 3 2 2 3" xfId="34648" xr:uid="{143DAB23-1A32-443F-9BDE-C32F09DD9393}"/>
    <cellStyle name="Comma 4 2 2 2 3 3 2 2 4" xfId="43095" xr:uid="{9CB53F61-A8BE-4A2D-92AE-15194173EEAA}"/>
    <cellStyle name="Comma 4 2 2 2 3 3 2 2 5" xfId="16901" xr:uid="{F34D0B8E-0448-4FDE-B823-537B401EBDAC}"/>
    <cellStyle name="Comma 4 2 2 2 3 3 2 3" xfId="21984" xr:uid="{4D1190B7-D5AC-4810-AE0A-5980A0ECD133}"/>
    <cellStyle name="Comma 4 2 2 2 3 3 2 4" xfId="30431" xr:uid="{470AEC24-F54C-49AE-A386-F53CD8C2266C}"/>
    <cellStyle name="Comma 4 2 2 2 3 3 2 5" xfId="38878" xr:uid="{44A75619-6A22-48C8-BB47-9B07B269F6D0}"/>
    <cellStyle name="Comma 4 2 2 2 3 3 2 6" xfId="12684" xr:uid="{E64135CC-494D-4C0F-97F9-04494F219312}"/>
    <cellStyle name="Comma 4 2 2 2 3 3 3" xfId="5430" xr:uid="{00000000-0005-0000-0000-0000DA070000}"/>
    <cellStyle name="Comma 4 2 2 2 3 3 3 2" xfId="24056" xr:uid="{375F4F14-76A2-4C6A-91F3-1AEF3C10EDE7}"/>
    <cellStyle name="Comma 4 2 2 2 3 3 3 3" xfId="32503" xr:uid="{999B0B32-8CF8-4322-A392-3AB0E75C2D07}"/>
    <cellStyle name="Comma 4 2 2 2 3 3 3 4" xfId="40950" xr:uid="{3BBBF7AC-F13D-41BD-B18D-25BCE730F377}"/>
    <cellStyle name="Comma 4 2 2 2 3 3 3 5" xfId="14756" xr:uid="{824B4200-4F47-4649-B515-89CE601EF36C}"/>
    <cellStyle name="Comma 4 2 2 2 3 3 4" xfId="19839" xr:uid="{84F340E7-06D5-4F40-9D07-E7F427C00F83}"/>
    <cellStyle name="Comma 4 2 2 2 3 3 5" xfId="28286" xr:uid="{4D68610C-299B-456D-876F-D91B6078E9E0}"/>
    <cellStyle name="Comma 4 2 2 2 3 3 6" xfId="36733" xr:uid="{D0122B24-7369-43E5-AA0D-F798F606B9A0}"/>
    <cellStyle name="Comma 4 2 2 2 3 3 7" xfId="10539" xr:uid="{54CFFD6F-0D37-4FA8-BB4E-8B05300A2104}"/>
    <cellStyle name="Comma 4 2 2 2 3 4" xfId="1536" xr:uid="{00000000-0005-0000-0000-0000DB070000}"/>
    <cellStyle name="Comma 4 2 2 2 3 4 2" xfId="3766" xr:uid="{00000000-0005-0000-0000-0000DC070000}"/>
    <cellStyle name="Comma 4 2 2 2 3 4 2 2" xfId="7988" xr:uid="{00000000-0005-0000-0000-0000DD070000}"/>
    <cellStyle name="Comma 4 2 2 2 3 4 2 2 2" xfId="26614" xr:uid="{8E1B1FCB-451A-4568-A723-9E2FAC6F523E}"/>
    <cellStyle name="Comma 4 2 2 2 3 4 2 2 3" xfId="35061" xr:uid="{18EE0F16-E1E2-4305-A97F-7003C8B3717E}"/>
    <cellStyle name="Comma 4 2 2 2 3 4 2 2 4" xfId="43508" xr:uid="{F1F49354-2A75-4479-94F4-E9210B4DD3B1}"/>
    <cellStyle name="Comma 4 2 2 2 3 4 2 2 5" xfId="17314" xr:uid="{1EB9E8C2-D16C-4AA5-A7D4-FAAF4C5C5E63}"/>
    <cellStyle name="Comma 4 2 2 2 3 4 2 3" xfId="22397" xr:uid="{A3992589-ED0F-4FCA-ADF0-B4636A1187C5}"/>
    <cellStyle name="Comma 4 2 2 2 3 4 2 4" xfId="30844" xr:uid="{EE55697B-D11C-41CF-A89E-2EDBA4791B1A}"/>
    <cellStyle name="Comma 4 2 2 2 3 4 2 5" xfId="39291" xr:uid="{6E1C5BCD-87B4-4BEE-8815-54F3C445D5C1}"/>
    <cellStyle name="Comma 4 2 2 2 3 4 2 6" xfId="13097" xr:uid="{0131A1FD-5461-4D90-8BDA-076642E57822}"/>
    <cellStyle name="Comma 4 2 2 2 3 4 3" xfId="5843" xr:uid="{00000000-0005-0000-0000-0000DE070000}"/>
    <cellStyle name="Comma 4 2 2 2 3 4 3 2" xfId="24469" xr:uid="{B81EF590-34C1-4BEC-942A-DD97C585D705}"/>
    <cellStyle name="Comma 4 2 2 2 3 4 3 3" xfId="32916" xr:uid="{D1502CC5-0E27-4C37-A860-07C2FF2A8967}"/>
    <cellStyle name="Comma 4 2 2 2 3 4 3 4" xfId="41363" xr:uid="{B52B7E6D-9D28-480F-A89E-90B36A5B6190}"/>
    <cellStyle name="Comma 4 2 2 2 3 4 3 5" xfId="15169" xr:uid="{0975AE08-FEFD-47F1-94A3-7F42C146BA3D}"/>
    <cellStyle name="Comma 4 2 2 2 3 4 4" xfId="20252" xr:uid="{9BD43E75-BD71-4A4A-82B3-050683558EF6}"/>
    <cellStyle name="Comma 4 2 2 2 3 4 5" xfId="28699" xr:uid="{00DC7074-8468-47F8-B433-9FDE1E78F1AC}"/>
    <cellStyle name="Comma 4 2 2 2 3 4 6" xfId="37146" xr:uid="{13AB6A60-09E8-4DCA-8D25-385E7AFB1B20}"/>
    <cellStyle name="Comma 4 2 2 2 3 4 7" xfId="10952" xr:uid="{EA2CD0F7-625C-4A84-A1A4-717B46960898}"/>
    <cellStyle name="Comma 4 2 2 2 3 5" xfId="1950" xr:uid="{00000000-0005-0000-0000-0000DF070000}"/>
    <cellStyle name="Comma 4 2 2 2 3 5 2" xfId="4179" xr:uid="{00000000-0005-0000-0000-0000E0070000}"/>
    <cellStyle name="Comma 4 2 2 2 3 5 2 2" xfId="8401" xr:uid="{00000000-0005-0000-0000-0000E1070000}"/>
    <cellStyle name="Comma 4 2 2 2 3 5 2 2 2" xfId="27027" xr:uid="{C0AF09BC-D4B5-471C-BD52-6B241A0E69C8}"/>
    <cellStyle name="Comma 4 2 2 2 3 5 2 2 3" xfId="35474" xr:uid="{E6F5F1B9-7812-432C-94A3-464AEFD175F0}"/>
    <cellStyle name="Comma 4 2 2 2 3 5 2 2 4" xfId="43921" xr:uid="{BA5DF7CE-B707-4743-A4D2-D16348231E20}"/>
    <cellStyle name="Comma 4 2 2 2 3 5 2 2 5" xfId="17727" xr:uid="{FFD206A5-50E3-4199-9066-5446AC8F00F6}"/>
    <cellStyle name="Comma 4 2 2 2 3 5 2 3" xfId="22810" xr:uid="{A2C5D083-251B-4E99-AC12-82DE6156DF71}"/>
    <cellStyle name="Comma 4 2 2 2 3 5 2 4" xfId="31257" xr:uid="{E462FD9D-9786-4F7C-A821-D34FB4B4A105}"/>
    <cellStyle name="Comma 4 2 2 2 3 5 2 5" xfId="39704" xr:uid="{60883CCA-6F0D-45C3-84E6-6AC4CCCEA514}"/>
    <cellStyle name="Comma 4 2 2 2 3 5 2 6" xfId="13510" xr:uid="{BD53E98C-892E-434D-96D8-3EA57644283D}"/>
    <cellStyle name="Comma 4 2 2 2 3 5 3" xfId="6256" xr:uid="{00000000-0005-0000-0000-0000E2070000}"/>
    <cellStyle name="Comma 4 2 2 2 3 5 3 2" xfId="24882" xr:uid="{0F94DE8B-BB17-4316-8B71-12DE753DCCA8}"/>
    <cellStyle name="Comma 4 2 2 2 3 5 3 3" xfId="33329" xr:uid="{F5328818-C4DC-4A08-80AE-473A44550B75}"/>
    <cellStyle name="Comma 4 2 2 2 3 5 3 4" xfId="41776" xr:uid="{949C84CD-2775-4B55-829A-304CE4603CAD}"/>
    <cellStyle name="Comma 4 2 2 2 3 5 3 5" xfId="15582" xr:uid="{71F8F650-C905-469E-A212-2FC6063DE72B}"/>
    <cellStyle name="Comma 4 2 2 2 3 5 4" xfId="20665" xr:uid="{50A4F915-6419-472A-ADCE-BFFC77A683D6}"/>
    <cellStyle name="Comma 4 2 2 2 3 5 5" xfId="29112" xr:uid="{5B7E5764-167F-4F57-B341-A4980092570F}"/>
    <cellStyle name="Comma 4 2 2 2 3 5 6" xfId="37559" xr:uid="{5286BD21-A32B-4AC8-A41C-AC64B0D8AE8D}"/>
    <cellStyle name="Comma 4 2 2 2 3 5 7" xfId="11365" xr:uid="{30C5FCBB-BCAF-402D-8155-3FC8615CE381}"/>
    <cellStyle name="Comma 4 2 2 2 3 6" xfId="2385" xr:uid="{00000000-0005-0000-0000-0000E3070000}"/>
    <cellStyle name="Comma 4 2 2 2 3 6 2" xfId="6669" xr:uid="{00000000-0005-0000-0000-0000E4070000}"/>
    <cellStyle name="Comma 4 2 2 2 3 6 2 2" xfId="25295" xr:uid="{49EABBEC-19E4-424B-88CD-031C3FF2F26A}"/>
    <cellStyle name="Comma 4 2 2 2 3 6 2 3" xfId="33742" xr:uid="{04C516C6-DAF2-4BB5-B6FE-8BC2941B0703}"/>
    <cellStyle name="Comma 4 2 2 2 3 6 2 4" xfId="42189" xr:uid="{D0D694EE-42AC-4E08-9965-DD20708650C3}"/>
    <cellStyle name="Comma 4 2 2 2 3 6 2 5" xfId="15995" xr:uid="{A1069B28-06DB-4E81-BA8E-B70B3FEB38D8}"/>
    <cellStyle name="Comma 4 2 2 2 3 6 3" xfId="21078" xr:uid="{47F62752-AD55-403F-9003-094D9F767286}"/>
    <cellStyle name="Comma 4 2 2 2 3 6 4" xfId="29525" xr:uid="{AC1704F7-E959-4086-9F39-3B797B65604B}"/>
    <cellStyle name="Comma 4 2 2 2 3 6 5" xfId="37972" xr:uid="{8ADD0193-B098-4DA7-8233-8C4F1A135010}"/>
    <cellStyle name="Comma 4 2 2 2 3 6 6" xfId="11778" xr:uid="{30BACC52-A185-4EFF-A7FC-A39D37698FF3}"/>
    <cellStyle name="Comma 4 2 2 2 3 7" xfId="2378" xr:uid="{00000000-0005-0000-0000-0000E5070000}"/>
    <cellStyle name="Comma 4 2 2 2 3 8" xfId="2763" xr:uid="{00000000-0005-0000-0000-0000E6070000}"/>
    <cellStyle name="Comma 4 2 2 2 3 8 2" xfId="6986" xr:uid="{00000000-0005-0000-0000-0000E7070000}"/>
    <cellStyle name="Comma 4 2 2 2 3 8 2 2" xfId="25612" xr:uid="{C2CF7D8E-4861-4C38-8164-62E0C063EF9E}"/>
    <cellStyle name="Comma 4 2 2 2 3 8 2 3" xfId="34059" xr:uid="{95BCFBF6-B0FE-44ED-9599-61E00479EB27}"/>
    <cellStyle name="Comma 4 2 2 2 3 8 2 4" xfId="42506" xr:uid="{FC0C1C39-D391-4B8C-8FC7-0DA0E53923A6}"/>
    <cellStyle name="Comma 4 2 2 2 3 8 2 5" xfId="16312" xr:uid="{B5B73DA0-3AD0-43B9-875D-3482313394D1}"/>
    <cellStyle name="Comma 4 2 2 2 3 8 3" xfId="21395" xr:uid="{5B876BA2-6D85-4E1E-8899-81E70DF91613}"/>
    <cellStyle name="Comma 4 2 2 2 3 8 4" xfId="29842" xr:uid="{7DEFE430-EF26-4380-82C3-04485E566162}"/>
    <cellStyle name="Comma 4 2 2 2 3 8 5" xfId="38289" xr:uid="{B54A4F62-E2C8-4B0D-85DA-9D2C47009099}"/>
    <cellStyle name="Comma 4 2 2 2 3 8 6" xfId="12095" xr:uid="{5BEAB728-17A1-4F3F-A11C-6A97571EC344}"/>
    <cellStyle name="Comma 4 2 2 2 3 9" xfId="4603" xr:uid="{00000000-0005-0000-0000-0000E8070000}"/>
    <cellStyle name="Comma 4 2 2 2 3 9 2" xfId="23229" xr:uid="{9C9A138E-F8CC-461C-B5AC-4B86FEB5F966}"/>
    <cellStyle name="Comma 4 2 2 2 3 9 3" xfId="31676" xr:uid="{452A9A05-0DFD-48BA-8E30-8011990CC676}"/>
    <cellStyle name="Comma 4 2 2 2 3 9 4" xfId="40123" xr:uid="{67E11D64-86AF-48D0-8128-D989DBB077A1}"/>
    <cellStyle name="Comma 4 2 2 2 3 9 5" xfId="13929" xr:uid="{55908ABE-EEB9-4604-A971-55324796B583}"/>
    <cellStyle name="Comma 4 2 2 2 4" xfId="666" xr:uid="{00000000-0005-0000-0000-0000E9070000}"/>
    <cellStyle name="Comma 4 2 2 2 4 2" xfId="2937" xr:uid="{00000000-0005-0000-0000-0000EA070000}"/>
    <cellStyle name="Comma 4 2 2 2 4 2 2" xfId="7159" xr:uid="{00000000-0005-0000-0000-0000EB070000}"/>
    <cellStyle name="Comma 4 2 2 2 4 2 2 2" xfId="25785" xr:uid="{803E4AFA-5320-4DC9-B14A-D34D85C28E81}"/>
    <cellStyle name="Comma 4 2 2 2 4 2 2 3" xfId="34232" xr:uid="{E0400A9A-820A-4B0D-9193-9D5EA120AFCD}"/>
    <cellStyle name="Comma 4 2 2 2 4 2 2 4" xfId="42679" xr:uid="{33520940-719A-490A-9581-040B85A36EC8}"/>
    <cellStyle name="Comma 4 2 2 2 4 2 2 5" xfId="16485" xr:uid="{BB446C87-33BD-4C46-B7C6-C0CBA68B05B6}"/>
    <cellStyle name="Comma 4 2 2 2 4 2 3" xfId="21568" xr:uid="{1BDEE3F0-5E26-455B-AAC7-01E0CFE8D7F5}"/>
    <cellStyle name="Comma 4 2 2 2 4 2 4" xfId="30015" xr:uid="{ED72DF40-16EF-44B0-8A50-F0C3B22DFF91}"/>
    <cellStyle name="Comma 4 2 2 2 4 2 5" xfId="38462" xr:uid="{8696AB87-D09D-4090-8BBC-C55B4059E1EA}"/>
    <cellStyle name="Comma 4 2 2 2 4 2 6" xfId="12268" xr:uid="{ECCD4701-154A-4624-BD32-4AB7772FA2D8}"/>
    <cellStyle name="Comma 4 2 2 2 4 3" xfId="5014" xr:uid="{00000000-0005-0000-0000-0000EC070000}"/>
    <cellStyle name="Comma 4 2 2 2 4 3 2" xfId="23640" xr:uid="{A3604B17-3083-454C-B80B-BC0DDA05BF0E}"/>
    <cellStyle name="Comma 4 2 2 2 4 3 3" xfId="32087" xr:uid="{4324D0A3-6132-4751-887B-5AC898B81DA3}"/>
    <cellStyle name="Comma 4 2 2 2 4 3 4" xfId="40534" xr:uid="{2CFC6009-9BDF-45FE-B2AB-1270A5E82C22}"/>
    <cellStyle name="Comma 4 2 2 2 4 3 5" xfId="14340" xr:uid="{D5389552-EC97-4913-84C2-A7B5A5FB0082}"/>
    <cellStyle name="Comma 4 2 2 2 4 4" xfId="9231" xr:uid="{31DAC97A-9492-467B-9850-183797A56FBE}"/>
    <cellStyle name="Comma 4 2 2 2 4 4 2" xfId="18547" xr:uid="{2512238C-A37D-4E7D-8A10-282EA43FF9FE}"/>
    <cellStyle name="Comma 4 2 2 2 4 5" xfId="19423" xr:uid="{AFBA5242-701B-4550-AF9B-C6F8E28FFDE0}"/>
    <cellStyle name="Comma 4 2 2 2 4 6" xfId="27870" xr:uid="{6D36DB69-B54F-4286-A8FE-A606D8BE4176}"/>
    <cellStyle name="Comma 4 2 2 2 4 7" xfId="36317" xr:uid="{7CDE21F1-8D58-42A9-829A-5F6AF519164D}"/>
    <cellStyle name="Comma 4 2 2 2 4 8" xfId="10123" xr:uid="{F9455C2B-F8F9-49DB-98F4-9FDDCEE69666}"/>
    <cellStyle name="Comma 4 2 2 2 5" xfId="1119" xr:uid="{00000000-0005-0000-0000-0000ED070000}"/>
    <cellStyle name="Comma 4 2 2 2 5 2" xfId="3350" xr:uid="{00000000-0005-0000-0000-0000EE070000}"/>
    <cellStyle name="Comma 4 2 2 2 5 2 2" xfId="7572" xr:uid="{00000000-0005-0000-0000-0000EF070000}"/>
    <cellStyle name="Comma 4 2 2 2 5 2 2 2" xfId="26198" xr:uid="{E343BA9C-6270-494A-B14D-889BAA08D3B5}"/>
    <cellStyle name="Comma 4 2 2 2 5 2 2 3" xfId="34645" xr:uid="{249044DA-26F0-4778-83BA-2C1F421E8A86}"/>
    <cellStyle name="Comma 4 2 2 2 5 2 2 4" xfId="43092" xr:uid="{87D989D3-C4B2-4740-8178-2EE674EF5DD1}"/>
    <cellStyle name="Comma 4 2 2 2 5 2 2 5" xfId="16898" xr:uid="{CEE80A46-55E0-46AD-91C9-B371108663A9}"/>
    <cellStyle name="Comma 4 2 2 2 5 2 3" xfId="21981" xr:uid="{C4A44B66-4BEA-4880-8973-4BC9F4D448BE}"/>
    <cellStyle name="Comma 4 2 2 2 5 2 4" xfId="30428" xr:uid="{EF4CC38F-25E4-460A-BA6C-0B086BC3909E}"/>
    <cellStyle name="Comma 4 2 2 2 5 2 5" xfId="38875" xr:uid="{61D66522-825E-40CA-9115-B939AB30B9B4}"/>
    <cellStyle name="Comma 4 2 2 2 5 2 6" xfId="12681" xr:uid="{84624446-0407-41C2-A0A0-5F1BAE89FDBF}"/>
    <cellStyle name="Comma 4 2 2 2 5 3" xfId="5427" xr:uid="{00000000-0005-0000-0000-0000F0070000}"/>
    <cellStyle name="Comma 4 2 2 2 5 3 2" xfId="24053" xr:uid="{5B4DD8C7-3016-412B-8D65-3231530FCEC9}"/>
    <cellStyle name="Comma 4 2 2 2 5 3 3" xfId="32500" xr:uid="{BE93687F-995A-4E6B-AFD2-3179AA1067C6}"/>
    <cellStyle name="Comma 4 2 2 2 5 3 4" xfId="40947" xr:uid="{1601050D-A839-47F3-8929-8BE546CDC354}"/>
    <cellStyle name="Comma 4 2 2 2 5 3 5" xfId="14753" xr:uid="{8FB5C052-BC8D-429B-BD5B-D16D2B392DF1}"/>
    <cellStyle name="Comma 4 2 2 2 5 4" xfId="19836" xr:uid="{1DA15232-0D7E-4877-B15A-9A7B86343948}"/>
    <cellStyle name="Comma 4 2 2 2 5 5" xfId="28283" xr:uid="{114D8B72-6046-47C9-B0BB-F0755AA599B6}"/>
    <cellStyle name="Comma 4 2 2 2 5 6" xfId="36730" xr:uid="{C640EA32-E09B-4C39-A423-DBE5F6216C74}"/>
    <cellStyle name="Comma 4 2 2 2 5 7" xfId="10536" xr:uid="{9D7706F6-90D7-470E-8EC6-B2F4F9E8CB5B}"/>
    <cellStyle name="Comma 4 2 2 2 6" xfId="1533" xr:uid="{00000000-0005-0000-0000-0000F1070000}"/>
    <cellStyle name="Comma 4 2 2 2 6 2" xfId="3763" xr:uid="{00000000-0005-0000-0000-0000F2070000}"/>
    <cellStyle name="Comma 4 2 2 2 6 2 2" xfId="7985" xr:uid="{00000000-0005-0000-0000-0000F3070000}"/>
    <cellStyle name="Comma 4 2 2 2 6 2 2 2" xfId="26611" xr:uid="{FF6E1047-F6BB-4F68-A128-6603905D0CC8}"/>
    <cellStyle name="Comma 4 2 2 2 6 2 2 3" xfId="35058" xr:uid="{17C1CD20-E0CD-4FB5-9C12-A88E995057F9}"/>
    <cellStyle name="Comma 4 2 2 2 6 2 2 4" xfId="43505" xr:uid="{F00B819E-4EF7-4B1C-A021-A2769FAC2C0E}"/>
    <cellStyle name="Comma 4 2 2 2 6 2 2 5" xfId="17311" xr:uid="{7CDCD94B-BDFF-4409-99D1-D545619FE786}"/>
    <cellStyle name="Comma 4 2 2 2 6 2 3" xfId="22394" xr:uid="{892F3429-2013-4DAA-AA94-D1A775D9D96E}"/>
    <cellStyle name="Comma 4 2 2 2 6 2 4" xfId="30841" xr:uid="{EF9344C4-813E-4A26-BF04-CCAC41C1FF15}"/>
    <cellStyle name="Comma 4 2 2 2 6 2 5" xfId="39288" xr:uid="{AD15D9CC-0B6C-4E47-B08B-4716B0E936E8}"/>
    <cellStyle name="Comma 4 2 2 2 6 2 6" xfId="13094" xr:uid="{A41861BE-BACA-468B-8871-5A0916346314}"/>
    <cellStyle name="Comma 4 2 2 2 6 3" xfId="5840" xr:uid="{00000000-0005-0000-0000-0000F4070000}"/>
    <cellStyle name="Comma 4 2 2 2 6 3 2" xfId="24466" xr:uid="{33F6C117-3A4F-47B6-9B4C-4F1480606693}"/>
    <cellStyle name="Comma 4 2 2 2 6 3 3" xfId="32913" xr:uid="{3D340E46-1A83-4690-8423-4CCC5C6F0F80}"/>
    <cellStyle name="Comma 4 2 2 2 6 3 4" xfId="41360" xr:uid="{7DCD925B-D745-4DED-A3CF-A099262B0683}"/>
    <cellStyle name="Comma 4 2 2 2 6 3 5" xfId="15166" xr:uid="{E35A5720-3048-4A85-8520-2098CC278463}"/>
    <cellStyle name="Comma 4 2 2 2 6 4" xfId="20249" xr:uid="{A56CCD8A-7215-4FB8-9508-9BA05D4CF799}"/>
    <cellStyle name="Comma 4 2 2 2 6 5" xfId="28696" xr:uid="{361FF019-34D8-4FDB-B34C-426AE978A086}"/>
    <cellStyle name="Comma 4 2 2 2 6 6" xfId="37143" xr:uid="{80BD22D9-42AA-4EED-9DE7-C3388BA5B941}"/>
    <cellStyle name="Comma 4 2 2 2 6 7" xfId="10949" xr:uid="{27CD9E97-6E34-4947-98CA-5603DECAB32C}"/>
    <cellStyle name="Comma 4 2 2 2 7" xfId="1947" xr:uid="{00000000-0005-0000-0000-0000F5070000}"/>
    <cellStyle name="Comma 4 2 2 2 7 2" xfId="4176" xr:uid="{00000000-0005-0000-0000-0000F6070000}"/>
    <cellStyle name="Comma 4 2 2 2 7 2 2" xfId="8398" xr:uid="{00000000-0005-0000-0000-0000F7070000}"/>
    <cellStyle name="Comma 4 2 2 2 7 2 2 2" xfId="27024" xr:uid="{283DF07D-4572-4004-A088-256E21A0A271}"/>
    <cellStyle name="Comma 4 2 2 2 7 2 2 3" xfId="35471" xr:uid="{D245BE3C-4A6E-43A2-A210-DC0EF235942F}"/>
    <cellStyle name="Comma 4 2 2 2 7 2 2 4" xfId="43918" xr:uid="{A606B746-BC4D-4CFB-A207-1DB90488F656}"/>
    <cellStyle name="Comma 4 2 2 2 7 2 2 5" xfId="17724" xr:uid="{96A0F971-0607-41DB-921E-81884074CA41}"/>
    <cellStyle name="Comma 4 2 2 2 7 2 3" xfId="22807" xr:uid="{04FD45B3-31B9-4BB5-890A-0230CA6091E3}"/>
    <cellStyle name="Comma 4 2 2 2 7 2 4" xfId="31254" xr:uid="{7D6C9BFF-5BE1-476B-884B-1A491B62B1E6}"/>
    <cellStyle name="Comma 4 2 2 2 7 2 5" xfId="39701" xr:uid="{2930004D-5230-4BC9-8D2B-DEFF307AB9C8}"/>
    <cellStyle name="Comma 4 2 2 2 7 2 6" xfId="13507" xr:uid="{B1B774D0-47D6-4991-8FCA-1C12804DF530}"/>
    <cellStyle name="Comma 4 2 2 2 7 3" xfId="6253" xr:uid="{00000000-0005-0000-0000-0000F8070000}"/>
    <cellStyle name="Comma 4 2 2 2 7 3 2" xfId="24879" xr:uid="{C11B0ADE-F2A3-4779-9909-9A4CEF9A712A}"/>
    <cellStyle name="Comma 4 2 2 2 7 3 3" xfId="33326" xr:uid="{B83DA63A-A399-474E-9131-72B3E5E5B46D}"/>
    <cellStyle name="Comma 4 2 2 2 7 3 4" xfId="41773" xr:uid="{6FD235D7-A3AF-47C5-B5E5-F517109C56A4}"/>
    <cellStyle name="Comma 4 2 2 2 7 3 5" xfId="15579" xr:uid="{E8EA2C18-0D86-4F9F-B3F1-42BF51169422}"/>
    <cellStyle name="Comma 4 2 2 2 7 4" xfId="20662" xr:uid="{6E4EB332-CEFF-49DF-A461-785D9D4276C4}"/>
    <cellStyle name="Comma 4 2 2 2 7 5" xfId="29109" xr:uid="{22F5E863-CFCB-4C07-B398-E3A457BC7CF0}"/>
    <cellStyle name="Comma 4 2 2 2 7 6" xfId="37556" xr:uid="{BED6F336-7E4C-4DA1-AE89-E76DCFFC2E03}"/>
    <cellStyle name="Comma 4 2 2 2 7 7" xfId="11362" xr:uid="{96741F71-CCE9-4DE2-B86E-BD2AFC4736FB}"/>
    <cellStyle name="Comma 4 2 2 2 8" xfId="2382" xr:uid="{00000000-0005-0000-0000-0000F9070000}"/>
    <cellStyle name="Comma 4 2 2 2 8 2" xfId="6666" xr:uid="{00000000-0005-0000-0000-0000FA070000}"/>
    <cellStyle name="Comma 4 2 2 2 8 2 2" xfId="25292" xr:uid="{06736996-E8A0-4DAC-86CA-E63F8A801ACF}"/>
    <cellStyle name="Comma 4 2 2 2 8 2 3" xfId="33739" xr:uid="{649ABA53-7F0A-40EF-9DBA-75E537B1FC43}"/>
    <cellStyle name="Comma 4 2 2 2 8 2 4" xfId="42186" xr:uid="{39148836-F3D9-4670-9F68-456D58EBD08C}"/>
    <cellStyle name="Comma 4 2 2 2 8 2 5" xfId="15992" xr:uid="{5DADA171-4FA6-4E72-A6C6-A2BBC43AC091}"/>
    <cellStyle name="Comma 4 2 2 2 8 3" xfId="21075" xr:uid="{80C5BE63-9D0B-4ED2-8A23-C4B852C113DF}"/>
    <cellStyle name="Comma 4 2 2 2 8 4" xfId="29522" xr:uid="{A8801870-398B-44E9-8516-EDB44FF6F6CF}"/>
    <cellStyle name="Comma 4 2 2 2 8 5" xfId="37969" xr:uid="{3FEB6CEC-912B-489D-932C-CF2488678309}"/>
    <cellStyle name="Comma 4 2 2 2 8 6" xfId="11775" xr:uid="{9CE5FA1B-9961-4A43-8164-750440A42F57}"/>
    <cellStyle name="Comma 4 2 2 2 9" xfId="2381" xr:uid="{00000000-0005-0000-0000-0000FB070000}"/>
    <cellStyle name="Comma 4 2 2 3" xfId="132" xr:uid="{00000000-0005-0000-0000-0000FC070000}"/>
    <cellStyle name="Comma 4 2 2 3 10" xfId="4604" xr:uid="{00000000-0005-0000-0000-0000FD070000}"/>
    <cellStyle name="Comma 4 2 2 3 10 2" xfId="23230" xr:uid="{D26A00B1-2488-4041-97A1-E8BD282B46FA}"/>
    <cellStyle name="Comma 4 2 2 3 10 3" xfId="31677" xr:uid="{97C3A3F8-1408-4D86-A875-8CB2CCB70E01}"/>
    <cellStyle name="Comma 4 2 2 3 10 4" xfId="40124" xr:uid="{38D9CF12-C461-44CB-9BFA-5B158E84125A}"/>
    <cellStyle name="Comma 4 2 2 3 10 5" xfId="13930" xr:uid="{61759624-AC01-4B43-BB09-B6B7DBB449F6}"/>
    <cellStyle name="Comma 4 2 2 3 11" xfId="8889" xr:uid="{93813409-C042-4436-8561-B0237A135E7D}"/>
    <cellStyle name="Comma 4 2 2 3 11 2" xfId="18213" xr:uid="{1283204A-78E4-4F1E-9912-9C9429DDAE22}"/>
    <cellStyle name="Comma 4 2 2 3 12" xfId="19013" xr:uid="{2DE56CDB-4950-4CBA-89FE-3AD6A117308B}"/>
    <cellStyle name="Comma 4 2 2 3 13" xfId="27460" xr:uid="{32E5170C-850C-4C4F-A75F-3039A1F42C92}"/>
    <cellStyle name="Comma 4 2 2 3 14" xfId="35907" xr:uid="{57DC18BF-20EE-49A4-9D38-052EE94ECE70}"/>
    <cellStyle name="Comma 4 2 2 3 15" xfId="9713" xr:uid="{59716033-7D79-40FE-8ADD-C254A0AAB45D}"/>
    <cellStyle name="Comma 4 2 2 3 2" xfId="133" xr:uid="{00000000-0005-0000-0000-0000FE070000}"/>
    <cellStyle name="Comma 4 2 2 3 2 10" xfId="9096" xr:uid="{C395B6CC-7E3E-452B-B5AB-BBF992A45CEB}"/>
    <cellStyle name="Comma 4 2 2 3 2 10 2" xfId="18420" xr:uid="{F9BBB0A5-7B1C-4281-AD17-5957E340879E}"/>
    <cellStyle name="Comma 4 2 2 3 2 11" xfId="19014" xr:uid="{6F95272E-D30F-413A-9298-5671AF464972}"/>
    <cellStyle name="Comma 4 2 2 3 2 12" xfId="27461" xr:uid="{043D2C28-62E7-47A9-BB70-EA940E9D06C8}"/>
    <cellStyle name="Comma 4 2 2 3 2 13" xfId="35908" xr:uid="{4C34E52C-AEEE-4A66-A64D-22E5CF8D8B50}"/>
    <cellStyle name="Comma 4 2 2 3 2 14" xfId="9714" xr:uid="{C2F7A982-31E6-4A86-BA53-BAB6459C108F}"/>
    <cellStyle name="Comma 4 2 2 3 2 2" xfId="671" xr:uid="{00000000-0005-0000-0000-0000FF070000}"/>
    <cellStyle name="Comma 4 2 2 3 2 2 2" xfId="2942" xr:uid="{00000000-0005-0000-0000-000000080000}"/>
    <cellStyle name="Comma 4 2 2 3 2 2 2 2" xfId="7164" xr:uid="{00000000-0005-0000-0000-000001080000}"/>
    <cellStyle name="Comma 4 2 2 3 2 2 2 2 2" xfId="25790" xr:uid="{83795E4B-9103-42A1-9396-D4ED34A1C035}"/>
    <cellStyle name="Comma 4 2 2 3 2 2 2 2 3" xfId="34237" xr:uid="{1793C853-E5BE-44A9-A15D-E3C27EDE84A3}"/>
    <cellStyle name="Comma 4 2 2 3 2 2 2 2 4" xfId="42684" xr:uid="{70F01DE2-C3C8-45C2-8629-E949D56818E9}"/>
    <cellStyle name="Comma 4 2 2 3 2 2 2 2 5" xfId="16490" xr:uid="{C616F0CD-BF48-4657-AA5B-4BD791B00DAA}"/>
    <cellStyle name="Comma 4 2 2 3 2 2 2 3" xfId="21573" xr:uid="{C8631561-FADB-44D0-A515-32931CCB82D9}"/>
    <cellStyle name="Comma 4 2 2 3 2 2 2 4" xfId="30020" xr:uid="{C99D1DF8-A289-41E3-82F6-3EA0DF8976E1}"/>
    <cellStyle name="Comma 4 2 2 3 2 2 2 5" xfId="38467" xr:uid="{DF5100AE-0451-4BFC-9C18-D7A710048A71}"/>
    <cellStyle name="Comma 4 2 2 3 2 2 2 6" xfId="12273" xr:uid="{7556484E-3434-4CCF-86DF-CE6DCC03FE67}"/>
    <cellStyle name="Comma 4 2 2 3 2 2 3" xfId="5019" xr:uid="{00000000-0005-0000-0000-000002080000}"/>
    <cellStyle name="Comma 4 2 2 3 2 2 3 2" xfId="23645" xr:uid="{C9344DF3-057A-4336-B3A5-63136312DE8E}"/>
    <cellStyle name="Comma 4 2 2 3 2 2 3 3" xfId="32092" xr:uid="{C049FB6D-FB8B-43EA-9EAC-8C7C6DCE8775}"/>
    <cellStyle name="Comma 4 2 2 3 2 2 3 4" xfId="40539" xr:uid="{7A3FBC51-3297-41B0-890D-18E53076595F}"/>
    <cellStyle name="Comma 4 2 2 3 2 2 3 5" xfId="14345" xr:uid="{52F7C708-C26F-4AF1-B2E0-415EE64A4B03}"/>
    <cellStyle name="Comma 4 2 2 3 2 2 4" xfId="9521" xr:uid="{8F14F654-C711-4E70-8A06-71F68E70E2E0}"/>
    <cellStyle name="Comma 4 2 2 3 2 2 4 2" xfId="18837" xr:uid="{80C321F8-5B78-40F3-9B12-2994C5143737}"/>
    <cellStyle name="Comma 4 2 2 3 2 2 5" xfId="19428" xr:uid="{B1F00BF3-5891-4837-9106-619FB99FD774}"/>
    <cellStyle name="Comma 4 2 2 3 2 2 6" xfId="27875" xr:uid="{C69B929B-BF02-477D-A0EA-0EFD774B59B9}"/>
    <cellStyle name="Comma 4 2 2 3 2 2 7" xfId="36322" xr:uid="{0F28C9C3-8EEE-465C-88D1-AADC1D0FB8B2}"/>
    <cellStyle name="Comma 4 2 2 3 2 2 8" xfId="10128" xr:uid="{9179C25A-B324-40FF-977A-F9A4AB63302B}"/>
    <cellStyle name="Comma 4 2 2 3 2 3" xfId="1124" xr:uid="{00000000-0005-0000-0000-000003080000}"/>
    <cellStyle name="Comma 4 2 2 3 2 3 2" xfId="3355" xr:uid="{00000000-0005-0000-0000-000004080000}"/>
    <cellStyle name="Comma 4 2 2 3 2 3 2 2" xfId="7577" xr:uid="{00000000-0005-0000-0000-000005080000}"/>
    <cellStyle name="Comma 4 2 2 3 2 3 2 2 2" xfId="26203" xr:uid="{99418D5A-C3EE-4834-ADF2-A6EE99C0ED11}"/>
    <cellStyle name="Comma 4 2 2 3 2 3 2 2 3" xfId="34650" xr:uid="{38F27F12-F05D-459D-8575-DD4E052FC6C0}"/>
    <cellStyle name="Comma 4 2 2 3 2 3 2 2 4" xfId="43097" xr:uid="{56E50892-D86F-42B1-85D5-C054EEC1DAC8}"/>
    <cellStyle name="Comma 4 2 2 3 2 3 2 2 5" xfId="16903" xr:uid="{2C68CABD-C35A-420B-ACC5-77CFA2E9C2B7}"/>
    <cellStyle name="Comma 4 2 2 3 2 3 2 3" xfId="21986" xr:uid="{A34416E0-E39A-4C4F-ADBF-5706888AB34B}"/>
    <cellStyle name="Comma 4 2 2 3 2 3 2 4" xfId="30433" xr:uid="{C31FA208-7F5E-4197-82D1-4D81EB42D471}"/>
    <cellStyle name="Comma 4 2 2 3 2 3 2 5" xfId="38880" xr:uid="{A56F4DBB-997F-429B-A587-4245ED268428}"/>
    <cellStyle name="Comma 4 2 2 3 2 3 2 6" xfId="12686" xr:uid="{7DE6BD70-C162-41F8-9E6B-2E45110FE81B}"/>
    <cellStyle name="Comma 4 2 2 3 2 3 3" xfId="5432" xr:uid="{00000000-0005-0000-0000-000006080000}"/>
    <cellStyle name="Comma 4 2 2 3 2 3 3 2" xfId="24058" xr:uid="{31958EC6-18FD-4057-B14F-450F1A16617C}"/>
    <cellStyle name="Comma 4 2 2 3 2 3 3 3" xfId="32505" xr:uid="{3CB39D26-63DB-4CDE-9BD5-DF30A836B320}"/>
    <cellStyle name="Comma 4 2 2 3 2 3 3 4" xfId="40952" xr:uid="{4D0E77E2-B872-478E-B01A-A95A3A14FAA3}"/>
    <cellStyle name="Comma 4 2 2 3 2 3 3 5" xfId="14758" xr:uid="{15954E5B-6181-4E1D-AACB-5A829A29FD06}"/>
    <cellStyle name="Comma 4 2 2 3 2 3 4" xfId="19841" xr:uid="{5ADBA78C-5B11-4B90-AD2A-97DCAC7A0D03}"/>
    <cellStyle name="Comma 4 2 2 3 2 3 5" xfId="28288" xr:uid="{FEE04485-5CD8-4356-80D4-4DFB379000D9}"/>
    <cellStyle name="Comma 4 2 2 3 2 3 6" xfId="36735" xr:uid="{9B6452BC-0035-49DD-B443-DB6E15B65181}"/>
    <cellStyle name="Comma 4 2 2 3 2 3 7" xfId="10541" xr:uid="{5E2E98B8-EE42-4EF4-9654-7FB548C65636}"/>
    <cellStyle name="Comma 4 2 2 3 2 4" xfId="1538" xr:uid="{00000000-0005-0000-0000-000007080000}"/>
    <cellStyle name="Comma 4 2 2 3 2 4 2" xfId="3768" xr:uid="{00000000-0005-0000-0000-000008080000}"/>
    <cellStyle name="Comma 4 2 2 3 2 4 2 2" xfId="7990" xr:uid="{00000000-0005-0000-0000-000009080000}"/>
    <cellStyle name="Comma 4 2 2 3 2 4 2 2 2" xfId="26616" xr:uid="{125EE739-8FDE-4D91-AC3C-ADBB0D0A7BD3}"/>
    <cellStyle name="Comma 4 2 2 3 2 4 2 2 3" xfId="35063" xr:uid="{76346A13-97F7-4D5C-966F-FC1BCDCE1684}"/>
    <cellStyle name="Comma 4 2 2 3 2 4 2 2 4" xfId="43510" xr:uid="{B06094D9-22D9-4D11-B206-D96F0DA99CBD}"/>
    <cellStyle name="Comma 4 2 2 3 2 4 2 2 5" xfId="17316" xr:uid="{64C4EBF7-3AF6-419D-BFBE-7BC9275248A2}"/>
    <cellStyle name="Comma 4 2 2 3 2 4 2 3" xfId="22399" xr:uid="{8080CF6F-F91D-4F44-9897-11D3CFFE21FC}"/>
    <cellStyle name="Comma 4 2 2 3 2 4 2 4" xfId="30846" xr:uid="{F2B07BC0-FD78-4400-8DF5-5A2AD8E9DF50}"/>
    <cellStyle name="Comma 4 2 2 3 2 4 2 5" xfId="39293" xr:uid="{46D3B7A7-1ACC-4EAA-A411-F858B888B83D}"/>
    <cellStyle name="Comma 4 2 2 3 2 4 2 6" xfId="13099" xr:uid="{15478F72-652E-41A2-9843-270BD4A391C7}"/>
    <cellStyle name="Comma 4 2 2 3 2 4 3" xfId="5845" xr:uid="{00000000-0005-0000-0000-00000A080000}"/>
    <cellStyle name="Comma 4 2 2 3 2 4 3 2" xfId="24471" xr:uid="{55D5A4EC-FC90-4ED1-A7E6-B857BDEA5EA0}"/>
    <cellStyle name="Comma 4 2 2 3 2 4 3 3" xfId="32918" xr:uid="{FE896BD8-F0C0-4936-81D6-8BC0463659E3}"/>
    <cellStyle name="Comma 4 2 2 3 2 4 3 4" xfId="41365" xr:uid="{C7751EF4-94D1-4A85-8423-93BF4AD5E874}"/>
    <cellStyle name="Comma 4 2 2 3 2 4 3 5" xfId="15171" xr:uid="{FA24C1BC-5453-4CD3-AA3D-C706ADA1BC9C}"/>
    <cellStyle name="Comma 4 2 2 3 2 4 4" xfId="20254" xr:uid="{8F13803D-3731-4828-916D-8E39F013A9C1}"/>
    <cellStyle name="Comma 4 2 2 3 2 4 5" xfId="28701" xr:uid="{BCCC05F1-3DFE-4A33-88C5-8CD0430A1185}"/>
    <cellStyle name="Comma 4 2 2 3 2 4 6" xfId="37148" xr:uid="{15D83BF9-C328-4E46-9D87-2B9E1C4BB748}"/>
    <cellStyle name="Comma 4 2 2 3 2 4 7" xfId="10954" xr:uid="{624FD872-F4B3-4E12-8982-ABF99FFF8393}"/>
    <cellStyle name="Comma 4 2 2 3 2 5" xfId="1952" xr:uid="{00000000-0005-0000-0000-00000B080000}"/>
    <cellStyle name="Comma 4 2 2 3 2 5 2" xfId="4181" xr:uid="{00000000-0005-0000-0000-00000C080000}"/>
    <cellStyle name="Comma 4 2 2 3 2 5 2 2" xfId="8403" xr:uid="{00000000-0005-0000-0000-00000D080000}"/>
    <cellStyle name="Comma 4 2 2 3 2 5 2 2 2" xfId="27029" xr:uid="{70F2D2A5-CF93-4F43-9F98-43E549559503}"/>
    <cellStyle name="Comma 4 2 2 3 2 5 2 2 3" xfId="35476" xr:uid="{838ED73C-40A5-419B-BC5B-DA3BF4EF9B22}"/>
    <cellStyle name="Comma 4 2 2 3 2 5 2 2 4" xfId="43923" xr:uid="{2E944E55-E0E6-4024-8A9D-54CE517B68C1}"/>
    <cellStyle name="Comma 4 2 2 3 2 5 2 2 5" xfId="17729" xr:uid="{72ACDA5D-0029-4E36-9579-AD0DAF9F8621}"/>
    <cellStyle name="Comma 4 2 2 3 2 5 2 3" xfId="22812" xr:uid="{C6231798-07F2-4159-AD96-2E9DD43EDC3B}"/>
    <cellStyle name="Comma 4 2 2 3 2 5 2 4" xfId="31259" xr:uid="{7A5119A9-93B4-407D-9277-F5C42553238B}"/>
    <cellStyle name="Comma 4 2 2 3 2 5 2 5" xfId="39706" xr:uid="{99FD0AAE-3BB3-4F57-929F-D3A0AFC65F45}"/>
    <cellStyle name="Comma 4 2 2 3 2 5 2 6" xfId="13512" xr:uid="{54B43315-5040-4FF4-B2BB-DAD3D3EA94FC}"/>
    <cellStyle name="Comma 4 2 2 3 2 5 3" xfId="6258" xr:uid="{00000000-0005-0000-0000-00000E080000}"/>
    <cellStyle name="Comma 4 2 2 3 2 5 3 2" xfId="24884" xr:uid="{F0471753-0531-4708-B005-43EB2C4725E1}"/>
    <cellStyle name="Comma 4 2 2 3 2 5 3 3" xfId="33331" xr:uid="{53150FBD-02DF-4713-A557-1E260BD4FD70}"/>
    <cellStyle name="Comma 4 2 2 3 2 5 3 4" xfId="41778" xr:uid="{8A2FB5C9-78B4-4E1D-823B-33145EAAB2EA}"/>
    <cellStyle name="Comma 4 2 2 3 2 5 3 5" xfId="15584" xr:uid="{5815F26A-A5AB-4373-A88D-37894B3A0CCF}"/>
    <cellStyle name="Comma 4 2 2 3 2 5 4" xfId="20667" xr:uid="{68D6D472-72D5-4B6C-AE58-3FDE27D8C98C}"/>
    <cellStyle name="Comma 4 2 2 3 2 5 5" xfId="29114" xr:uid="{3558E942-C571-4E9B-8210-69990B396123}"/>
    <cellStyle name="Comma 4 2 2 3 2 5 6" xfId="37561" xr:uid="{7A3D0CFA-788D-4239-8661-78969BE59CC0}"/>
    <cellStyle name="Comma 4 2 2 3 2 5 7" xfId="11367" xr:uid="{8F842483-19BF-4810-9558-D76D847DB1E1}"/>
    <cellStyle name="Comma 4 2 2 3 2 6" xfId="2387" xr:uid="{00000000-0005-0000-0000-00000F080000}"/>
    <cellStyle name="Comma 4 2 2 3 2 6 2" xfId="6671" xr:uid="{00000000-0005-0000-0000-000010080000}"/>
    <cellStyle name="Comma 4 2 2 3 2 6 2 2" xfId="25297" xr:uid="{44AC8BD2-8D8E-4ABC-B690-E2E586F0493B}"/>
    <cellStyle name="Comma 4 2 2 3 2 6 2 3" xfId="33744" xr:uid="{C508F429-71EC-4F4A-951B-ECFF5F2B365D}"/>
    <cellStyle name="Comma 4 2 2 3 2 6 2 4" xfId="42191" xr:uid="{615D481F-684D-44E9-9D4A-856B36BB956F}"/>
    <cellStyle name="Comma 4 2 2 3 2 6 2 5" xfId="15997" xr:uid="{1416A3BA-16DC-4A60-816C-047A1737ECEE}"/>
    <cellStyle name="Comma 4 2 2 3 2 6 3" xfId="21080" xr:uid="{B44A71ED-740F-4697-96A9-F6B89799E0CB}"/>
    <cellStyle name="Comma 4 2 2 3 2 6 4" xfId="29527" xr:uid="{490018E7-DEC8-4FF2-9DB5-2A3263255D16}"/>
    <cellStyle name="Comma 4 2 2 3 2 6 5" xfId="37974" xr:uid="{09853B0B-7464-4598-A4C4-64E093A74133}"/>
    <cellStyle name="Comma 4 2 2 3 2 6 6" xfId="11780" xr:uid="{F6F36CE6-B07F-47ED-8BB1-0847AC4DDE68}"/>
    <cellStyle name="Comma 4 2 2 3 2 7" xfId="2376" xr:uid="{00000000-0005-0000-0000-000011080000}"/>
    <cellStyle name="Comma 4 2 2 3 2 8" xfId="2765" xr:uid="{00000000-0005-0000-0000-000012080000}"/>
    <cellStyle name="Comma 4 2 2 3 2 8 2" xfId="6988" xr:uid="{00000000-0005-0000-0000-000013080000}"/>
    <cellStyle name="Comma 4 2 2 3 2 8 2 2" xfId="25614" xr:uid="{67185D4F-B5A6-4A63-8726-80F10A290984}"/>
    <cellStyle name="Comma 4 2 2 3 2 8 2 3" xfId="34061" xr:uid="{17F67A07-1F5F-4131-A36F-E6B00D161E08}"/>
    <cellStyle name="Comma 4 2 2 3 2 8 2 4" xfId="42508" xr:uid="{0C3F1898-BA28-49A4-A96D-F0726E4299A0}"/>
    <cellStyle name="Comma 4 2 2 3 2 8 2 5" xfId="16314" xr:uid="{636383DA-ECFE-49BA-B70F-1872B179BA70}"/>
    <cellStyle name="Comma 4 2 2 3 2 8 3" xfId="21397" xr:uid="{44E5E8EF-AB86-4564-B71B-AF4FC202C267}"/>
    <cellStyle name="Comma 4 2 2 3 2 8 4" xfId="29844" xr:uid="{E477C0C8-38E5-4814-B641-D500B56685FA}"/>
    <cellStyle name="Comma 4 2 2 3 2 8 5" xfId="38291" xr:uid="{B2E21788-D73C-4E46-AEFC-3E55DE263D20}"/>
    <cellStyle name="Comma 4 2 2 3 2 8 6" xfId="12097" xr:uid="{B1E0F84F-B960-4AA0-9D0F-2C1CA431DF34}"/>
    <cellStyle name="Comma 4 2 2 3 2 9" xfId="4605" xr:uid="{00000000-0005-0000-0000-000014080000}"/>
    <cellStyle name="Comma 4 2 2 3 2 9 2" xfId="23231" xr:uid="{2C9F123D-EC14-445A-80DB-CC29DFA1194C}"/>
    <cellStyle name="Comma 4 2 2 3 2 9 3" xfId="31678" xr:uid="{AF482107-47CD-405E-8C2B-81AA8AF46F68}"/>
    <cellStyle name="Comma 4 2 2 3 2 9 4" xfId="40125" xr:uid="{33331043-C919-4F4D-BB30-CD85A1F4FF9F}"/>
    <cellStyle name="Comma 4 2 2 3 2 9 5" xfId="13931" xr:uid="{6A70CBFB-CA15-499A-8921-24B5CD080A6A}"/>
    <cellStyle name="Comma 4 2 2 3 3" xfId="670" xr:uid="{00000000-0005-0000-0000-000015080000}"/>
    <cellStyle name="Comma 4 2 2 3 3 2" xfId="2941" xr:uid="{00000000-0005-0000-0000-000016080000}"/>
    <cellStyle name="Comma 4 2 2 3 3 2 2" xfId="7163" xr:uid="{00000000-0005-0000-0000-000017080000}"/>
    <cellStyle name="Comma 4 2 2 3 3 2 2 2" xfId="25789" xr:uid="{D60A7B9D-DC82-4985-B889-067567D96562}"/>
    <cellStyle name="Comma 4 2 2 3 3 2 2 3" xfId="34236" xr:uid="{D98886DF-E302-4D93-AF48-7D2FAD72C1BB}"/>
    <cellStyle name="Comma 4 2 2 3 3 2 2 4" xfId="42683" xr:uid="{20000153-B673-4013-AC63-B187439C16FF}"/>
    <cellStyle name="Comma 4 2 2 3 3 2 2 5" xfId="16489" xr:uid="{59499D27-8AA0-4DEA-A3F3-0753249A0114}"/>
    <cellStyle name="Comma 4 2 2 3 3 2 3" xfId="21572" xr:uid="{9B2F65A0-3C84-4EAE-9070-CC8F152B96D3}"/>
    <cellStyle name="Comma 4 2 2 3 3 2 4" xfId="30019" xr:uid="{C23594EF-698F-4DE1-9635-533D946988C5}"/>
    <cellStyle name="Comma 4 2 2 3 3 2 5" xfId="38466" xr:uid="{840FD395-868E-4890-8F55-38811F5F5903}"/>
    <cellStyle name="Comma 4 2 2 3 3 2 6" xfId="12272" xr:uid="{62592EEB-DFDE-4574-9912-80B69F1C3EC9}"/>
    <cellStyle name="Comma 4 2 2 3 3 3" xfId="5018" xr:uid="{00000000-0005-0000-0000-000018080000}"/>
    <cellStyle name="Comma 4 2 2 3 3 3 2" xfId="23644" xr:uid="{445E2C6A-1E52-469B-8DED-4FF154B90018}"/>
    <cellStyle name="Comma 4 2 2 3 3 3 3" xfId="32091" xr:uid="{D955B36A-BCE4-4089-BC35-DB82DFE3DDFD}"/>
    <cellStyle name="Comma 4 2 2 3 3 3 4" xfId="40538" xr:uid="{8EDB8C98-F89B-4CEE-941A-60F38295B088}"/>
    <cellStyle name="Comma 4 2 2 3 3 3 5" xfId="14344" xr:uid="{6B2138E8-3966-464B-9811-70A11157FAB9}"/>
    <cellStyle name="Comma 4 2 2 3 3 4" xfId="9314" xr:uid="{A74197AE-1229-40FC-8212-8FB289D74FF6}"/>
    <cellStyle name="Comma 4 2 2 3 3 4 2" xfId="18630" xr:uid="{C825CF52-0E5D-4190-A3CD-DD458F225AC7}"/>
    <cellStyle name="Comma 4 2 2 3 3 5" xfId="19427" xr:uid="{B3CE9B75-493F-4517-9E5D-6901511AEE62}"/>
    <cellStyle name="Comma 4 2 2 3 3 6" xfId="27874" xr:uid="{8E415569-6FDA-40C4-81E6-A8A40029C577}"/>
    <cellStyle name="Comma 4 2 2 3 3 7" xfId="36321" xr:uid="{1479E51C-59CB-4B5D-A454-BEF72B9CD06D}"/>
    <cellStyle name="Comma 4 2 2 3 3 8" xfId="10127" xr:uid="{99EEDEA1-BD48-4F79-879A-CE1A2CB8D615}"/>
    <cellStyle name="Comma 4 2 2 3 4" xfId="1123" xr:uid="{00000000-0005-0000-0000-000019080000}"/>
    <cellStyle name="Comma 4 2 2 3 4 2" xfId="3354" xr:uid="{00000000-0005-0000-0000-00001A080000}"/>
    <cellStyle name="Comma 4 2 2 3 4 2 2" xfId="7576" xr:uid="{00000000-0005-0000-0000-00001B080000}"/>
    <cellStyle name="Comma 4 2 2 3 4 2 2 2" xfId="26202" xr:uid="{987AC3F0-C226-40B1-AA2E-88245A57E583}"/>
    <cellStyle name="Comma 4 2 2 3 4 2 2 3" xfId="34649" xr:uid="{CAB1CBBE-68F3-46E5-A7F7-B4C524B6CD00}"/>
    <cellStyle name="Comma 4 2 2 3 4 2 2 4" xfId="43096" xr:uid="{B0A70580-6A7B-4A1E-A0E8-2497205DEFF8}"/>
    <cellStyle name="Comma 4 2 2 3 4 2 2 5" xfId="16902" xr:uid="{858A35D7-0879-40E7-B942-001E23D3B6C6}"/>
    <cellStyle name="Comma 4 2 2 3 4 2 3" xfId="21985" xr:uid="{04186335-7831-4DE2-B738-C0FFC39FC43E}"/>
    <cellStyle name="Comma 4 2 2 3 4 2 4" xfId="30432" xr:uid="{D73C3CE6-5A92-4A9A-AA88-D61D6E9407B0}"/>
    <cellStyle name="Comma 4 2 2 3 4 2 5" xfId="38879" xr:uid="{5B0C7A6B-9677-4D70-BCB4-EEB1E7121BBC}"/>
    <cellStyle name="Comma 4 2 2 3 4 2 6" xfId="12685" xr:uid="{0085C2D9-1211-4E57-9D11-C1C3B7191133}"/>
    <cellStyle name="Comma 4 2 2 3 4 3" xfId="5431" xr:uid="{00000000-0005-0000-0000-00001C080000}"/>
    <cellStyle name="Comma 4 2 2 3 4 3 2" xfId="24057" xr:uid="{313E0217-68B9-4BF4-B871-8FE6F4954112}"/>
    <cellStyle name="Comma 4 2 2 3 4 3 3" xfId="32504" xr:uid="{6CA09C4A-E599-4A60-A0A1-E4B7D9E10FC6}"/>
    <cellStyle name="Comma 4 2 2 3 4 3 4" xfId="40951" xr:uid="{AF0AB92C-3825-4EEA-A15D-A81FC94E297E}"/>
    <cellStyle name="Comma 4 2 2 3 4 3 5" xfId="14757" xr:uid="{23F8A8DF-0339-494C-9ACC-C073E72EB5BA}"/>
    <cellStyle name="Comma 4 2 2 3 4 4" xfId="19840" xr:uid="{A77748F4-D7A0-4D61-A66A-00CAF18218F1}"/>
    <cellStyle name="Comma 4 2 2 3 4 5" xfId="28287" xr:uid="{6928EA4D-DB34-435F-8E75-82C922A5C0C0}"/>
    <cellStyle name="Comma 4 2 2 3 4 6" xfId="36734" xr:uid="{973A20FA-B15B-4547-BA8A-DFE93410CAFF}"/>
    <cellStyle name="Comma 4 2 2 3 4 7" xfId="10540" xr:uid="{DA4072EC-9395-4FD0-AEAB-864E04AA2A3B}"/>
    <cellStyle name="Comma 4 2 2 3 5" xfId="1537" xr:uid="{00000000-0005-0000-0000-00001D080000}"/>
    <cellStyle name="Comma 4 2 2 3 5 2" xfId="3767" xr:uid="{00000000-0005-0000-0000-00001E080000}"/>
    <cellStyle name="Comma 4 2 2 3 5 2 2" xfId="7989" xr:uid="{00000000-0005-0000-0000-00001F080000}"/>
    <cellStyle name="Comma 4 2 2 3 5 2 2 2" xfId="26615" xr:uid="{5DCAB187-0F1D-4E62-A23F-49C8A0DBE8DB}"/>
    <cellStyle name="Comma 4 2 2 3 5 2 2 3" xfId="35062" xr:uid="{F93A6D84-7563-45FD-BBF8-A942FDFECF89}"/>
    <cellStyle name="Comma 4 2 2 3 5 2 2 4" xfId="43509" xr:uid="{A8C4BBD4-25D9-40BF-B8D4-CD4FACFE66BD}"/>
    <cellStyle name="Comma 4 2 2 3 5 2 2 5" xfId="17315" xr:uid="{840134F7-D337-495E-B3DB-23F5F5EF0BD3}"/>
    <cellStyle name="Comma 4 2 2 3 5 2 3" xfId="22398" xr:uid="{90422A1D-E665-4474-9645-8AC5A7202358}"/>
    <cellStyle name="Comma 4 2 2 3 5 2 4" xfId="30845" xr:uid="{A74F595D-47E1-4D81-BC74-8777F9B96E39}"/>
    <cellStyle name="Comma 4 2 2 3 5 2 5" xfId="39292" xr:uid="{2C5E14E8-8779-447A-A229-11E3E2ADF8B7}"/>
    <cellStyle name="Comma 4 2 2 3 5 2 6" xfId="13098" xr:uid="{F8C4EA3A-A0F6-4FA6-ACEA-182DE7461F54}"/>
    <cellStyle name="Comma 4 2 2 3 5 3" xfId="5844" xr:uid="{00000000-0005-0000-0000-000020080000}"/>
    <cellStyle name="Comma 4 2 2 3 5 3 2" xfId="24470" xr:uid="{31411A8F-6D9D-4BD9-9F72-C07F9F688F75}"/>
    <cellStyle name="Comma 4 2 2 3 5 3 3" xfId="32917" xr:uid="{7A0CC744-C6C6-4A97-88F2-D39EA6CD0C6B}"/>
    <cellStyle name="Comma 4 2 2 3 5 3 4" xfId="41364" xr:uid="{7CFBFD0C-B83B-4E3F-BB32-67493D693053}"/>
    <cellStyle name="Comma 4 2 2 3 5 3 5" xfId="15170" xr:uid="{703E1F85-9E28-483A-84CB-937D9378CCFA}"/>
    <cellStyle name="Comma 4 2 2 3 5 4" xfId="20253" xr:uid="{38F1ECF2-3B65-4B62-919C-3C99A6B5C8D9}"/>
    <cellStyle name="Comma 4 2 2 3 5 5" xfId="28700" xr:uid="{6DD72A74-1E40-4305-9BFB-AE0A33421CBB}"/>
    <cellStyle name="Comma 4 2 2 3 5 6" xfId="37147" xr:uid="{1C62EE07-4F33-4D95-AFCA-0AC901174FE3}"/>
    <cellStyle name="Comma 4 2 2 3 5 7" xfId="10953" xr:uid="{E9D4B910-F740-49FE-A08F-805916A900B8}"/>
    <cellStyle name="Comma 4 2 2 3 6" xfId="1951" xr:uid="{00000000-0005-0000-0000-000021080000}"/>
    <cellStyle name="Comma 4 2 2 3 6 2" xfId="4180" xr:uid="{00000000-0005-0000-0000-000022080000}"/>
    <cellStyle name="Comma 4 2 2 3 6 2 2" xfId="8402" xr:uid="{00000000-0005-0000-0000-000023080000}"/>
    <cellStyle name="Comma 4 2 2 3 6 2 2 2" xfId="27028" xr:uid="{AD78ECB4-7C16-4B63-9F44-5DB8309CCA33}"/>
    <cellStyle name="Comma 4 2 2 3 6 2 2 3" xfId="35475" xr:uid="{6D170D80-F145-4DA6-91A4-D6E663A18E28}"/>
    <cellStyle name="Comma 4 2 2 3 6 2 2 4" xfId="43922" xr:uid="{A9A47CCC-7B9B-4022-96D5-77629A68C879}"/>
    <cellStyle name="Comma 4 2 2 3 6 2 2 5" xfId="17728" xr:uid="{8B5E3D98-7F0A-47AC-B494-B380BF2A189D}"/>
    <cellStyle name="Comma 4 2 2 3 6 2 3" xfId="22811" xr:uid="{8E72709C-4CF1-49D9-BF21-69C557C39585}"/>
    <cellStyle name="Comma 4 2 2 3 6 2 4" xfId="31258" xr:uid="{435F7F63-C47F-4B44-B824-56436E582B43}"/>
    <cellStyle name="Comma 4 2 2 3 6 2 5" xfId="39705" xr:uid="{5F4CE159-660E-4889-8491-E6B072F67178}"/>
    <cellStyle name="Comma 4 2 2 3 6 2 6" xfId="13511" xr:uid="{6DB11D75-4C54-40FF-8B3A-63E0987C86D2}"/>
    <cellStyle name="Comma 4 2 2 3 6 3" xfId="6257" xr:uid="{00000000-0005-0000-0000-000024080000}"/>
    <cellStyle name="Comma 4 2 2 3 6 3 2" xfId="24883" xr:uid="{2F4F0D50-1F5E-46C4-A1C3-6B7DD3F175CB}"/>
    <cellStyle name="Comma 4 2 2 3 6 3 3" xfId="33330" xr:uid="{F718E0E8-989F-4753-AFD1-4B45EC87BFF0}"/>
    <cellStyle name="Comma 4 2 2 3 6 3 4" xfId="41777" xr:uid="{CDD87180-A68B-477E-8CBE-4E6EDD3E2073}"/>
    <cellStyle name="Comma 4 2 2 3 6 3 5" xfId="15583" xr:uid="{5BAEECE2-EE79-4B2C-B2DA-77BE329346AF}"/>
    <cellStyle name="Comma 4 2 2 3 6 4" xfId="20666" xr:uid="{3B17CF3E-01A5-4682-B822-6116E5289CD4}"/>
    <cellStyle name="Comma 4 2 2 3 6 5" xfId="29113" xr:uid="{36BCFB9D-D157-4649-AAA8-7C13CA70F06A}"/>
    <cellStyle name="Comma 4 2 2 3 6 6" xfId="37560" xr:uid="{E2F050EE-4C7B-4128-BF36-5C84852949E2}"/>
    <cellStyle name="Comma 4 2 2 3 6 7" xfId="11366" xr:uid="{2C21790D-B6B8-4D3C-8BE4-F3E766D3DA71}"/>
    <cellStyle name="Comma 4 2 2 3 7" xfId="2386" xr:uid="{00000000-0005-0000-0000-000025080000}"/>
    <cellStyle name="Comma 4 2 2 3 7 2" xfId="6670" xr:uid="{00000000-0005-0000-0000-000026080000}"/>
    <cellStyle name="Comma 4 2 2 3 7 2 2" xfId="25296" xr:uid="{C2EA2451-01AC-4D7B-BCC3-77C06F5EB6B7}"/>
    <cellStyle name="Comma 4 2 2 3 7 2 3" xfId="33743" xr:uid="{B0BE2ACD-5D92-44EA-AFC4-114DAF240AF8}"/>
    <cellStyle name="Comma 4 2 2 3 7 2 4" xfId="42190" xr:uid="{C2712DE2-E585-4B37-9788-C0398D9D6EEA}"/>
    <cellStyle name="Comma 4 2 2 3 7 2 5" xfId="15996" xr:uid="{01976B9F-B087-4623-8B7E-293792C36E66}"/>
    <cellStyle name="Comma 4 2 2 3 7 3" xfId="21079" xr:uid="{515003BA-B8C8-46D1-B1FB-FF01775D40B3}"/>
    <cellStyle name="Comma 4 2 2 3 7 4" xfId="29526" xr:uid="{71A1EDCE-134A-4687-A5C0-2DD2DEAF2235}"/>
    <cellStyle name="Comma 4 2 2 3 7 5" xfId="37973" xr:uid="{73C69BF7-87E0-414C-B70E-53227D3FD158}"/>
    <cellStyle name="Comma 4 2 2 3 7 6" xfId="11779" xr:uid="{89D1A115-F6D9-4A9C-98E8-CD9663D1F2F9}"/>
    <cellStyle name="Comma 4 2 2 3 8" xfId="2377" xr:uid="{00000000-0005-0000-0000-000027080000}"/>
    <cellStyle name="Comma 4 2 2 3 9" xfId="2764" xr:uid="{00000000-0005-0000-0000-000028080000}"/>
    <cellStyle name="Comma 4 2 2 3 9 2" xfId="6987" xr:uid="{00000000-0005-0000-0000-000029080000}"/>
    <cellStyle name="Comma 4 2 2 3 9 2 2" xfId="25613" xr:uid="{028005BB-D6FB-433C-812C-54E2006CCDA4}"/>
    <cellStyle name="Comma 4 2 2 3 9 2 3" xfId="34060" xr:uid="{05A1A298-F77A-449C-83CA-E3F44C97B808}"/>
    <cellStyle name="Comma 4 2 2 3 9 2 4" xfId="42507" xr:uid="{CEB9534D-0640-4895-8026-8C070193AF68}"/>
    <cellStyle name="Comma 4 2 2 3 9 2 5" xfId="16313" xr:uid="{D80A008D-117F-4FA6-8EA0-3AF5EA15373A}"/>
    <cellStyle name="Comma 4 2 2 3 9 3" xfId="21396" xr:uid="{3D0A05B3-0E4B-469D-A355-BF4F12F60F7F}"/>
    <cellStyle name="Comma 4 2 2 3 9 4" xfId="29843" xr:uid="{C11DEB4F-C1AB-4239-B601-31D0D849788D}"/>
    <cellStyle name="Comma 4 2 2 3 9 5" xfId="38290" xr:uid="{99D598FC-1D9D-4D48-BFC4-FF144208FDD0}"/>
    <cellStyle name="Comma 4 2 2 3 9 6" xfId="12096" xr:uid="{E9435C43-2E84-439D-A0C8-93450E581413}"/>
    <cellStyle name="Comma 4 2 2 4" xfId="134" xr:uid="{00000000-0005-0000-0000-00002A080000}"/>
    <cellStyle name="Comma 4 2 2 4 10" xfId="8993" xr:uid="{2969CB69-37C4-4C43-BC9D-87F92556F829}"/>
    <cellStyle name="Comma 4 2 2 4 10 2" xfId="18317" xr:uid="{B975AAD5-6494-4C87-88F1-037052FBD9E4}"/>
    <cellStyle name="Comma 4 2 2 4 11" xfId="19015" xr:uid="{89938E23-56FF-416B-9619-3920D25FFBD3}"/>
    <cellStyle name="Comma 4 2 2 4 12" xfId="27462" xr:uid="{B490BDF9-C454-4AA7-97C7-B1E95C382955}"/>
    <cellStyle name="Comma 4 2 2 4 13" xfId="35909" xr:uid="{55B5F17E-382D-44BA-9C63-FD6472FBF509}"/>
    <cellStyle name="Comma 4 2 2 4 14" xfId="9715" xr:uid="{FCD99F6F-EE3A-4003-8DC5-D700132DD2AE}"/>
    <cellStyle name="Comma 4 2 2 4 2" xfId="672" xr:uid="{00000000-0005-0000-0000-00002B080000}"/>
    <cellStyle name="Comma 4 2 2 4 2 2" xfId="2943" xr:uid="{00000000-0005-0000-0000-00002C080000}"/>
    <cellStyle name="Comma 4 2 2 4 2 2 2" xfId="7165" xr:uid="{00000000-0005-0000-0000-00002D080000}"/>
    <cellStyle name="Comma 4 2 2 4 2 2 2 2" xfId="25791" xr:uid="{5CF467DA-2D7B-4156-98A4-AEEC53733C12}"/>
    <cellStyle name="Comma 4 2 2 4 2 2 2 3" xfId="34238" xr:uid="{F60C5671-899E-4631-9824-3F1767A0E5EE}"/>
    <cellStyle name="Comma 4 2 2 4 2 2 2 4" xfId="42685" xr:uid="{5BDAC5F0-2202-4A82-A721-97EA71FBDE4F}"/>
    <cellStyle name="Comma 4 2 2 4 2 2 2 5" xfId="16491" xr:uid="{1FFA5FAD-9269-41D6-BFFD-2F37D1D7D3A0}"/>
    <cellStyle name="Comma 4 2 2 4 2 2 3" xfId="21574" xr:uid="{DE263F75-4D05-4324-81B7-02ABFA3332AD}"/>
    <cellStyle name="Comma 4 2 2 4 2 2 4" xfId="30021" xr:uid="{0A73BCBC-E4D0-457F-B0D9-BA49F2BCB08F}"/>
    <cellStyle name="Comma 4 2 2 4 2 2 5" xfId="38468" xr:uid="{E45638BB-D8CE-4F2C-9ABC-8E2610D55770}"/>
    <cellStyle name="Comma 4 2 2 4 2 2 6" xfId="12274" xr:uid="{ED8C6E57-25E4-402E-B62B-FD274C7E96DA}"/>
    <cellStyle name="Comma 4 2 2 4 2 3" xfId="5020" xr:uid="{00000000-0005-0000-0000-00002E080000}"/>
    <cellStyle name="Comma 4 2 2 4 2 3 2" xfId="23646" xr:uid="{7C0726D1-FDF8-4DA8-B773-BBF2E72C60C4}"/>
    <cellStyle name="Comma 4 2 2 4 2 3 3" xfId="32093" xr:uid="{545A1585-1810-4F94-BAEF-DB3A8E3006E3}"/>
    <cellStyle name="Comma 4 2 2 4 2 3 4" xfId="40540" xr:uid="{5B6726AC-AF8D-4908-8406-709B5DDB2416}"/>
    <cellStyle name="Comma 4 2 2 4 2 3 5" xfId="14346" xr:uid="{F8DE26B5-91C4-4EC5-8273-1F852F0A2409}"/>
    <cellStyle name="Comma 4 2 2 4 2 4" xfId="9418" xr:uid="{F2EB07B7-2227-485D-9411-A8F75EC2F9DA}"/>
    <cellStyle name="Comma 4 2 2 4 2 4 2" xfId="18734" xr:uid="{68CEA308-0E1C-42C9-881F-15F86065339F}"/>
    <cellStyle name="Comma 4 2 2 4 2 5" xfId="19429" xr:uid="{904D45DB-7E16-4183-A679-61126A08445C}"/>
    <cellStyle name="Comma 4 2 2 4 2 6" xfId="27876" xr:uid="{C1123BA1-F39A-43A7-9D83-77BBEA7F5B35}"/>
    <cellStyle name="Comma 4 2 2 4 2 7" xfId="36323" xr:uid="{43BC47BB-BA3F-47F3-8906-B87E40DD9C94}"/>
    <cellStyle name="Comma 4 2 2 4 2 8" xfId="10129" xr:uid="{2D88E9EA-33C9-4229-922C-BFFBB58F5AD3}"/>
    <cellStyle name="Comma 4 2 2 4 3" xfId="1125" xr:uid="{00000000-0005-0000-0000-00002F080000}"/>
    <cellStyle name="Comma 4 2 2 4 3 2" xfId="3356" xr:uid="{00000000-0005-0000-0000-000030080000}"/>
    <cellStyle name="Comma 4 2 2 4 3 2 2" xfId="7578" xr:uid="{00000000-0005-0000-0000-000031080000}"/>
    <cellStyle name="Comma 4 2 2 4 3 2 2 2" xfId="26204" xr:uid="{39F3E663-0683-4242-835B-2D707C0E4E53}"/>
    <cellStyle name="Comma 4 2 2 4 3 2 2 3" xfId="34651" xr:uid="{5A0890DE-8526-4CB0-B6B2-E4D08CC0B343}"/>
    <cellStyle name="Comma 4 2 2 4 3 2 2 4" xfId="43098" xr:uid="{78C66B6E-3178-4EC6-8006-8B275E98B264}"/>
    <cellStyle name="Comma 4 2 2 4 3 2 2 5" xfId="16904" xr:uid="{290C5414-5CB6-4188-95D4-7667665208E1}"/>
    <cellStyle name="Comma 4 2 2 4 3 2 3" xfId="21987" xr:uid="{8FBC79CD-1A61-4437-B188-B2B100A96E04}"/>
    <cellStyle name="Comma 4 2 2 4 3 2 4" xfId="30434" xr:uid="{D9A68168-31D3-455F-8857-A6A4A3121EB2}"/>
    <cellStyle name="Comma 4 2 2 4 3 2 5" xfId="38881" xr:uid="{D671CD14-75DF-4097-A31F-45028A42ADFB}"/>
    <cellStyle name="Comma 4 2 2 4 3 2 6" xfId="12687" xr:uid="{59247520-3B61-486E-AF79-17511321A900}"/>
    <cellStyle name="Comma 4 2 2 4 3 3" xfId="5433" xr:uid="{00000000-0005-0000-0000-000032080000}"/>
    <cellStyle name="Comma 4 2 2 4 3 3 2" xfId="24059" xr:uid="{A19CDEE7-CA58-4D3D-B5CF-1667EF7F02C5}"/>
    <cellStyle name="Comma 4 2 2 4 3 3 3" xfId="32506" xr:uid="{91BABA70-B140-4C94-A781-63AD0513BCCC}"/>
    <cellStyle name="Comma 4 2 2 4 3 3 4" xfId="40953" xr:uid="{FFF96141-254F-4438-9668-B3F4BCA60FF1}"/>
    <cellStyle name="Comma 4 2 2 4 3 3 5" xfId="14759" xr:uid="{EFC5EB92-120D-4749-B92F-F49D5CF4B800}"/>
    <cellStyle name="Comma 4 2 2 4 3 4" xfId="19842" xr:uid="{4CAD2C1A-84EA-4939-9D93-F7DCCDAF27DD}"/>
    <cellStyle name="Comma 4 2 2 4 3 5" xfId="28289" xr:uid="{CFA58DE6-36DE-4044-A5C1-6DF6AB5E972E}"/>
    <cellStyle name="Comma 4 2 2 4 3 6" xfId="36736" xr:uid="{024E447B-BCDE-439E-A7FB-7DB6F4DF0697}"/>
    <cellStyle name="Comma 4 2 2 4 3 7" xfId="10542" xr:uid="{6AA70F2D-85B8-454C-9B71-475750BA47E3}"/>
    <cellStyle name="Comma 4 2 2 4 4" xfId="1539" xr:uid="{00000000-0005-0000-0000-000033080000}"/>
    <cellStyle name="Comma 4 2 2 4 4 2" xfId="3769" xr:uid="{00000000-0005-0000-0000-000034080000}"/>
    <cellStyle name="Comma 4 2 2 4 4 2 2" xfId="7991" xr:uid="{00000000-0005-0000-0000-000035080000}"/>
    <cellStyle name="Comma 4 2 2 4 4 2 2 2" xfId="26617" xr:uid="{06CD1D12-C270-46FB-8B74-6A649D4972E5}"/>
    <cellStyle name="Comma 4 2 2 4 4 2 2 3" xfId="35064" xr:uid="{A8EFCEF5-C8CA-4DB5-AC80-750B6F70C6FF}"/>
    <cellStyle name="Comma 4 2 2 4 4 2 2 4" xfId="43511" xr:uid="{11A49970-A5F3-412A-AC61-3E43B81C6D8A}"/>
    <cellStyle name="Comma 4 2 2 4 4 2 2 5" xfId="17317" xr:uid="{B7E76B01-8EA4-44C3-A6BD-74BBAE1CACE6}"/>
    <cellStyle name="Comma 4 2 2 4 4 2 3" xfId="22400" xr:uid="{8669E800-B5B2-4331-803D-A5E77628AE08}"/>
    <cellStyle name="Comma 4 2 2 4 4 2 4" xfId="30847" xr:uid="{ADD620C1-4F32-422B-B8EA-3FA43DF742AC}"/>
    <cellStyle name="Comma 4 2 2 4 4 2 5" xfId="39294" xr:uid="{A81951A6-83F4-4BF9-8DE9-AA83EEC93C02}"/>
    <cellStyle name="Comma 4 2 2 4 4 2 6" xfId="13100" xr:uid="{DB5C32EA-4453-4559-9222-7F85FB2050BC}"/>
    <cellStyle name="Comma 4 2 2 4 4 3" xfId="5846" xr:uid="{00000000-0005-0000-0000-000036080000}"/>
    <cellStyle name="Comma 4 2 2 4 4 3 2" xfId="24472" xr:uid="{86D79250-12C0-47BE-AB4F-97CB2DB507E7}"/>
    <cellStyle name="Comma 4 2 2 4 4 3 3" xfId="32919" xr:uid="{2255BAA4-C17B-4716-9BBE-841110A55F1D}"/>
    <cellStyle name="Comma 4 2 2 4 4 3 4" xfId="41366" xr:uid="{2D1B6117-A5DB-4304-92B6-F0D596F5E819}"/>
    <cellStyle name="Comma 4 2 2 4 4 3 5" xfId="15172" xr:uid="{1A44FC7D-F92B-4BC1-8F9F-CC148A9EE85E}"/>
    <cellStyle name="Comma 4 2 2 4 4 4" xfId="20255" xr:uid="{87A0F6FB-6039-402D-B6BF-7E7922A862F0}"/>
    <cellStyle name="Comma 4 2 2 4 4 5" xfId="28702" xr:uid="{FC9DD8CA-E271-4144-AA33-A064A2FE0C0F}"/>
    <cellStyle name="Comma 4 2 2 4 4 6" xfId="37149" xr:uid="{7FDBEE81-FB48-45F3-8270-8065FE162F75}"/>
    <cellStyle name="Comma 4 2 2 4 4 7" xfId="10955" xr:uid="{E55B22CD-B386-4B79-8C41-71E61E3979AD}"/>
    <cellStyle name="Comma 4 2 2 4 5" xfId="1953" xr:uid="{00000000-0005-0000-0000-000037080000}"/>
    <cellStyle name="Comma 4 2 2 4 5 2" xfId="4182" xr:uid="{00000000-0005-0000-0000-000038080000}"/>
    <cellStyle name="Comma 4 2 2 4 5 2 2" xfId="8404" xr:uid="{00000000-0005-0000-0000-000039080000}"/>
    <cellStyle name="Comma 4 2 2 4 5 2 2 2" xfId="27030" xr:uid="{58F49F2E-FA46-46FD-AAD6-F797B731410A}"/>
    <cellStyle name="Comma 4 2 2 4 5 2 2 3" xfId="35477" xr:uid="{D199112D-908C-4368-9B7A-F7A1936D0D08}"/>
    <cellStyle name="Comma 4 2 2 4 5 2 2 4" xfId="43924" xr:uid="{90256E09-3F41-4494-80AE-5970CA46A2F9}"/>
    <cellStyle name="Comma 4 2 2 4 5 2 2 5" xfId="17730" xr:uid="{FC0C4EE4-80AF-4FE9-B255-590BDE12E69B}"/>
    <cellStyle name="Comma 4 2 2 4 5 2 3" xfId="22813" xr:uid="{9B876242-C672-44AD-8AF7-126EF02DF912}"/>
    <cellStyle name="Comma 4 2 2 4 5 2 4" xfId="31260" xr:uid="{1A0D0AAD-76A6-4D5B-B92D-A50FD6B98EF4}"/>
    <cellStyle name="Comma 4 2 2 4 5 2 5" xfId="39707" xr:uid="{277F63BE-3530-44EC-B345-2B17B7C5B942}"/>
    <cellStyle name="Comma 4 2 2 4 5 2 6" xfId="13513" xr:uid="{A743D9BF-1B0A-4A4C-BF37-E0620CACD749}"/>
    <cellStyle name="Comma 4 2 2 4 5 3" xfId="6259" xr:uid="{00000000-0005-0000-0000-00003A080000}"/>
    <cellStyle name="Comma 4 2 2 4 5 3 2" xfId="24885" xr:uid="{12D10AA3-62F5-46C2-9714-167A651CC2ED}"/>
    <cellStyle name="Comma 4 2 2 4 5 3 3" xfId="33332" xr:uid="{BCCDFB03-A9DB-4B78-B320-A3317D274068}"/>
    <cellStyle name="Comma 4 2 2 4 5 3 4" xfId="41779" xr:uid="{01F70063-0563-42DE-A10F-199D0EFA31C2}"/>
    <cellStyle name="Comma 4 2 2 4 5 3 5" xfId="15585" xr:uid="{FC1DA267-F67D-4027-A309-02F389D5E3D9}"/>
    <cellStyle name="Comma 4 2 2 4 5 4" xfId="20668" xr:uid="{0D662486-F364-4716-8869-F553FCE82BF6}"/>
    <cellStyle name="Comma 4 2 2 4 5 5" xfId="29115" xr:uid="{FE481758-85B3-4655-923C-E71B8C16E038}"/>
    <cellStyle name="Comma 4 2 2 4 5 6" xfId="37562" xr:uid="{073DF89C-C69F-49D8-BE09-0C7FE57A55C9}"/>
    <cellStyle name="Comma 4 2 2 4 5 7" xfId="11368" xr:uid="{F9E0464E-DF28-47A2-9BA9-59095F383562}"/>
    <cellStyle name="Comma 4 2 2 4 6" xfId="2388" xr:uid="{00000000-0005-0000-0000-00003B080000}"/>
    <cellStyle name="Comma 4 2 2 4 6 2" xfId="6672" xr:uid="{00000000-0005-0000-0000-00003C080000}"/>
    <cellStyle name="Comma 4 2 2 4 6 2 2" xfId="25298" xr:uid="{BC8A6328-9F26-4540-9156-A22E6AC937C5}"/>
    <cellStyle name="Comma 4 2 2 4 6 2 3" xfId="33745" xr:uid="{8616EA9B-D308-4389-A39E-CCC80C506780}"/>
    <cellStyle name="Comma 4 2 2 4 6 2 4" xfId="42192" xr:uid="{7628A156-6D24-4466-9803-D8975CC89543}"/>
    <cellStyle name="Comma 4 2 2 4 6 2 5" xfId="15998" xr:uid="{9D3AE74C-6AFB-4707-AE72-A7F776C36306}"/>
    <cellStyle name="Comma 4 2 2 4 6 3" xfId="21081" xr:uid="{6E9A8215-9B88-44B1-ACA2-FA56E9996CA6}"/>
    <cellStyle name="Comma 4 2 2 4 6 4" xfId="29528" xr:uid="{83DCA7CA-9A82-4548-A4BD-82BD38C5B8BA}"/>
    <cellStyle name="Comma 4 2 2 4 6 5" xfId="37975" xr:uid="{2620FBA6-4569-4886-A1B0-58CFBE6EA007}"/>
    <cellStyle name="Comma 4 2 2 4 6 6" xfId="11781" xr:uid="{5C15C957-62B2-4557-BB1F-FB8F1AD5E77F}"/>
    <cellStyle name="Comma 4 2 2 4 7" xfId="2375" xr:uid="{00000000-0005-0000-0000-00003D080000}"/>
    <cellStyle name="Comma 4 2 2 4 8" xfId="2766" xr:uid="{00000000-0005-0000-0000-00003E080000}"/>
    <cellStyle name="Comma 4 2 2 4 8 2" xfId="6989" xr:uid="{00000000-0005-0000-0000-00003F080000}"/>
    <cellStyle name="Comma 4 2 2 4 8 2 2" xfId="25615" xr:uid="{5B2B26B2-9C1D-4116-9ADC-E96F3754CC46}"/>
    <cellStyle name="Comma 4 2 2 4 8 2 3" xfId="34062" xr:uid="{1D34B66E-6817-44B0-B7D8-4050D0D1C3EE}"/>
    <cellStyle name="Comma 4 2 2 4 8 2 4" xfId="42509" xr:uid="{F14A6357-A47D-4CE3-91B7-F78F7683249C}"/>
    <cellStyle name="Comma 4 2 2 4 8 2 5" xfId="16315" xr:uid="{821630EC-17F0-4B0F-93CC-938A1E4A4929}"/>
    <cellStyle name="Comma 4 2 2 4 8 3" xfId="21398" xr:uid="{9DDE95FD-D8E1-4C7D-A08E-A53C4101CE2F}"/>
    <cellStyle name="Comma 4 2 2 4 8 4" xfId="29845" xr:uid="{082B6BD4-EBE6-42B2-9B98-BB2CE43C94AB}"/>
    <cellStyle name="Comma 4 2 2 4 8 5" xfId="38292" xr:uid="{22A9D4AE-17D6-4A52-B108-95D32470D95E}"/>
    <cellStyle name="Comma 4 2 2 4 8 6" xfId="12098" xr:uid="{9C13C8CA-C9BC-418D-AA50-0AA795192AAB}"/>
    <cellStyle name="Comma 4 2 2 4 9" xfId="4606" xr:uid="{00000000-0005-0000-0000-000040080000}"/>
    <cellStyle name="Comma 4 2 2 4 9 2" xfId="23232" xr:uid="{4F231094-7D9E-47DD-8A9F-D3B380A7DD41}"/>
    <cellStyle name="Comma 4 2 2 4 9 3" xfId="31679" xr:uid="{B1EF20CE-C50C-4E91-A38D-449D52C30C00}"/>
    <cellStyle name="Comma 4 2 2 4 9 4" xfId="40126" xr:uid="{99C4296F-D44F-44B5-B0CB-B64E49BF8D9C}"/>
    <cellStyle name="Comma 4 2 2 4 9 5" xfId="13932" xr:uid="{629C2300-C9D7-4662-A152-6E821E47DE9C}"/>
    <cellStyle name="Comma 4 2 2 5" xfId="135" xr:uid="{00000000-0005-0000-0000-000041080000}"/>
    <cellStyle name="Comma 4 2 2 5 10" xfId="9210" xr:uid="{C1F9418B-EF96-4063-883D-A983E131C6A4}"/>
    <cellStyle name="Comma 4 2 2 5 10 2" xfId="18527" xr:uid="{2ED6E4A4-4D3D-4A87-855C-F99ACCB2C528}"/>
    <cellStyle name="Comma 4 2 2 5 11" xfId="19016" xr:uid="{7CD347EC-E165-4F72-9908-D0B82AB3C909}"/>
    <cellStyle name="Comma 4 2 2 5 12" xfId="27463" xr:uid="{7CAFE3D9-2833-43D5-80EB-3CBC05F5D885}"/>
    <cellStyle name="Comma 4 2 2 5 13" xfId="35910" xr:uid="{C75F2F42-663D-4FF3-A5A6-4113C92FDBEE}"/>
    <cellStyle name="Comma 4 2 2 5 14" xfId="9716" xr:uid="{B29DC970-76C6-4EAE-A2A9-E4663A78809A}"/>
    <cellStyle name="Comma 4 2 2 5 2" xfId="673" xr:uid="{00000000-0005-0000-0000-000042080000}"/>
    <cellStyle name="Comma 4 2 2 5 2 2" xfId="2944" xr:uid="{00000000-0005-0000-0000-000043080000}"/>
    <cellStyle name="Comma 4 2 2 5 2 2 2" xfId="7166" xr:uid="{00000000-0005-0000-0000-000044080000}"/>
    <cellStyle name="Comma 4 2 2 5 2 2 2 2" xfId="25792" xr:uid="{01D9306C-6867-4D91-A8CD-A3916A853B39}"/>
    <cellStyle name="Comma 4 2 2 5 2 2 2 3" xfId="34239" xr:uid="{A3F290B4-28CE-4195-A810-5676EBD942EF}"/>
    <cellStyle name="Comma 4 2 2 5 2 2 2 4" xfId="42686" xr:uid="{A04C0986-6499-4525-975A-7BEF87C126FA}"/>
    <cellStyle name="Comma 4 2 2 5 2 2 2 5" xfId="16492" xr:uid="{34EB59A8-2E76-4091-8F6C-9AD94DA7FBBA}"/>
    <cellStyle name="Comma 4 2 2 5 2 2 3" xfId="21575" xr:uid="{6EFD6C1C-5C58-4682-B524-D7E996A98F73}"/>
    <cellStyle name="Comma 4 2 2 5 2 2 4" xfId="30022" xr:uid="{7DE62733-05BB-4A44-A616-12CD33A0BFE3}"/>
    <cellStyle name="Comma 4 2 2 5 2 2 5" xfId="38469" xr:uid="{26175D7E-9CF3-427B-8792-9BBF182B09F8}"/>
    <cellStyle name="Comma 4 2 2 5 2 2 6" xfId="12275" xr:uid="{75698C33-F1B4-4852-AABF-854A8DC47AE2}"/>
    <cellStyle name="Comma 4 2 2 5 2 3" xfId="5021" xr:uid="{00000000-0005-0000-0000-000045080000}"/>
    <cellStyle name="Comma 4 2 2 5 2 3 2" xfId="23647" xr:uid="{056F2750-861D-4078-8569-139CC77CFD9A}"/>
    <cellStyle name="Comma 4 2 2 5 2 3 3" xfId="32094" xr:uid="{F5A5F09F-C827-4CCE-9879-D108A762FA39}"/>
    <cellStyle name="Comma 4 2 2 5 2 3 4" xfId="40541" xr:uid="{F4E64697-C6A2-4BA7-9DB5-6F4DB9D7EAA1}"/>
    <cellStyle name="Comma 4 2 2 5 2 3 5" xfId="14347" xr:uid="{22941A7B-D222-4CE8-81A5-536F37F6EB0E}"/>
    <cellStyle name="Comma 4 2 2 5 2 4" xfId="9593" xr:uid="{3B41C66E-2108-4CBE-9776-211459781E55}"/>
    <cellStyle name="Comma 4 2 2 5 2 4 2" xfId="18898" xr:uid="{82DE7851-8486-420F-93AC-2F6A5D465571}"/>
    <cellStyle name="Comma 4 2 2 5 2 5" xfId="19430" xr:uid="{25679E1E-317F-4B9F-BF2F-A411CDE500E2}"/>
    <cellStyle name="Comma 4 2 2 5 2 6" xfId="27877" xr:uid="{C6E91CFC-853A-420A-9A31-511EED78D99F}"/>
    <cellStyle name="Comma 4 2 2 5 2 7" xfId="36324" xr:uid="{0F2162BF-165D-4923-A0E6-68C49DA116AF}"/>
    <cellStyle name="Comma 4 2 2 5 2 8" xfId="10130" xr:uid="{3AC416B0-0BBD-40CF-AFD2-040379ECC6AC}"/>
    <cellStyle name="Comma 4 2 2 5 3" xfId="1126" xr:uid="{00000000-0005-0000-0000-000046080000}"/>
    <cellStyle name="Comma 4 2 2 5 3 2" xfId="3357" xr:uid="{00000000-0005-0000-0000-000047080000}"/>
    <cellStyle name="Comma 4 2 2 5 3 2 2" xfId="7579" xr:uid="{00000000-0005-0000-0000-000048080000}"/>
    <cellStyle name="Comma 4 2 2 5 3 2 2 2" xfId="26205" xr:uid="{882D2ACD-4EA6-483D-9788-51E3E7D45F2A}"/>
    <cellStyle name="Comma 4 2 2 5 3 2 2 3" xfId="34652" xr:uid="{0F9549E8-ACB2-4804-980F-7FA666625F95}"/>
    <cellStyle name="Comma 4 2 2 5 3 2 2 4" xfId="43099" xr:uid="{ED640AD3-DD6A-49E8-AA55-710CD0B0FA52}"/>
    <cellStyle name="Comma 4 2 2 5 3 2 2 5" xfId="16905" xr:uid="{45F5395E-1C0B-4AD0-88CB-A723E23238CB}"/>
    <cellStyle name="Comma 4 2 2 5 3 2 3" xfId="21988" xr:uid="{6C2F898A-EF31-49F7-B102-B860A3696EEA}"/>
    <cellStyle name="Comma 4 2 2 5 3 2 4" xfId="30435" xr:uid="{054F6396-CB4B-43C6-B3B3-1B4C1AFB0858}"/>
    <cellStyle name="Comma 4 2 2 5 3 2 5" xfId="38882" xr:uid="{24156564-7E28-46EB-B3BE-ABBFC22257D5}"/>
    <cellStyle name="Comma 4 2 2 5 3 2 6" xfId="12688" xr:uid="{75F88815-8731-4448-893E-E335F01470C4}"/>
    <cellStyle name="Comma 4 2 2 5 3 3" xfId="5434" xr:uid="{00000000-0005-0000-0000-000049080000}"/>
    <cellStyle name="Comma 4 2 2 5 3 3 2" xfId="24060" xr:uid="{C9F0FA07-5FCB-4AEF-8069-0A86BBE63DAC}"/>
    <cellStyle name="Comma 4 2 2 5 3 3 3" xfId="32507" xr:uid="{909F0D04-A0BE-494B-8E7C-BAFA562AC1A2}"/>
    <cellStyle name="Comma 4 2 2 5 3 3 4" xfId="40954" xr:uid="{12AE5110-6C7B-468B-B3DA-F3B3CE2BEF8D}"/>
    <cellStyle name="Comma 4 2 2 5 3 3 5" xfId="14760" xr:uid="{B9DA5F3E-295D-489D-93FC-D76BC148CB9C}"/>
    <cellStyle name="Comma 4 2 2 5 3 4" xfId="19843" xr:uid="{28CD23C8-F10E-43F5-B3D4-F938808822BD}"/>
    <cellStyle name="Comma 4 2 2 5 3 5" xfId="28290" xr:uid="{68D2FF9B-D807-4C8F-80F0-5F174A214806}"/>
    <cellStyle name="Comma 4 2 2 5 3 6" xfId="36737" xr:uid="{1B3F8742-A3AF-45FD-968F-0577A86FCA4A}"/>
    <cellStyle name="Comma 4 2 2 5 3 7" xfId="10543" xr:uid="{7938CA49-2F78-4256-A0FD-2DC6E1BA8FB0}"/>
    <cellStyle name="Comma 4 2 2 5 4" xfId="1540" xr:uid="{00000000-0005-0000-0000-00004A080000}"/>
    <cellStyle name="Comma 4 2 2 5 4 2" xfId="3770" xr:uid="{00000000-0005-0000-0000-00004B080000}"/>
    <cellStyle name="Comma 4 2 2 5 4 2 2" xfId="7992" xr:uid="{00000000-0005-0000-0000-00004C080000}"/>
    <cellStyle name="Comma 4 2 2 5 4 2 2 2" xfId="26618" xr:uid="{3DD108F1-9ADD-4AB5-9C16-A14939E4B343}"/>
    <cellStyle name="Comma 4 2 2 5 4 2 2 3" xfId="35065" xr:uid="{A1895F78-17B1-434B-8404-BF0EED7C1F8C}"/>
    <cellStyle name="Comma 4 2 2 5 4 2 2 4" xfId="43512" xr:uid="{522AF5A7-9AEB-4D1B-A18D-1254DCCDAF12}"/>
    <cellStyle name="Comma 4 2 2 5 4 2 2 5" xfId="17318" xr:uid="{20C8B251-CC17-48FD-952D-DDD88DF0A1C2}"/>
    <cellStyle name="Comma 4 2 2 5 4 2 3" xfId="22401" xr:uid="{3EAFDD48-A1D0-432B-B8E5-A7DC762510BC}"/>
    <cellStyle name="Comma 4 2 2 5 4 2 4" xfId="30848" xr:uid="{8BDE6150-5C96-4D71-B362-716E3F06936F}"/>
    <cellStyle name="Comma 4 2 2 5 4 2 5" xfId="39295" xr:uid="{B37570FD-9115-4F94-9F45-EF3843E05BD7}"/>
    <cellStyle name="Comma 4 2 2 5 4 2 6" xfId="13101" xr:uid="{74168BBD-A644-41DF-958A-A93B2D7BE9E3}"/>
    <cellStyle name="Comma 4 2 2 5 4 3" xfId="5847" xr:uid="{00000000-0005-0000-0000-00004D080000}"/>
    <cellStyle name="Comma 4 2 2 5 4 3 2" xfId="24473" xr:uid="{519D94DE-210A-450A-BD9A-51E7F837CD13}"/>
    <cellStyle name="Comma 4 2 2 5 4 3 3" xfId="32920" xr:uid="{17F8FD51-ABCC-4862-87EF-43BA279CD346}"/>
    <cellStyle name="Comma 4 2 2 5 4 3 4" xfId="41367" xr:uid="{6C812353-D6A4-4757-8F29-2E0A60156744}"/>
    <cellStyle name="Comma 4 2 2 5 4 3 5" xfId="15173" xr:uid="{EB27257B-3B75-4561-9E9C-6A501DC974A7}"/>
    <cellStyle name="Comma 4 2 2 5 4 4" xfId="20256" xr:uid="{FB847F0A-89E2-4FAE-A3BC-D71565AED166}"/>
    <cellStyle name="Comma 4 2 2 5 4 5" xfId="28703" xr:uid="{0D9BE837-7AE8-45C6-8143-E4E796F51EC2}"/>
    <cellStyle name="Comma 4 2 2 5 4 6" xfId="37150" xr:uid="{4B66637D-8F3B-4ADF-B380-3C76D5568C7C}"/>
    <cellStyle name="Comma 4 2 2 5 4 7" xfId="10956" xr:uid="{64C5C607-57F4-46E7-A3DD-2B9DC020D5C9}"/>
    <cellStyle name="Comma 4 2 2 5 5" xfId="1954" xr:uid="{00000000-0005-0000-0000-00004E080000}"/>
    <cellStyle name="Comma 4 2 2 5 5 2" xfId="4183" xr:uid="{00000000-0005-0000-0000-00004F080000}"/>
    <cellStyle name="Comma 4 2 2 5 5 2 2" xfId="8405" xr:uid="{00000000-0005-0000-0000-000050080000}"/>
    <cellStyle name="Comma 4 2 2 5 5 2 2 2" xfId="27031" xr:uid="{BD9B20B4-F7A9-487F-A797-16D7D195C023}"/>
    <cellStyle name="Comma 4 2 2 5 5 2 2 3" xfId="35478" xr:uid="{2249F1BD-6E3E-4B2E-BFE9-6AC1F1D614D0}"/>
    <cellStyle name="Comma 4 2 2 5 5 2 2 4" xfId="43925" xr:uid="{7168B97C-4B92-4010-AB3B-8D4C3C48C58D}"/>
    <cellStyle name="Comma 4 2 2 5 5 2 2 5" xfId="17731" xr:uid="{9005ACBA-6220-46C5-BE45-DB2C44ED1350}"/>
    <cellStyle name="Comma 4 2 2 5 5 2 3" xfId="22814" xr:uid="{371C18A4-5B1B-418C-B097-273684EBB55B}"/>
    <cellStyle name="Comma 4 2 2 5 5 2 4" xfId="31261" xr:uid="{0F44DEB8-B3FA-4F1F-84A8-4017B650E099}"/>
    <cellStyle name="Comma 4 2 2 5 5 2 5" xfId="39708" xr:uid="{AFD00086-9018-4AC9-8EEC-2B25789D85EA}"/>
    <cellStyle name="Comma 4 2 2 5 5 2 6" xfId="13514" xr:uid="{51A99272-AC20-4BEE-8699-9BF314097644}"/>
    <cellStyle name="Comma 4 2 2 5 5 3" xfId="6260" xr:uid="{00000000-0005-0000-0000-000051080000}"/>
    <cellStyle name="Comma 4 2 2 5 5 3 2" xfId="24886" xr:uid="{A0B1D66A-5985-4222-9AD6-60AF98C1CB0F}"/>
    <cellStyle name="Comma 4 2 2 5 5 3 3" xfId="33333" xr:uid="{38BFA581-4AE2-40B1-A920-29BE0FF79BFB}"/>
    <cellStyle name="Comma 4 2 2 5 5 3 4" xfId="41780" xr:uid="{3F9CF6BA-A010-4EF6-8B6E-097D1E3938A6}"/>
    <cellStyle name="Comma 4 2 2 5 5 3 5" xfId="15586" xr:uid="{05D831A1-1B23-4D34-8FAB-CE9785DE7B70}"/>
    <cellStyle name="Comma 4 2 2 5 5 4" xfId="20669" xr:uid="{5C45157D-4407-498C-ACFC-F98871CE409D}"/>
    <cellStyle name="Comma 4 2 2 5 5 5" xfId="29116" xr:uid="{5403E9A7-6386-40DB-B3EB-1A8B5A2FC29B}"/>
    <cellStyle name="Comma 4 2 2 5 5 6" xfId="37563" xr:uid="{CDFF0887-9BFF-43E4-8412-C4EB92C13D8D}"/>
    <cellStyle name="Comma 4 2 2 5 5 7" xfId="11369" xr:uid="{2ECC92E4-B74C-4A4C-B4CD-EE439BF29292}"/>
    <cellStyle name="Comma 4 2 2 5 6" xfId="2389" xr:uid="{00000000-0005-0000-0000-000052080000}"/>
    <cellStyle name="Comma 4 2 2 5 6 2" xfId="6673" xr:uid="{00000000-0005-0000-0000-000053080000}"/>
    <cellStyle name="Comma 4 2 2 5 6 2 2" xfId="25299" xr:uid="{674D9390-085B-4F6C-B7D7-F39B9EFC9168}"/>
    <cellStyle name="Comma 4 2 2 5 6 2 3" xfId="33746" xr:uid="{DF7D3B19-FC52-4790-A727-0F8D0050B8E5}"/>
    <cellStyle name="Comma 4 2 2 5 6 2 4" xfId="42193" xr:uid="{743E0601-B842-411B-A9A8-F7C135C1A728}"/>
    <cellStyle name="Comma 4 2 2 5 6 2 5" xfId="15999" xr:uid="{1FBFFC44-593F-4A52-82F5-BC34254EA95F}"/>
    <cellStyle name="Comma 4 2 2 5 6 3" xfId="21082" xr:uid="{14CD685E-0B6D-4482-8E57-19068B2A7858}"/>
    <cellStyle name="Comma 4 2 2 5 6 4" xfId="29529" xr:uid="{19E72BA4-63A2-4BBD-AB94-3CB32B10CB42}"/>
    <cellStyle name="Comma 4 2 2 5 6 5" xfId="37976" xr:uid="{3F9DAECC-DDAF-4E6E-B10B-53D8910FDDD7}"/>
    <cellStyle name="Comma 4 2 2 5 6 6" xfId="11782" xr:uid="{12C7EAA8-8C26-4A56-8BCA-AC013AF39C73}"/>
    <cellStyle name="Comma 4 2 2 5 7" xfId="2374" xr:uid="{00000000-0005-0000-0000-000054080000}"/>
    <cellStyle name="Comma 4 2 2 5 8" xfId="2767" xr:uid="{00000000-0005-0000-0000-000055080000}"/>
    <cellStyle name="Comma 4 2 2 5 8 2" xfId="6990" xr:uid="{00000000-0005-0000-0000-000056080000}"/>
    <cellStyle name="Comma 4 2 2 5 8 2 2" xfId="25616" xr:uid="{8F1D5EEF-EABB-4D65-A11D-F869647A1AA5}"/>
    <cellStyle name="Comma 4 2 2 5 8 2 3" xfId="34063" xr:uid="{DA8B8C55-E4BC-46FB-A9F3-E7C6147AFBEC}"/>
    <cellStyle name="Comma 4 2 2 5 8 2 4" xfId="42510" xr:uid="{6887A495-B117-4133-A167-CD1B14826F99}"/>
    <cellStyle name="Comma 4 2 2 5 8 2 5" xfId="16316" xr:uid="{AC378D01-7348-4BD7-97E9-D7A533683F9F}"/>
    <cellStyle name="Comma 4 2 2 5 8 3" xfId="21399" xr:uid="{63527C1A-B265-448E-B13D-9F7080410FF1}"/>
    <cellStyle name="Comma 4 2 2 5 8 4" xfId="29846" xr:uid="{AB258911-1871-45D9-9527-ACAEEDBF2AAD}"/>
    <cellStyle name="Comma 4 2 2 5 8 5" xfId="38293" xr:uid="{2F840427-4464-48B9-932F-F06F0BD0635E}"/>
    <cellStyle name="Comma 4 2 2 5 8 6" xfId="12099" xr:uid="{B0252432-8992-4B62-9CCF-5DF00B9F4BBA}"/>
    <cellStyle name="Comma 4 2 2 5 9" xfId="4607" xr:uid="{00000000-0005-0000-0000-000057080000}"/>
    <cellStyle name="Comma 4 2 2 5 9 2" xfId="23233" xr:uid="{6FD42ECC-7A3E-42B4-B5C3-DAA41A25AF27}"/>
    <cellStyle name="Comma 4 2 2 5 9 3" xfId="31680" xr:uid="{84D2FEE8-30E6-413D-9D22-776D94225E74}"/>
    <cellStyle name="Comma 4 2 2 5 9 4" xfId="40127" xr:uid="{552980B3-14A3-4604-85F8-2F16A58325A6}"/>
    <cellStyle name="Comma 4 2 2 5 9 5" xfId="13933" xr:uid="{721D95F2-821C-4EEC-B594-C920675ED169}"/>
    <cellStyle name="Comma 4 2 2 6" xfId="9228" xr:uid="{49D8FCED-23A7-48B2-8D10-F90787B2F62D}"/>
    <cellStyle name="Comma 4 2 2 7" xfId="8786" xr:uid="{8FDBE9F4-5F27-4B1B-A262-D62BF874EF16}"/>
    <cellStyle name="Comma 4 2 2 7 2" xfId="18110" xr:uid="{6B2FB67A-BE2A-42DE-987C-B78566923105}"/>
    <cellStyle name="Comma 4 2 3" xfId="136" xr:uid="{00000000-0005-0000-0000-000058080000}"/>
    <cellStyle name="Comma 4 2 3 10" xfId="2768" xr:uid="{00000000-0005-0000-0000-000059080000}"/>
    <cellStyle name="Comma 4 2 3 10 2" xfId="6991" xr:uid="{00000000-0005-0000-0000-00005A080000}"/>
    <cellStyle name="Comma 4 2 3 10 2 2" xfId="25617" xr:uid="{01CF0DA1-C64D-4DA8-9622-C10EB5F00148}"/>
    <cellStyle name="Comma 4 2 3 10 2 3" xfId="34064" xr:uid="{4FD2C6F1-B14D-447F-8569-A077A0628B6C}"/>
    <cellStyle name="Comma 4 2 3 10 2 4" xfId="42511" xr:uid="{B7AEDD5D-C254-4A51-820F-77493FBAB597}"/>
    <cellStyle name="Comma 4 2 3 10 2 5" xfId="16317" xr:uid="{969A43EB-8963-45C4-B58D-F67D249EBB0C}"/>
    <cellStyle name="Comma 4 2 3 10 3" xfId="21400" xr:uid="{7E43671F-7E83-468B-B501-F7C0568176B1}"/>
    <cellStyle name="Comma 4 2 3 10 4" xfId="29847" xr:uid="{B7D6DCB5-201B-4FF9-9F6D-B2A066AF3DE9}"/>
    <cellStyle name="Comma 4 2 3 10 5" xfId="38294" xr:uid="{FB5189E6-0BCF-4A6B-927D-D809C3AE9CC0}"/>
    <cellStyle name="Comma 4 2 3 10 6" xfId="12100" xr:uid="{ED2656FB-0843-4BA0-BB9F-F0DEE71684D4}"/>
    <cellStyle name="Comma 4 2 3 11" xfId="4608" xr:uid="{00000000-0005-0000-0000-00005B080000}"/>
    <cellStyle name="Comma 4 2 3 11 2" xfId="23234" xr:uid="{11B590AE-9B9C-463D-BC21-E15BBB9A991A}"/>
    <cellStyle name="Comma 4 2 3 11 3" xfId="31681" xr:uid="{62B2D2F6-1565-4033-8B9B-CEEA80AA3F45}"/>
    <cellStyle name="Comma 4 2 3 11 4" xfId="40128" xr:uid="{0B674C16-5127-4CA5-BC9F-7AC6D95292E9}"/>
    <cellStyle name="Comma 4 2 3 11 5" xfId="13934" xr:uid="{5EB6E52D-6E60-45B4-98FD-21B5A4C264DF}"/>
    <cellStyle name="Comma 4 2 3 12" xfId="8805" xr:uid="{C45527F6-07B7-4887-BAF3-A6424444BA3B}"/>
    <cellStyle name="Comma 4 2 3 12 2" xfId="18129" xr:uid="{CAFAD434-3C65-45F4-BD08-AE1D1C8DD7D8}"/>
    <cellStyle name="Comma 4 2 3 13" xfId="19017" xr:uid="{BECD1987-2EB6-476C-84B3-E18776284381}"/>
    <cellStyle name="Comma 4 2 3 14" xfId="27464" xr:uid="{728A73B2-27AA-4758-A229-E9BD9D5BDE42}"/>
    <cellStyle name="Comma 4 2 3 15" xfId="35911" xr:uid="{20C7F2DD-7ADF-4BC4-B240-38CCDB91F43E}"/>
    <cellStyle name="Comma 4 2 3 16" xfId="9717" xr:uid="{16C3DCB5-0087-460D-9C8D-B3CB15275D1F}"/>
    <cellStyle name="Comma 4 2 3 2" xfId="137" xr:uid="{00000000-0005-0000-0000-00005C080000}"/>
    <cellStyle name="Comma 4 2 3 2 10" xfId="4609" xr:uid="{00000000-0005-0000-0000-00005D080000}"/>
    <cellStyle name="Comma 4 2 3 2 10 2" xfId="23235" xr:uid="{BDB42559-8F54-4E49-A364-1570EC145187}"/>
    <cellStyle name="Comma 4 2 3 2 10 3" xfId="31682" xr:uid="{FDBC30B0-A095-45A0-92FE-2CDCC921A9B5}"/>
    <cellStyle name="Comma 4 2 3 2 10 4" xfId="40129" xr:uid="{DF55A6C0-E1A2-4751-9982-04996BFD7FF1}"/>
    <cellStyle name="Comma 4 2 3 2 10 5" xfId="13935" xr:uid="{651EB60E-07C8-4826-9F13-FD4A3C6D6904}"/>
    <cellStyle name="Comma 4 2 3 2 11" xfId="8908" xr:uid="{E7021C11-E6EB-4392-A0AD-2A78F42B4BB7}"/>
    <cellStyle name="Comma 4 2 3 2 11 2" xfId="18232" xr:uid="{C1E2990E-857D-4CFB-BD4A-1113E1539034}"/>
    <cellStyle name="Comma 4 2 3 2 12" xfId="19018" xr:uid="{B618D17C-0B48-47F5-9D92-766B903DCD5D}"/>
    <cellStyle name="Comma 4 2 3 2 13" xfId="27465" xr:uid="{F7803E78-D844-46BD-8561-91CA53028BD3}"/>
    <cellStyle name="Comma 4 2 3 2 14" xfId="35912" xr:uid="{DEEDD261-89AA-46C6-9FE4-D58CAC5A5C38}"/>
    <cellStyle name="Comma 4 2 3 2 15" xfId="9718" xr:uid="{659D299D-CBCC-447C-BBE2-A0034C20B076}"/>
    <cellStyle name="Comma 4 2 3 2 2" xfId="138" xr:uid="{00000000-0005-0000-0000-00005E080000}"/>
    <cellStyle name="Comma 4 2 3 2 2 10" xfId="9115" xr:uid="{1A31CCC4-B2C0-4E0C-B714-855521500FE8}"/>
    <cellStyle name="Comma 4 2 3 2 2 10 2" xfId="18439" xr:uid="{4A1E0294-BAF6-47E7-AEB6-093EACC660F1}"/>
    <cellStyle name="Comma 4 2 3 2 2 11" xfId="19019" xr:uid="{FA28DB5B-519C-4817-97CA-408D44FE5024}"/>
    <cellStyle name="Comma 4 2 3 2 2 12" xfId="27466" xr:uid="{AC7997C8-199F-4661-8009-2D9B8BBA7482}"/>
    <cellStyle name="Comma 4 2 3 2 2 13" xfId="35913" xr:uid="{79E78BFE-C5D5-448E-AA97-F785B7405CA9}"/>
    <cellStyle name="Comma 4 2 3 2 2 14" xfId="9719" xr:uid="{18225FB0-2EB3-41F0-A425-EAE536688FD5}"/>
    <cellStyle name="Comma 4 2 3 2 2 2" xfId="676" xr:uid="{00000000-0005-0000-0000-00005F080000}"/>
    <cellStyle name="Comma 4 2 3 2 2 2 2" xfId="2947" xr:uid="{00000000-0005-0000-0000-000060080000}"/>
    <cellStyle name="Comma 4 2 3 2 2 2 2 2" xfId="7169" xr:uid="{00000000-0005-0000-0000-000061080000}"/>
    <cellStyle name="Comma 4 2 3 2 2 2 2 2 2" xfId="25795" xr:uid="{6CC0C7F4-2DD6-4958-9BAA-491F732A683F}"/>
    <cellStyle name="Comma 4 2 3 2 2 2 2 2 3" xfId="34242" xr:uid="{AF91A36C-5E11-4C7E-B247-9F4A3FAB08B2}"/>
    <cellStyle name="Comma 4 2 3 2 2 2 2 2 4" xfId="42689" xr:uid="{6D130B95-0F15-45ED-9158-0D518C66935B}"/>
    <cellStyle name="Comma 4 2 3 2 2 2 2 2 5" xfId="16495" xr:uid="{16460F5E-4E86-4607-ADF8-A5551A35FCED}"/>
    <cellStyle name="Comma 4 2 3 2 2 2 2 3" xfId="21578" xr:uid="{1E32CF79-2AFD-4B00-901B-431BB2910E80}"/>
    <cellStyle name="Comma 4 2 3 2 2 2 2 4" xfId="30025" xr:uid="{1BE0079D-AE81-405C-9A6F-A3686542511D}"/>
    <cellStyle name="Comma 4 2 3 2 2 2 2 5" xfId="38472" xr:uid="{51194A35-D16F-47A1-8123-6663181E4554}"/>
    <cellStyle name="Comma 4 2 3 2 2 2 2 6" xfId="12278" xr:uid="{15BF79D0-2D8A-4581-ABBF-D85E76A39DD3}"/>
    <cellStyle name="Comma 4 2 3 2 2 2 3" xfId="5024" xr:uid="{00000000-0005-0000-0000-000062080000}"/>
    <cellStyle name="Comma 4 2 3 2 2 2 3 2" xfId="23650" xr:uid="{D19160AB-CD68-4980-BD85-41D0566B03B6}"/>
    <cellStyle name="Comma 4 2 3 2 2 2 3 3" xfId="32097" xr:uid="{3533135D-36A6-4E83-A95C-50023DF10EA3}"/>
    <cellStyle name="Comma 4 2 3 2 2 2 3 4" xfId="40544" xr:uid="{4F73DCCE-5BBC-40FB-9517-E8500CE629FF}"/>
    <cellStyle name="Comma 4 2 3 2 2 2 3 5" xfId="14350" xr:uid="{8E5A5DC0-E36E-43B7-B699-57A3FF82F392}"/>
    <cellStyle name="Comma 4 2 3 2 2 2 4" xfId="9540" xr:uid="{F922DD27-FEAE-4DB6-894F-26CD58815668}"/>
    <cellStyle name="Comma 4 2 3 2 2 2 4 2" xfId="18856" xr:uid="{F8F596CE-CDF5-4AAF-AB46-BECD45E7D43D}"/>
    <cellStyle name="Comma 4 2 3 2 2 2 5" xfId="19433" xr:uid="{E2847D74-9855-42AC-B8A4-8BEFD869E26D}"/>
    <cellStyle name="Comma 4 2 3 2 2 2 6" xfId="27880" xr:uid="{0A02CE8D-FBA4-4A89-8E23-FCE384A8AF50}"/>
    <cellStyle name="Comma 4 2 3 2 2 2 7" xfId="36327" xr:uid="{0799B607-05B0-4D31-B503-214253666917}"/>
    <cellStyle name="Comma 4 2 3 2 2 2 8" xfId="10133" xr:uid="{513E6EAB-BCFE-43C2-9CF3-D101FED4F178}"/>
    <cellStyle name="Comma 4 2 3 2 2 3" xfId="1129" xr:uid="{00000000-0005-0000-0000-000063080000}"/>
    <cellStyle name="Comma 4 2 3 2 2 3 2" xfId="3360" xr:uid="{00000000-0005-0000-0000-000064080000}"/>
    <cellStyle name="Comma 4 2 3 2 2 3 2 2" xfId="7582" xr:uid="{00000000-0005-0000-0000-000065080000}"/>
    <cellStyle name="Comma 4 2 3 2 2 3 2 2 2" xfId="26208" xr:uid="{86513D44-46FF-479E-A3AF-56C11FDF7465}"/>
    <cellStyle name="Comma 4 2 3 2 2 3 2 2 3" xfId="34655" xr:uid="{0B21909B-5BE2-4030-A171-68A1E79A515B}"/>
    <cellStyle name="Comma 4 2 3 2 2 3 2 2 4" xfId="43102" xr:uid="{248CC3A6-1BE2-4542-866E-157BB8A89DE6}"/>
    <cellStyle name="Comma 4 2 3 2 2 3 2 2 5" xfId="16908" xr:uid="{7342C952-BF5B-457B-9242-FD34816CAE27}"/>
    <cellStyle name="Comma 4 2 3 2 2 3 2 3" xfId="21991" xr:uid="{FA1D1BD2-33A9-498C-8663-204DBC93488B}"/>
    <cellStyle name="Comma 4 2 3 2 2 3 2 4" xfId="30438" xr:uid="{80B7493A-2795-411A-ACFA-20B4CC532A48}"/>
    <cellStyle name="Comma 4 2 3 2 2 3 2 5" xfId="38885" xr:uid="{A7241923-6E43-4FBB-8A72-7ACEC3DE4C2B}"/>
    <cellStyle name="Comma 4 2 3 2 2 3 2 6" xfId="12691" xr:uid="{9C435D61-A3C5-4C23-BC56-94C4893D9900}"/>
    <cellStyle name="Comma 4 2 3 2 2 3 3" xfId="5437" xr:uid="{00000000-0005-0000-0000-000066080000}"/>
    <cellStyle name="Comma 4 2 3 2 2 3 3 2" xfId="24063" xr:uid="{84BEF057-6D21-43D8-A201-0FDDC163575D}"/>
    <cellStyle name="Comma 4 2 3 2 2 3 3 3" xfId="32510" xr:uid="{1B64A283-1610-4F64-B756-63787A78D79C}"/>
    <cellStyle name="Comma 4 2 3 2 2 3 3 4" xfId="40957" xr:uid="{C4C93954-38BB-4597-BCB0-647A83B3DF88}"/>
    <cellStyle name="Comma 4 2 3 2 2 3 3 5" xfId="14763" xr:uid="{B9EC7449-D077-4814-A24A-87B2B098C598}"/>
    <cellStyle name="Comma 4 2 3 2 2 3 4" xfId="19846" xr:uid="{EEF14E71-C8BB-46FC-A2FB-806B63D05EBB}"/>
    <cellStyle name="Comma 4 2 3 2 2 3 5" xfId="28293" xr:uid="{150D6488-58AB-418B-96D6-E2365434CD2F}"/>
    <cellStyle name="Comma 4 2 3 2 2 3 6" xfId="36740" xr:uid="{CA2F65C4-5765-4B6C-B86A-7C330AFEBBA3}"/>
    <cellStyle name="Comma 4 2 3 2 2 3 7" xfId="10546" xr:uid="{3DCE3758-BEA7-41CD-A5D4-A07CE6370244}"/>
    <cellStyle name="Comma 4 2 3 2 2 4" xfId="1543" xr:uid="{00000000-0005-0000-0000-000067080000}"/>
    <cellStyle name="Comma 4 2 3 2 2 4 2" xfId="3773" xr:uid="{00000000-0005-0000-0000-000068080000}"/>
    <cellStyle name="Comma 4 2 3 2 2 4 2 2" xfId="7995" xr:uid="{00000000-0005-0000-0000-000069080000}"/>
    <cellStyle name="Comma 4 2 3 2 2 4 2 2 2" xfId="26621" xr:uid="{64497D44-17E7-44ED-9846-51E1742F0806}"/>
    <cellStyle name="Comma 4 2 3 2 2 4 2 2 3" xfId="35068" xr:uid="{C6F6E9E5-F80A-486A-9605-CC8E0286EB63}"/>
    <cellStyle name="Comma 4 2 3 2 2 4 2 2 4" xfId="43515" xr:uid="{8527CB66-F91A-457D-82C9-BB6DDFE5C485}"/>
    <cellStyle name="Comma 4 2 3 2 2 4 2 2 5" xfId="17321" xr:uid="{EC5F9417-B695-4625-B839-894ACA623826}"/>
    <cellStyle name="Comma 4 2 3 2 2 4 2 3" xfId="22404" xr:uid="{ECF0187E-FDDC-4E7A-AD84-9B9B4759FE2F}"/>
    <cellStyle name="Comma 4 2 3 2 2 4 2 4" xfId="30851" xr:uid="{A2D13A1B-0131-49B1-92B7-0214BB262BF6}"/>
    <cellStyle name="Comma 4 2 3 2 2 4 2 5" xfId="39298" xr:uid="{69B58D7D-2C02-44F5-87F3-86ECC268C5D5}"/>
    <cellStyle name="Comma 4 2 3 2 2 4 2 6" xfId="13104" xr:uid="{5D57711E-3B34-4ED7-A237-58201B661A87}"/>
    <cellStyle name="Comma 4 2 3 2 2 4 3" xfId="5850" xr:uid="{00000000-0005-0000-0000-00006A080000}"/>
    <cellStyle name="Comma 4 2 3 2 2 4 3 2" xfId="24476" xr:uid="{42D76905-D8AA-482C-AD58-B522FE9A96E4}"/>
    <cellStyle name="Comma 4 2 3 2 2 4 3 3" xfId="32923" xr:uid="{EF212B25-36C1-467F-BBAB-5D7FF6A10CFF}"/>
    <cellStyle name="Comma 4 2 3 2 2 4 3 4" xfId="41370" xr:uid="{D834A9F8-AC47-428B-AE72-5EC9AEBF8FDF}"/>
    <cellStyle name="Comma 4 2 3 2 2 4 3 5" xfId="15176" xr:uid="{E83B51EA-7C7B-43CF-8EDB-1F6141D159FA}"/>
    <cellStyle name="Comma 4 2 3 2 2 4 4" xfId="20259" xr:uid="{1E1F385E-1151-4DCF-8969-E16DEE8DECF0}"/>
    <cellStyle name="Comma 4 2 3 2 2 4 5" xfId="28706" xr:uid="{450E226B-D78E-463A-A7D0-225DF631D57F}"/>
    <cellStyle name="Comma 4 2 3 2 2 4 6" xfId="37153" xr:uid="{9CE694F7-F347-4D3A-A7F2-E5EE9AB221EF}"/>
    <cellStyle name="Comma 4 2 3 2 2 4 7" xfId="10959" xr:uid="{A2F199AA-DFAC-46F8-A65B-13BA73BD2449}"/>
    <cellStyle name="Comma 4 2 3 2 2 5" xfId="1957" xr:uid="{00000000-0005-0000-0000-00006B080000}"/>
    <cellStyle name="Comma 4 2 3 2 2 5 2" xfId="4186" xr:uid="{00000000-0005-0000-0000-00006C080000}"/>
    <cellStyle name="Comma 4 2 3 2 2 5 2 2" xfId="8408" xr:uid="{00000000-0005-0000-0000-00006D080000}"/>
    <cellStyle name="Comma 4 2 3 2 2 5 2 2 2" xfId="27034" xr:uid="{0107C185-5512-4B5B-9526-012A9E7C2FC3}"/>
    <cellStyle name="Comma 4 2 3 2 2 5 2 2 3" xfId="35481" xr:uid="{503E19D7-520B-4EC3-8906-600B76301B26}"/>
    <cellStyle name="Comma 4 2 3 2 2 5 2 2 4" xfId="43928" xr:uid="{00AAF582-0FB4-4B7D-977D-8F19DC481606}"/>
    <cellStyle name="Comma 4 2 3 2 2 5 2 2 5" xfId="17734" xr:uid="{28EAB265-A670-44D8-8961-46B6C1A0DA34}"/>
    <cellStyle name="Comma 4 2 3 2 2 5 2 3" xfId="22817" xr:uid="{315A9E78-01EF-44E6-9D7F-C31CC3E29CDD}"/>
    <cellStyle name="Comma 4 2 3 2 2 5 2 4" xfId="31264" xr:uid="{C2FFA4A5-968E-4F97-A49B-2270B53490CC}"/>
    <cellStyle name="Comma 4 2 3 2 2 5 2 5" xfId="39711" xr:uid="{79FFC2C8-0C75-443C-9FF5-103154454971}"/>
    <cellStyle name="Comma 4 2 3 2 2 5 2 6" xfId="13517" xr:uid="{024A3C4E-7209-499F-B36B-457F6917D7EB}"/>
    <cellStyle name="Comma 4 2 3 2 2 5 3" xfId="6263" xr:uid="{00000000-0005-0000-0000-00006E080000}"/>
    <cellStyle name="Comma 4 2 3 2 2 5 3 2" xfId="24889" xr:uid="{F6CE5706-2481-47A8-AF34-CC9A6DE20535}"/>
    <cellStyle name="Comma 4 2 3 2 2 5 3 3" xfId="33336" xr:uid="{E0221473-BFB4-43D2-81A7-967A6CCD8220}"/>
    <cellStyle name="Comma 4 2 3 2 2 5 3 4" xfId="41783" xr:uid="{A927E6D9-CC8A-4F29-980A-4F65625F0F86}"/>
    <cellStyle name="Comma 4 2 3 2 2 5 3 5" xfId="15589" xr:uid="{2EDFCFED-44EC-4D42-8AF7-4B8058A8C3B1}"/>
    <cellStyle name="Comma 4 2 3 2 2 5 4" xfId="20672" xr:uid="{D08FD600-F875-4CF9-8893-81526115F7F9}"/>
    <cellStyle name="Comma 4 2 3 2 2 5 5" xfId="29119" xr:uid="{37A539D1-D756-4FEA-8FD5-68606E43C498}"/>
    <cellStyle name="Comma 4 2 3 2 2 5 6" xfId="37566" xr:uid="{574FB475-D53E-4BE0-A22B-295F1F9E7C29}"/>
    <cellStyle name="Comma 4 2 3 2 2 5 7" xfId="11372" xr:uid="{BA66E80F-1779-4D72-AEA3-A555E396B27A}"/>
    <cellStyle name="Comma 4 2 3 2 2 6" xfId="2392" xr:uid="{00000000-0005-0000-0000-00006F080000}"/>
    <cellStyle name="Comma 4 2 3 2 2 6 2" xfId="6676" xr:uid="{00000000-0005-0000-0000-000070080000}"/>
    <cellStyle name="Comma 4 2 3 2 2 6 2 2" xfId="25302" xr:uid="{75E5C1F6-38C4-4035-9A3F-5BA16DA4EE19}"/>
    <cellStyle name="Comma 4 2 3 2 2 6 2 3" xfId="33749" xr:uid="{A4E80677-B481-4240-A670-4CF6D44EBF7C}"/>
    <cellStyle name="Comma 4 2 3 2 2 6 2 4" xfId="42196" xr:uid="{615DB607-5A97-4437-99A5-AB88494D7647}"/>
    <cellStyle name="Comma 4 2 3 2 2 6 2 5" xfId="16002" xr:uid="{8E08ABF0-8011-4922-B1B3-B190AA954FD6}"/>
    <cellStyle name="Comma 4 2 3 2 2 6 3" xfId="21085" xr:uid="{FDD5CCDE-8555-4EC7-B3B5-C62FEF6E61F0}"/>
    <cellStyle name="Comma 4 2 3 2 2 6 4" xfId="29532" xr:uid="{03F32365-7D57-413C-929F-E5CC51C17430}"/>
    <cellStyle name="Comma 4 2 3 2 2 6 5" xfId="37979" xr:uid="{12F0386F-3A2B-44E7-87F0-86114E0ADB60}"/>
    <cellStyle name="Comma 4 2 3 2 2 6 6" xfId="11785" xr:uid="{E30CE70F-7CBF-41FC-8552-EB5D19B74AD0}"/>
    <cellStyle name="Comma 4 2 3 2 2 7" xfId="2371" xr:uid="{00000000-0005-0000-0000-000071080000}"/>
    <cellStyle name="Comma 4 2 3 2 2 8" xfId="2770" xr:uid="{00000000-0005-0000-0000-000072080000}"/>
    <cellStyle name="Comma 4 2 3 2 2 8 2" xfId="6993" xr:uid="{00000000-0005-0000-0000-000073080000}"/>
    <cellStyle name="Comma 4 2 3 2 2 8 2 2" xfId="25619" xr:uid="{ACD5E57C-A48D-4115-99CD-2E2D676E1B09}"/>
    <cellStyle name="Comma 4 2 3 2 2 8 2 3" xfId="34066" xr:uid="{952ADDF5-5B11-4538-A29D-3C1E83C155F0}"/>
    <cellStyle name="Comma 4 2 3 2 2 8 2 4" xfId="42513" xr:uid="{3E9DEA33-2ADC-4389-8791-C241D1666F92}"/>
    <cellStyle name="Comma 4 2 3 2 2 8 2 5" xfId="16319" xr:uid="{A997BEDE-AEBC-49BB-AD28-83D3F74B3E82}"/>
    <cellStyle name="Comma 4 2 3 2 2 8 3" xfId="21402" xr:uid="{97328295-8567-4615-B2DF-1F7A440EC95B}"/>
    <cellStyle name="Comma 4 2 3 2 2 8 4" xfId="29849" xr:uid="{A16C16B0-D0B0-4BB5-8872-74DB3C38DA51}"/>
    <cellStyle name="Comma 4 2 3 2 2 8 5" xfId="38296" xr:uid="{B3E798FE-BB9A-4C14-8A98-770235CA90F0}"/>
    <cellStyle name="Comma 4 2 3 2 2 8 6" xfId="12102" xr:uid="{FCBC9F61-7ECE-4648-826F-BD6FD26426E8}"/>
    <cellStyle name="Comma 4 2 3 2 2 9" xfId="4610" xr:uid="{00000000-0005-0000-0000-000074080000}"/>
    <cellStyle name="Comma 4 2 3 2 2 9 2" xfId="23236" xr:uid="{1083036C-E915-4529-832E-8809B3E8D14E}"/>
    <cellStyle name="Comma 4 2 3 2 2 9 3" xfId="31683" xr:uid="{D25FD0E7-04EC-44B2-A8CD-C17686D924DE}"/>
    <cellStyle name="Comma 4 2 3 2 2 9 4" xfId="40130" xr:uid="{C3B1C538-A30A-40B3-A9D0-E685DAFFAE6D}"/>
    <cellStyle name="Comma 4 2 3 2 2 9 5" xfId="13936" xr:uid="{5D72936A-A816-4D47-AD05-D693C67BE57B}"/>
    <cellStyle name="Comma 4 2 3 2 3" xfId="675" xr:uid="{00000000-0005-0000-0000-000075080000}"/>
    <cellStyle name="Comma 4 2 3 2 3 2" xfId="2946" xr:uid="{00000000-0005-0000-0000-000076080000}"/>
    <cellStyle name="Comma 4 2 3 2 3 2 2" xfId="7168" xr:uid="{00000000-0005-0000-0000-000077080000}"/>
    <cellStyle name="Comma 4 2 3 2 3 2 2 2" xfId="25794" xr:uid="{C12BF299-710C-4493-B293-8321E68A4E5E}"/>
    <cellStyle name="Comma 4 2 3 2 3 2 2 3" xfId="34241" xr:uid="{0931AAD0-B25A-4B77-B4CA-833302AABE82}"/>
    <cellStyle name="Comma 4 2 3 2 3 2 2 4" xfId="42688" xr:uid="{5C04F033-F2FA-45C4-A38C-953E0D86349F}"/>
    <cellStyle name="Comma 4 2 3 2 3 2 2 5" xfId="16494" xr:uid="{CE010BE7-53A6-44F9-BACC-A96845E2850B}"/>
    <cellStyle name="Comma 4 2 3 2 3 2 3" xfId="21577" xr:uid="{796647BE-FB95-48C0-99AB-CD1475E4B6A3}"/>
    <cellStyle name="Comma 4 2 3 2 3 2 4" xfId="30024" xr:uid="{3FB0ABF0-4430-4F03-8B40-8082AAED729B}"/>
    <cellStyle name="Comma 4 2 3 2 3 2 5" xfId="38471" xr:uid="{77EEBB00-B2C0-46E6-AD91-CC0370F07DA3}"/>
    <cellStyle name="Comma 4 2 3 2 3 2 6" xfId="12277" xr:uid="{2145122B-B5AC-419B-9218-E28575A592AF}"/>
    <cellStyle name="Comma 4 2 3 2 3 3" xfId="5023" xr:uid="{00000000-0005-0000-0000-000078080000}"/>
    <cellStyle name="Comma 4 2 3 2 3 3 2" xfId="23649" xr:uid="{75155892-1C19-44CE-9342-96517899D177}"/>
    <cellStyle name="Comma 4 2 3 2 3 3 3" xfId="32096" xr:uid="{14745F05-F8C7-4D1C-B1A0-01E1644B76F6}"/>
    <cellStyle name="Comma 4 2 3 2 3 3 4" xfId="40543" xr:uid="{F22D0BFD-C148-49E7-B1A9-CD9490316ED4}"/>
    <cellStyle name="Comma 4 2 3 2 3 3 5" xfId="14349" xr:uid="{64740209-690D-4F02-8337-F7B408997F4D}"/>
    <cellStyle name="Comma 4 2 3 2 3 4" xfId="9333" xr:uid="{5C974796-1B06-4FA8-AB2A-F6B34628ACD4}"/>
    <cellStyle name="Comma 4 2 3 2 3 4 2" xfId="18649" xr:uid="{AED9438D-7574-4240-A666-F5D5B3DC9AF7}"/>
    <cellStyle name="Comma 4 2 3 2 3 5" xfId="19432" xr:uid="{6C02FD3D-100F-4ED9-A779-10055698206D}"/>
    <cellStyle name="Comma 4 2 3 2 3 6" xfId="27879" xr:uid="{4A707545-AA14-4F76-9CA5-D51FBE11A5F1}"/>
    <cellStyle name="Comma 4 2 3 2 3 7" xfId="36326" xr:uid="{C8965915-B50D-4F8A-AD28-B60DB163D9D6}"/>
    <cellStyle name="Comma 4 2 3 2 3 8" xfId="10132" xr:uid="{F2A69580-B820-4BC5-B3F7-655BE0B2A99B}"/>
    <cellStyle name="Comma 4 2 3 2 4" xfId="1128" xr:uid="{00000000-0005-0000-0000-000079080000}"/>
    <cellStyle name="Comma 4 2 3 2 4 2" xfId="3359" xr:uid="{00000000-0005-0000-0000-00007A080000}"/>
    <cellStyle name="Comma 4 2 3 2 4 2 2" xfId="7581" xr:uid="{00000000-0005-0000-0000-00007B080000}"/>
    <cellStyle name="Comma 4 2 3 2 4 2 2 2" xfId="26207" xr:uid="{62933335-9E23-40FD-927E-E03D2BD6B5FF}"/>
    <cellStyle name="Comma 4 2 3 2 4 2 2 3" xfId="34654" xr:uid="{E475062D-EBCB-4DB5-8A2F-E925D1D466F6}"/>
    <cellStyle name="Comma 4 2 3 2 4 2 2 4" xfId="43101" xr:uid="{2258BCB9-4BB7-478B-86DE-452D41E55037}"/>
    <cellStyle name="Comma 4 2 3 2 4 2 2 5" xfId="16907" xr:uid="{859FF43A-62B8-439E-A25A-79C0D2F16D1F}"/>
    <cellStyle name="Comma 4 2 3 2 4 2 3" xfId="21990" xr:uid="{06B7690A-1DB9-4901-8CAE-DDC495606507}"/>
    <cellStyle name="Comma 4 2 3 2 4 2 4" xfId="30437" xr:uid="{14408D8F-10E0-42DE-9525-E628A9042847}"/>
    <cellStyle name="Comma 4 2 3 2 4 2 5" xfId="38884" xr:uid="{EDA09F45-9D3D-4BCF-A6AF-F5EC2D4E6247}"/>
    <cellStyle name="Comma 4 2 3 2 4 2 6" xfId="12690" xr:uid="{754CA92C-FEEE-450F-8186-0376CE31D00F}"/>
    <cellStyle name="Comma 4 2 3 2 4 3" xfId="5436" xr:uid="{00000000-0005-0000-0000-00007C080000}"/>
    <cellStyle name="Comma 4 2 3 2 4 3 2" xfId="24062" xr:uid="{00F023E2-8AEB-4999-A1D7-4981D34236BB}"/>
    <cellStyle name="Comma 4 2 3 2 4 3 3" xfId="32509" xr:uid="{5D0C2E0C-AE42-4F93-81E0-0E9CBEAA67A5}"/>
    <cellStyle name="Comma 4 2 3 2 4 3 4" xfId="40956" xr:uid="{F1BAC4B6-ABDE-4D71-9A38-555392D2B5FC}"/>
    <cellStyle name="Comma 4 2 3 2 4 3 5" xfId="14762" xr:uid="{6DE33559-6BE8-48E9-9A18-B31EEF3291AA}"/>
    <cellStyle name="Comma 4 2 3 2 4 4" xfId="19845" xr:uid="{E234D90A-6DBE-4913-8116-813D7799053D}"/>
    <cellStyle name="Comma 4 2 3 2 4 5" xfId="28292" xr:uid="{44E9EAF3-AD12-40A1-8E26-4B043AE2CA7D}"/>
    <cellStyle name="Comma 4 2 3 2 4 6" xfId="36739" xr:uid="{EB2D0EBE-9BF4-41BD-8AB9-C2CB44801CB6}"/>
    <cellStyle name="Comma 4 2 3 2 4 7" xfId="10545" xr:uid="{5CF1F610-3681-4C17-9794-3EACE7204257}"/>
    <cellStyle name="Comma 4 2 3 2 5" xfId="1542" xr:uid="{00000000-0005-0000-0000-00007D080000}"/>
    <cellStyle name="Comma 4 2 3 2 5 2" xfId="3772" xr:uid="{00000000-0005-0000-0000-00007E080000}"/>
    <cellStyle name="Comma 4 2 3 2 5 2 2" xfId="7994" xr:uid="{00000000-0005-0000-0000-00007F080000}"/>
    <cellStyle name="Comma 4 2 3 2 5 2 2 2" xfId="26620" xr:uid="{B4C0B127-2A5A-4B21-8CCE-453613151467}"/>
    <cellStyle name="Comma 4 2 3 2 5 2 2 3" xfId="35067" xr:uid="{1C285ADB-2464-4D91-9F96-739A8A414248}"/>
    <cellStyle name="Comma 4 2 3 2 5 2 2 4" xfId="43514" xr:uid="{84381FC0-1693-42DA-A617-878AEC99A098}"/>
    <cellStyle name="Comma 4 2 3 2 5 2 2 5" xfId="17320" xr:uid="{775765C5-761B-45EC-A8C9-1DF46EE1B384}"/>
    <cellStyle name="Comma 4 2 3 2 5 2 3" xfId="22403" xr:uid="{BBE800B4-FCFE-4A1D-AD68-4AC0FBE2736C}"/>
    <cellStyle name="Comma 4 2 3 2 5 2 4" xfId="30850" xr:uid="{DAB0288C-E1A1-4685-84CD-B240D46459CF}"/>
    <cellStyle name="Comma 4 2 3 2 5 2 5" xfId="39297" xr:uid="{D7B020E0-39F9-453D-8078-79644221F167}"/>
    <cellStyle name="Comma 4 2 3 2 5 2 6" xfId="13103" xr:uid="{33D0DC4C-6009-41C1-80F1-05800EC568A9}"/>
    <cellStyle name="Comma 4 2 3 2 5 3" xfId="5849" xr:uid="{00000000-0005-0000-0000-000080080000}"/>
    <cellStyle name="Comma 4 2 3 2 5 3 2" xfId="24475" xr:uid="{7FBD8C26-4C0F-4D37-A220-A922675F4068}"/>
    <cellStyle name="Comma 4 2 3 2 5 3 3" xfId="32922" xr:uid="{DBC546D5-6196-476C-AE70-8E4D99925FC4}"/>
    <cellStyle name="Comma 4 2 3 2 5 3 4" xfId="41369" xr:uid="{7AF3E4B4-92FA-4D19-8699-B4D98F091ADC}"/>
    <cellStyle name="Comma 4 2 3 2 5 3 5" xfId="15175" xr:uid="{CBC16E03-7C1F-4BC0-9AD0-83804F4090C6}"/>
    <cellStyle name="Comma 4 2 3 2 5 4" xfId="20258" xr:uid="{664C6160-0BB8-4F7D-A6D8-A8D5045156D5}"/>
    <cellStyle name="Comma 4 2 3 2 5 5" xfId="28705" xr:uid="{45DE649E-C047-482C-B1DB-371B54F3271F}"/>
    <cellStyle name="Comma 4 2 3 2 5 6" xfId="37152" xr:uid="{9EEF09F1-09AA-4E71-A3CA-C583458B652E}"/>
    <cellStyle name="Comma 4 2 3 2 5 7" xfId="10958" xr:uid="{14CB4139-C1F9-40D2-952C-2CC9F94F49D6}"/>
    <cellStyle name="Comma 4 2 3 2 6" xfId="1956" xr:uid="{00000000-0005-0000-0000-000081080000}"/>
    <cellStyle name="Comma 4 2 3 2 6 2" xfId="4185" xr:uid="{00000000-0005-0000-0000-000082080000}"/>
    <cellStyle name="Comma 4 2 3 2 6 2 2" xfId="8407" xr:uid="{00000000-0005-0000-0000-000083080000}"/>
    <cellStyle name="Comma 4 2 3 2 6 2 2 2" xfId="27033" xr:uid="{927B564A-D9E9-4EC3-A9B8-9F06179CFAF3}"/>
    <cellStyle name="Comma 4 2 3 2 6 2 2 3" xfId="35480" xr:uid="{255D5536-EDCA-4372-A5C9-6E7348F2C979}"/>
    <cellStyle name="Comma 4 2 3 2 6 2 2 4" xfId="43927" xr:uid="{BA2D138A-7FBF-4C86-B397-CC97B69AE230}"/>
    <cellStyle name="Comma 4 2 3 2 6 2 2 5" xfId="17733" xr:uid="{142F0C27-3176-4DCB-A00E-79E59A8DF260}"/>
    <cellStyle name="Comma 4 2 3 2 6 2 3" xfId="22816" xr:uid="{46B03F26-8D1D-4BC1-9D23-825E12305A7B}"/>
    <cellStyle name="Comma 4 2 3 2 6 2 4" xfId="31263" xr:uid="{78863EFA-09CE-4CD0-8A05-6C6039887546}"/>
    <cellStyle name="Comma 4 2 3 2 6 2 5" xfId="39710" xr:uid="{6D00BBB9-22C9-4E89-B4EB-6FD3FBF1883E}"/>
    <cellStyle name="Comma 4 2 3 2 6 2 6" xfId="13516" xr:uid="{A1BA8CD7-0457-47DB-9C4C-941C375102D5}"/>
    <cellStyle name="Comma 4 2 3 2 6 3" xfId="6262" xr:uid="{00000000-0005-0000-0000-000084080000}"/>
    <cellStyle name="Comma 4 2 3 2 6 3 2" xfId="24888" xr:uid="{7F067B6A-E9BC-465C-99F5-C929F0BCB67B}"/>
    <cellStyle name="Comma 4 2 3 2 6 3 3" xfId="33335" xr:uid="{62CDB687-34E9-49A9-B26A-C2AFB96A63B8}"/>
    <cellStyle name="Comma 4 2 3 2 6 3 4" xfId="41782" xr:uid="{F012EE8B-BA1E-4EDE-95E8-4AB1C81518EC}"/>
    <cellStyle name="Comma 4 2 3 2 6 3 5" xfId="15588" xr:uid="{9EFB9FA9-DB2A-411C-BBAC-9F9B559F6DE3}"/>
    <cellStyle name="Comma 4 2 3 2 6 4" xfId="20671" xr:uid="{1CF6E37E-2E76-485B-834F-020505F31C00}"/>
    <cellStyle name="Comma 4 2 3 2 6 5" xfId="29118" xr:uid="{8278EEC8-8DF7-427D-A282-C012EC93F2BE}"/>
    <cellStyle name="Comma 4 2 3 2 6 6" xfId="37565" xr:uid="{944C3FAC-6C75-4C72-9B56-AA98170F0B25}"/>
    <cellStyle name="Comma 4 2 3 2 6 7" xfId="11371" xr:uid="{31E250CD-9168-4E44-B9DE-F66ECA8A787E}"/>
    <cellStyle name="Comma 4 2 3 2 7" xfId="2391" xr:uid="{00000000-0005-0000-0000-000085080000}"/>
    <cellStyle name="Comma 4 2 3 2 7 2" xfId="6675" xr:uid="{00000000-0005-0000-0000-000086080000}"/>
    <cellStyle name="Comma 4 2 3 2 7 2 2" xfId="25301" xr:uid="{AACE8269-8DB9-405C-9035-1ACAA331E103}"/>
    <cellStyle name="Comma 4 2 3 2 7 2 3" xfId="33748" xr:uid="{FE4999D6-B150-48D7-83FB-4A1BF3255DC2}"/>
    <cellStyle name="Comma 4 2 3 2 7 2 4" xfId="42195" xr:uid="{BED9701A-CAD7-4E0A-9883-2389A48B9E93}"/>
    <cellStyle name="Comma 4 2 3 2 7 2 5" xfId="16001" xr:uid="{85962C1F-C4A0-4160-8809-543B61A9464F}"/>
    <cellStyle name="Comma 4 2 3 2 7 3" xfId="21084" xr:uid="{DC9FC628-6DE8-49C2-A4B3-AFAB0C410B9B}"/>
    <cellStyle name="Comma 4 2 3 2 7 4" xfId="29531" xr:uid="{47A9BCBD-377C-4ACD-BEFD-08F5D1E7C652}"/>
    <cellStyle name="Comma 4 2 3 2 7 5" xfId="37978" xr:uid="{9AF3C970-6C20-4E65-902F-9A157E607DE3}"/>
    <cellStyle name="Comma 4 2 3 2 7 6" xfId="11784" xr:uid="{4A48BAD2-CAD8-4D37-92B2-6E1FC26A46FB}"/>
    <cellStyle name="Comma 4 2 3 2 8" xfId="2372" xr:uid="{00000000-0005-0000-0000-000087080000}"/>
    <cellStyle name="Comma 4 2 3 2 9" xfId="2769" xr:uid="{00000000-0005-0000-0000-000088080000}"/>
    <cellStyle name="Comma 4 2 3 2 9 2" xfId="6992" xr:uid="{00000000-0005-0000-0000-000089080000}"/>
    <cellStyle name="Comma 4 2 3 2 9 2 2" xfId="25618" xr:uid="{168B47C5-6EF8-4E3F-81E9-B076DDF0A68F}"/>
    <cellStyle name="Comma 4 2 3 2 9 2 3" xfId="34065" xr:uid="{055B8D06-DE6C-468F-B434-4B27A900E9D7}"/>
    <cellStyle name="Comma 4 2 3 2 9 2 4" xfId="42512" xr:uid="{658161B5-48DF-4E08-811E-C3DA0F3C82B8}"/>
    <cellStyle name="Comma 4 2 3 2 9 2 5" xfId="16318" xr:uid="{460DA153-7989-48F0-B953-F8AA0B4F4EE9}"/>
    <cellStyle name="Comma 4 2 3 2 9 3" xfId="21401" xr:uid="{F2EFB5D1-E366-403C-9CF9-850E906F4201}"/>
    <cellStyle name="Comma 4 2 3 2 9 4" xfId="29848" xr:uid="{A753EFDD-8D6C-4167-9E49-EB97EA922FE4}"/>
    <cellStyle name="Comma 4 2 3 2 9 5" xfId="38295" xr:uid="{8FAAC714-08F8-4A5F-B335-EB5BD78E49ED}"/>
    <cellStyle name="Comma 4 2 3 2 9 6" xfId="12101" xr:uid="{F0115F25-6ABB-4E18-84C4-0B143D22C9F3}"/>
    <cellStyle name="Comma 4 2 3 3" xfId="139" xr:uid="{00000000-0005-0000-0000-00008A080000}"/>
    <cellStyle name="Comma 4 2 3 3 10" xfId="9012" xr:uid="{61C0F117-76A9-43CA-B381-88B2CFF6294C}"/>
    <cellStyle name="Comma 4 2 3 3 10 2" xfId="18336" xr:uid="{A7625471-FF26-4A90-A771-CE10C49BADC7}"/>
    <cellStyle name="Comma 4 2 3 3 11" xfId="19020" xr:uid="{F5DCA43A-ED85-4C5F-B8F1-9CBC2FE4AD96}"/>
    <cellStyle name="Comma 4 2 3 3 12" xfId="27467" xr:uid="{E458367D-C259-4275-811B-7D76865AFC23}"/>
    <cellStyle name="Comma 4 2 3 3 13" xfId="35914" xr:uid="{268628D4-1993-40F8-88F5-77C06084B45C}"/>
    <cellStyle name="Comma 4 2 3 3 14" xfId="9720" xr:uid="{B4D5558C-37CA-4692-9B0C-BFE01571FD00}"/>
    <cellStyle name="Comma 4 2 3 3 2" xfId="677" xr:uid="{00000000-0005-0000-0000-00008B080000}"/>
    <cellStyle name="Comma 4 2 3 3 2 2" xfId="2948" xr:uid="{00000000-0005-0000-0000-00008C080000}"/>
    <cellStyle name="Comma 4 2 3 3 2 2 2" xfId="7170" xr:uid="{00000000-0005-0000-0000-00008D080000}"/>
    <cellStyle name="Comma 4 2 3 3 2 2 2 2" xfId="25796" xr:uid="{4635A6DE-2C49-4E2F-A912-98047C80CF3A}"/>
    <cellStyle name="Comma 4 2 3 3 2 2 2 3" xfId="34243" xr:uid="{F64E2FE1-9352-4DF8-AAFA-895BEF90FE59}"/>
    <cellStyle name="Comma 4 2 3 3 2 2 2 4" xfId="42690" xr:uid="{D078AFB8-113E-409D-B184-52BF24E5E9E1}"/>
    <cellStyle name="Comma 4 2 3 3 2 2 2 5" xfId="16496" xr:uid="{1620D28A-351F-48A5-BDA3-9D5A39133D91}"/>
    <cellStyle name="Comma 4 2 3 3 2 2 3" xfId="21579" xr:uid="{00CB16CB-0269-472B-B352-50379A88DD49}"/>
    <cellStyle name="Comma 4 2 3 3 2 2 4" xfId="30026" xr:uid="{E38F7C47-3AEA-469B-9122-1CD3A38539B9}"/>
    <cellStyle name="Comma 4 2 3 3 2 2 5" xfId="38473" xr:uid="{CA39EE3C-3845-449F-94BD-7E9395EF226F}"/>
    <cellStyle name="Comma 4 2 3 3 2 2 6" xfId="12279" xr:uid="{AFCB962A-93A3-4D11-8980-267702F72A9E}"/>
    <cellStyle name="Comma 4 2 3 3 2 3" xfId="5025" xr:uid="{00000000-0005-0000-0000-00008E080000}"/>
    <cellStyle name="Comma 4 2 3 3 2 3 2" xfId="23651" xr:uid="{CA3225E9-B2A2-4A35-89A5-863921DF33E9}"/>
    <cellStyle name="Comma 4 2 3 3 2 3 3" xfId="32098" xr:uid="{B1FE4117-A6EF-4E61-8497-E8CF4C2C73E6}"/>
    <cellStyle name="Comma 4 2 3 3 2 3 4" xfId="40545" xr:uid="{F570C9AB-7C65-48AD-AF64-00023E0A20A2}"/>
    <cellStyle name="Comma 4 2 3 3 2 3 5" xfId="14351" xr:uid="{793FD9C7-227D-4E83-B06F-C8C644852E31}"/>
    <cellStyle name="Comma 4 2 3 3 2 4" xfId="9437" xr:uid="{35C6809B-E49F-4A7F-8CB1-650474E72B0A}"/>
    <cellStyle name="Comma 4 2 3 3 2 4 2" xfId="18753" xr:uid="{7FE768A0-5FEF-44ED-8E4B-798F899C9387}"/>
    <cellStyle name="Comma 4 2 3 3 2 5" xfId="19434" xr:uid="{C3058779-7441-4840-9664-49A87EC4C0D7}"/>
    <cellStyle name="Comma 4 2 3 3 2 6" xfId="27881" xr:uid="{C8EE5633-A55F-4595-865E-9C1F18E54515}"/>
    <cellStyle name="Comma 4 2 3 3 2 7" xfId="36328" xr:uid="{42EFB502-F566-44DF-BB22-5EB1E8E0015D}"/>
    <cellStyle name="Comma 4 2 3 3 2 8" xfId="10134" xr:uid="{985DCEC6-06CE-4B71-A1FD-296B62E56E9C}"/>
    <cellStyle name="Comma 4 2 3 3 3" xfId="1130" xr:uid="{00000000-0005-0000-0000-00008F080000}"/>
    <cellStyle name="Comma 4 2 3 3 3 2" xfId="3361" xr:uid="{00000000-0005-0000-0000-000090080000}"/>
    <cellStyle name="Comma 4 2 3 3 3 2 2" xfId="7583" xr:uid="{00000000-0005-0000-0000-000091080000}"/>
    <cellStyle name="Comma 4 2 3 3 3 2 2 2" xfId="26209" xr:uid="{5B77772A-0DF7-4E45-BFA7-FD03A80E5248}"/>
    <cellStyle name="Comma 4 2 3 3 3 2 2 3" xfId="34656" xr:uid="{1D3B410F-29DE-460D-A11B-625524787A95}"/>
    <cellStyle name="Comma 4 2 3 3 3 2 2 4" xfId="43103" xr:uid="{D42BC4D9-1A0E-43B1-9D4E-83456D04E322}"/>
    <cellStyle name="Comma 4 2 3 3 3 2 2 5" xfId="16909" xr:uid="{AE41FB31-179F-47E0-AD6F-2138F1E21A29}"/>
    <cellStyle name="Comma 4 2 3 3 3 2 3" xfId="21992" xr:uid="{B981AD2F-2BA4-4C14-8EAB-9D3093208795}"/>
    <cellStyle name="Comma 4 2 3 3 3 2 4" xfId="30439" xr:uid="{2B92FD90-5CCB-4B77-98A4-C2F16919D2B1}"/>
    <cellStyle name="Comma 4 2 3 3 3 2 5" xfId="38886" xr:uid="{7D7B79EB-C5D6-4DE1-BE21-97E501659829}"/>
    <cellStyle name="Comma 4 2 3 3 3 2 6" xfId="12692" xr:uid="{EFC4265A-E5D1-43AF-BCBD-F1F0C180FBB3}"/>
    <cellStyle name="Comma 4 2 3 3 3 3" xfId="5438" xr:uid="{00000000-0005-0000-0000-000092080000}"/>
    <cellStyle name="Comma 4 2 3 3 3 3 2" xfId="24064" xr:uid="{2BC1A1FD-34B1-44FD-9B0B-E5FE1991A542}"/>
    <cellStyle name="Comma 4 2 3 3 3 3 3" xfId="32511" xr:uid="{C994D51A-141A-4A21-92CD-BB90C1CF446B}"/>
    <cellStyle name="Comma 4 2 3 3 3 3 4" xfId="40958" xr:uid="{0E9EA36B-A52D-485A-840D-15B3ECCD0367}"/>
    <cellStyle name="Comma 4 2 3 3 3 3 5" xfId="14764" xr:uid="{6B5B3142-8971-43EC-8F7C-4C9BBE47BEFC}"/>
    <cellStyle name="Comma 4 2 3 3 3 4" xfId="19847" xr:uid="{A0185F06-E832-4A35-BA8C-58FD03CC41DC}"/>
    <cellStyle name="Comma 4 2 3 3 3 5" xfId="28294" xr:uid="{4EFE5143-269D-4AE8-BE0B-A22CD028B7DE}"/>
    <cellStyle name="Comma 4 2 3 3 3 6" xfId="36741" xr:uid="{DA497E1E-43AB-455C-A409-B5A93845DA93}"/>
    <cellStyle name="Comma 4 2 3 3 3 7" xfId="10547" xr:uid="{265FDE61-FDDE-4B90-A5BB-043DBDBC9805}"/>
    <cellStyle name="Comma 4 2 3 3 4" xfId="1544" xr:uid="{00000000-0005-0000-0000-000093080000}"/>
    <cellStyle name="Comma 4 2 3 3 4 2" xfId="3774" xr:uid="{00000000-0005-0000-0000-000094080000}"/>
    <cellStyle name="Comma 4 2 3 3 4 2 2" xfId="7996" xr:uid="{00000000-0005-0000-0000-000095080000}"/>
    <cellStyle name="Comma 4 2 3 3 4 2 2 2" xfId="26622" xr:uid="{85C69A17-4893-49D7-99C9-FD04B620D6D9}"/>
    <cellStyle name="Comma 4 2 3 3 4 2 2 3" xfId="35069" xr:uid="{038089B0-4359-4B09-A0DB-61AB416C6F67}"/>
    <cellStyle name="Comma 4 2 3 3 4 2 2 4" xfId="43516" xr:uid="{2B191E04-9C70-4822-AA4A-BAD19947BE17}"/>
    <cellStyle name="Comma 4 2 3 3 4 2 2 5" xfId="17322" xr:uid="{5B8DFDD2-249D-4FDA-BF43-B9BF6AC29397}"/>
    <cellStyle name="Comma 4 2 3 3 4 2 3" xfId="22405" xr:uid="{FA08FF11-F32B-4CDB-9030-BBDD45CE65F9}"/>
    <cellStyle name="Comma 4 2 3 3 4 2 4" xfId="30852" xr:uid="{8413DAF4-8FBF-4ED8-BBBB-BEBBEE359D35}"/>
    <cellStyle name="Comma 4 2 3 3 4 2 5" xfId="39299" xr:uid="{93953A99-74F8-4E6A-8961-23232ECB8611}"/>
    <cellStyle name="Comma 4 2 3 3 4 2 6" xfId="13105" xr:uid="{9CC0A1CC-68AB-42C7-8C39-7544642154AC}"/>
    <cellStyle name="Comma 4 2 3 3 4 3" xfId="5851" xr:uid="{00000000-0005-0000-0000-000096080000}"/>
    <cellStyle name="Comma 4 2 3 3 4 3 2" xfId="24477" xr:uid="{DE933CF2-190F-482E-9B97-84390467DBEA}"/>
    <cellStyle name="Comma 4 2 3 3 4 3 3" xfId="32924" xr:uid="{FCE0BEA0-E601-4F85-94F7-314F1D5C391C}"/>
    <cellStyle name="Comma 4 2 3 3 4 3 4" xfId="41371" xr:uid="{BAE9647F-1899-4145-A816-81579A582E9B}"/>
    <cellStyle name="Comma 4 2 3 3 4 3 5" xfId="15177" xr:uid="{6230A836-E85F-44B3-B64E-9DE51AEEE39A}"/>
    <cellStyle name="Comma 4 2 3 3 4 4" xfId="20260" xr:uid="{0EF786D2-0190-46DD-BC52-BDF76BC8225D}"/>
    <cellStyle name="Comma 4 2 3 3 4 5" xfId="28707" xr:uid="{B09E55D1-D09C-4C01-A3AC-67AD09F16647}"/>
    <cellStyle name="Comma 4 2 3 3 4 6" xfId="37154" xr:uid="{C586EAA2-5DDB-450A-A8B8-23ACFCDC9781}"/>
    <cellStyle name="Comma 4 2 3 3 4 7" xfId="10960" xr:uid="{B67502DD-02A2-4EC6-A38F-9138CAE1D428}"/>
    <cellStyle name="Comma 4 2 3 3 5" xfId="1958" xr:uid="{00000000-0005-0000-0000-000097080000}"/>
    <cellStyle name="Comma 4 2 3 3 5 2" xfId="4187" xr:uid="{00000000-0005-0000-0000-000098080000}"/>
    <cellStyle name="Comma 4 2 3 3 5 2 2" xfId="8409" xr:uid="{00000000-0005-0000-0000-000099080000}"/>
    <cellStyle name="Comma 4 2 3 3 5 2 2 2" xfId="27035" xr:uid="{2CCBD582-D660-44E7-A163-4E58C0C99100}"/>
    <cellStyle name="Comma 4 2 3 3 5 2 2 3" xfId="35482" xr:uid="{C6DEBCDF-1CEB-4A55-BBFC-1B30D071D1B9}"/>
    <cellStyle name="Comma 4 2 3 3 5 2 2 4" xfId="43929" xr:uid="{FD76478B-7D7D-449A-8CDF-1F7193173AC6}"/>
    <cellStyle name="Comma 4 2 3 3 5 2 2 5" xfId="17735" xr:uid="{EF9868D0-6F74-4BBC-A5F3-3D0AD0679107}"/>
    <cellStyle name="Comma 4 2 3 3 5 2 3" xfId="22818" xr:uid="{49696989-E7C8-45ED-9304-F807D9988F7F}"/>
    <cellStyle name="Comma 4 2 3 3 5 2 4" xfId="31265" xr:uid="{AACFAC51-F72B-460D-8A32-B318AE990001}"/>
    <cellStyle name="Comma 4 2 3 3 5 2 5" xfId="39712" xr:uid="{49AF3494-2FC0-4ADA-AAA3-B162E34BC8BF}"/>
    <cellStyle name="Comma 4 2 3 3 5 2 6" xfId="13518" xr:uid="{A455308B-F868-4747-ABD4-AC5DB3F79E3A}"/>
    <cellStyle name="Comma 4 2 3 3 5 3" xfId="6264" xr:uid="{00000000-0005-0000-0000-00009A080000}"/>
    <cellStyle name="Comma 4 2 3 3 5 3 2" xfId="24890" xr:uid="{F0B7A5BD-EC41-47FA-A231-503C8D044952}"/>
    <cellStyle name="Comma 4 2 3 3 5 3 3" xfId="33337" xr:uid="{AE40C3A7-78B8-47EC-9615-175177F3928D}"/>
    <cellStyle name="Comma 4 2 3 3 5 3 4" xfId="41784" xr:uid="{CE196703-28BE-49AB-890E-CAD2F704929D}"/>
    <cellStyle name="Comma 4 2 3 3 5 3 5" xfId="15590" xr:uid="{B077FF4A-84A2-45DF-A807-14DD816332CD}"/>
    <cellStyle name="Comma 4 2 3 3 5 4" xfId="20673" xr:uid="{DB2F1D57-63F7-4713-9856-9A7479FC612C}"/>
    <cellStyle name="Comma 4 2 3 3 5 5" xfId="29120" xr:uid="{5C86687A-A232-413F-8A6C-4144ACA1251C}"/>
    <cellStyle name="Comma 4 2 3 3 5 6" xfId="37567" xr:uid="{A31561B7-B3AE-4714-A781-E0949F429ED7}"/>
    <cellStyle name="Comma 4 2 3 3 5 7" xfId="11373" xr:uid="{3B18C15E-5D38-436C-B453-363515CA1E22}"/>
    <cellStyle name="Comma 4 2 3 3 6" xfId="2393" xr:uid="{00000000-0005-0000-0000-00009B080000}"/>
    <cellStyle name="Comma 4 2 3 3 6 2" xfId="6677" xr:uid="{00000000-0005-0000-0000-00009C080000}"/>
    <cellStyle name="Comma 4 2 3 3 6 2 2" xfId="25303" xr:uid="{4B8A58D1-9701-41A7-8603-9AC252563C95}"/>
    <cellStyle name="Comma 4 2 3 3 6 2 3" xfId="33750" xr:uid="{4256DE85-A363-48ED-A72F-54CCBE97172A}"/>
    <cellStyle name="Comma 4 2 3 3 6 2 4" xfId="42197" xr:uid="{033A697E-C220-4737-902C-FEC4ED9B4ECC}"/>
    <cellStyle name="Comma 4 2 3 3 6 2 5" xfId="16003" xr:uid="{C247C36F-AD06-45A6-99B4-53428BA03A4A}"/>
    <cellStyle name="Comma 4 2 3 3 6 3" xfId="21086" xr:uid="{724693E9-3C2A-4709-8E3F-9F70B4DB2867}"/>
    <cellStyle name="Comma 4 2 3 3 6 4" xfId="29533" xr:uid="{80462270-DB28-4FFD-8FA5-2E8E30E2F55B}"/>
    <cellStyle name="Comma 4 2 3 3 6 5" xfId="37980" xr:uid="{3789290B-A999-4B55-945E-8F002F875B4D}"/>
    <cellStyle name="Comma 4 2 3 3 6 6" xfId="11786" xr:uid="{6B783904-40D9-4C5B-8E61-1E554E67AA26}"/>
    <cellStyle name="Comma 4 2 3 3 7" xfId="2370" xr:uid="{00000000-0005-0000-0000-00009D080000}"/>
    <cellStyle name="Comma 4 2 3 3 8" xfId="2771" xr:uid="{00000000-0005-0000-0000-00009E080000}"/>
    <cellStyle name="Comma 4 2 3 3 8 2" xfId="6994" xr:uid="{00000000-0005-0000-0000-00009F080000}"/>
    <cellStyle name="Comma 4 2 3 3 8 2 2" xfId="25620" xr:uid="{A2D6A0A3-E152-42A2-87E4-23337FD7BCEC}"/>
    <cellStyle name="Comma 4 2 3 3 8 2 3" xfId="34067" xr:uid="{BF655879-E17C-4873-A442-F0891CA03CD6}"/>
    <cellStyle name="Comma 4 2 3 3 8 2 4" xfId="42514" xr:uid="{67207E03-D588-49D9-A184-9DC8B6DBA93C}"/>
    <cellStyle name="Comma 4 2 3 3 8 2 5" xfId="16320" xr:uid="{4EE50DBB-59AE-45E2-B4C5-FCC3C15B42D4}"/>
    <cellStyle name="Comma 4 2 3 3 8 3" xfId="21403" xr:uid="{EEC11F88-159F-4BDF-B35E-40F342171B18}"/>
    <cellStyle name="Comma 4 2 3 3 8 4" xfId="29850" xr:uid="{CE648A08-2754-4385-900E-49591A130830}"/>
    <cellStyle name="Comma 4 2 3 3 8 5" xfId="38297" xr:uid="{C1AC631B-B549-403D-99F3-5148E9C90B60}"/>
    <cellStyle name="Comma 4 2 3 3 8 6" xfId="12103" xr:uid="{4096C790-8808-4A6B-ADE7-590455257FE8}"/>
    <cellStyle name="Comma 4 2 3 3 9" xfId="4611" xr:uid="{00000000-0005-0000-0000-0000A0080000}"/>
    <cellStyle name="Comma 4 2 3 3 9 2" xfId="23237" xr:uid="{0D6A528D-FE83-419B-AD12-7EC769480EAF}"/>
    <cellStyle name="Comma 4 2 3 3 9 3" xfId="31684" xr:uid="{1A9CE0DD-765B-4AFF-9980-718C6C883F74}"/>
    <cellStyle name="Comma 4 2 3 3 9 4" xfId="40131" xr:uid="{085A1349-7A23-4019-9F3C-44D834CC2FBE}"/>
    <cellStyle name="Comma 4 2 3 3 9 5" xfId="13937" xr:uid="{EDCF0556-8E77-4222-88C7-8D7907AFD176}"/>
    <cellStyle name="Comma 4 2 3 4" xfId="674" xr:uid="{00000000-0005-0000-0000-0000A1080000}"/>
    <cellStyle name="Comma 4 2 3 4 2" xfId="2945" xr:uid="{00000000-0005-0000-0000-0000A2080000}"/>
    <cellStyle name="Comma 4 2 3 4 2 2" xfId="7167" xr:uid="{00000000-0005-0000-0000-0000A3080000}"/>
    <cellStyle name="Comma 4 2 3 4 2 2 2" xfId="25793" xr:uid="{CFE15B16-C68F-4BD3-8F7F-C238BBD978FB}"/>
    <cellStyle name="Comma 4 2 3 4 2 2 3" xfId="34240" xr:uid="{E5128BF9-D151-4424-943D-D6903AF3976D}"/>
    <cellStyle name="Comma 4 2 3 4 2 2 4" xfId="42687" xr:uid="{B0C7693E-AEAC-45B9-8D18-49848D7E02C7}"/>
    <cellStyle name="Comma 4 2 3 4 2 2 5" xfId="16493" xr:uid="{E7228360-4112-4F0F-B2AD-CE02096D922F}"/>
    <cellStyle name="Comma 4 2 3 4 2 3" xfId="21576" xr:uid="{8BCD463D-BCD2-43CC-87D1-B7F345D3B117}"/>
    <cellStyle name="Comma 4 2 3 4 2 4" xfId="30023" xr:uid="{DA5DC7EF-F3AE-4C35-8E36-BAED2F2F65DD}"/>
    <cellStyle name="Comma 4 2 3 4 2 5" xfId="38470" xr:uid="{BE93DD21-972A-43A3-97FB-7FDDE76016B6}"/>
    <cellStyle name="Comma 4 2 3 4 2 6" xfId="12276" xr:uid="{6EA4F0A9-B80D-4886-8D67-63DBFFBE10C8}"/>
    <cellStyle name="Comma 4 2 3 4 3" xfId="5022" xr:uid="{00000000-0005-0000-0000-0000A4080000}"/>
    <cellStyle name="Comma 4 2 3 4 3 2" xfId="23648" xr:uid="{7CF28222-05FA-463B-AF97-47084580B75C}"/>
    <cellStyle name="Comma 4 2 3 4 3 3" xfId="32095" xr:uid="{449B9AE8-ADB6-46F0-96AB-064CB327916D}"/>
    <cellStyle name="Comma 4 2 3 4 3 4" xfId="40542" xr:uid="{ECD8AA7F-6303-452D-84D9-14C67FAA8246}"/>
    <cellStyle name="Comma 4 2 3 4 3 5" xfId="14348" xr:uid="{A8DCCF4F-5F6A-4AC9-BD11-32CCF5BA5B51}"/>
    <cellStyle name="Comma 4 2 3 4 4" xfId="9230" xr:uid="{24B6B749-023F-4009-8785-C6CFE1098E24}"/>
    <cellStyle name="Comma 4 2 3 4 4 2" xfId="18546" xr:uid="{EC92CB37-9E61-4CA6-A992-5C113B190FCB}"/>
    <cellStyle name="Comma 4 2 3 4 5" xfId="19431" xr:uid="{15E5295A-418A-4919-B9DC-344AD8D08F51}"/>
    <cellStyle name="Comma 4 2 3 4 6" xfId="27878" xr:uid="{F5167141-76A9-40E5-B2E8-B04494FE713F}"/>
    <cellStyle name="Comma 4 2 3 4 7" xfId="36325" xr:uid="{0E58FB54-3E9D-4622-B5F1-82905A560B31}"/>
    <cellStyle name="Comma 4 2 3 4 8" xfId="10131" xr:uid="{598D80A5-5C9C-4EE6-93C7-EA5A7305BA1A}"/>
    <cellStyle name="Comma 4 2 3 5" xfId="1127" xr:uid="{00000000-0005-0000-0000-0000A5080000}"/>
    <cellStyle name="Comma 4 2 3 5 2" xfId="3358" xr:uid="{00000000-0005-0000-0000-0000A6080000}"/>
    <cellStyle name="Comma 4 2 3 5 2 2" xfId="7580" xr:uid="{00000000-0005-0000-0000-0000A7080000}"/>
    <cellStyle name="Comma 4 2 3 5 2 2 2" xfId="26206" xr:uid="{6E687AFE-FA75-4413-BC38-34B18CB51FFD}"/>
    <cellStyle name="Comma 4 2 3 5 2 2 3" xfId="34653" xr:uid="{BD0CC124-6C36-4BC8-9642-D94B4E200838}"/>
    <cellStyle name="Comma 4 2 3 5 2 2 4" xfId="43100" xr:uid="{C9AE30C2-CB37-412C-8B0E-DF4931ABEE41}"/>
    <cellStyle name="Comma 4 2 3 5 2 2 5" xfId="16906" xr:uid="{D1AC0BFF-8BFC-447B-8971-9B3B5341AD60}"/>
    <cellStyle name="Comma 4 2 3 5 2 3" xfId="21989" xr:uid="{EF7E9950-C42F-449F-8AF8-98ABAEC9E4BF}"/>
    <cellStyle name="Comma 4 2 3 5 2 4" xfId="30436" xr:uid="{634A40D3-5081-428D-9096-18BCE47C2912}"/>
    <cellStyle name="Comma 4 2 3 5 2 5" xfId="38883" xr:uid="{9803DE8A-7A5E-4356-BB30-711139E7C28D}"/>
    <cellStyle name="Comma 4 2 3 5 2 6" xfId="12689" xr:uid="{286816E3-753C-4A3E-8170-DEA94FAB92B2}"/>
    <cellStyle name="Comma 4 2 3 5 3" xfId="5435" xr:uid="{00000000-0005-0000-0000-0000A8080000}"/>
    <cellStyle name="Comma 4 2 3 5 3 2" xfId="24061" xr:uid="{5910B9FB-9BED-429A-A18A-296E0C50BC32}"/>
    <cellStyle name="Comma 4 2 3 5 3 3" xfId="32508" xr:uid="{83C48DC8-B508-4CD0-975F-886FEE92A2BE}"/>
    <cellStyle name="Comma 4 2 3 5 3 4" xfId="40955" xr:uid="{10C5CE67-01B9-41B4-8F8F-93135EF7FBC7}"/>
    <cellStyle name="Comma 4 2 3 5 3 5" xfId="14761" xr:uid="{A53D141D-3451-42EB-9A00-4FACF34549A7}"/>
    <cellStyle name="Comma 4 2 3 5 4" xfId="19844" xr:uid="{20460F19-CFA9-4C70-9916-7757AE5B553D}"/>
    <cellStyle name="Comma 4 2 3 5 5" xfId="28291" xr:uid="{A46CB50E-3DC4-4E4A-8A3F-DE38B18451F3}"/>
    <cellStyle name="Comma 4 2 3 5 6" xfId="36738" xr:uid="{E1005964-3B6D-4542-9F8C-E4B46A5CB6CA}"/>
    <cellStyle name="Comma 4 2 3 5 7" xfId="10544" xr:uid="{113E046E-32F1-456E-8587-4C319BE76DFD}"/>
    <cellStyle name="Comma 4 2 3 6" xfId="1541" xr:uid="{00000000-0005-0000-0000-0000A9080000}"/>
    <cellStyle name="Comma 4 2 3 6 2" xfId="3771" xr:uid="{00000000-0005-0000-0000-0000AA080000}"/>
    <cellStyle name="Comma 4 2 3 6 2 2" xfId="7993" xr:uid="{00000000-0005-0000-0000-0000AB080000}"/>
    <cellStyle name="Comma 4 2 3 6 2 2 2" xfId="26619" xr:uid="{334EE925-9E10-440E-82DF-21A4922A21BE}"/>
    <cellStyle name="Comma 4 2 3 6 2 2 3" xfId="35066" xr:uid="{27441725-12A9-4425-9EBC-FA640BAA1201}"/>
    <cellStyle name="Comma 4 2 3 6 2 2 4" xfId="43513" xr:uid="{CBC35E41-45AD-4F30-8FA9-74D71F4A4595}"/>
    <cellStyle name="Comma 4 2 3 6 2 2 5" xfId="17319" xr:uid="{C25150D9-9BA0-4C60-8DE2-38AF1911A17E}"/>
    <cellStyle name="Comma 4 2 3 6 2 3" xfId="22402" xr:uid="{89CC5F9D-42A8-4563-AFB2-8C10C6956844}"/>
    <cellStyle name="Comma 4 2 3 6 2 4" xfId="30849" xr:uid="{82F7E498-3C2F-48ED-8092-9FB9721E4BB7}"/>
    <cellStyle name="Comma 4 2 3 6 2 5" xfId="39296" xr:uid="{1F1414ED-9EE9-4A11-AA46-F667936D3541}"/>
    <cellStyle name="Comma 4 2 3 6 2 6" xfId="13102" xr:uid="{7581EDE1-3A07-42E6-B010-BBAC4864E8A2}"/>
    <cellStyle name="Comma 4 2 3 6 3" xfId="5848" xr:uid="{00000000-0005-0000-0000-0000AC080000}"/>
    <cellStyle name="Comma 4 2 3 6 3 2" xfId="24474" xr:uid="{F2DE8022-F7E4-487B-8316-2C37F47272E5}"/>
    <cellStyle name="Comma 4 2 3 6 3 3" xfId="32921" xr:uid="{22D89313-0CC0-48DA-8AFF-D75EF9780B0E}"/>
    <cellStyle name="Comma 4 2 3 6 3 4" xfId="41368" xr:uid="{80917909-38BB-4AAA-8AEA-31E17ECBF7F7}"/>
    <cellStyle name="Comma 4 2 3 6 3 5" xfId="15174" xr:uid="{7A17A847-E9E4-45B0-93EC-40F8FA573466}"/>
    <cellStyle name="Comma 4 2 3 6 4" xfId="20257" xr:uid="{03EA7733-6E7C-45AF-AF2D-60E4B5608855}"/>
    <cellStyle name="Comma 4 2 3 6 5" xfId="28704" xr:uid="{655CE21A-C8C6-4E66-A152-88A20965B57C}"/>
    <cellStyle name="Comma 4 2 3 6 6" xfId="37151" xr:uid="{A16B8C4C-6320-4D2A-A657-D1271C7F5BC6}"/>
    <cellStyle name="Comma 4 2 3 6 7" xfId="10957" xr:uid="{C6F7F877-93DF-4C04-87B4-446F44AFC341}"/>
    <cellStyle name="Comma 4 2 3 7" xfId="1955" xr:uid="{00000000-0005-0000-0000-0000AD080000}"/>
    <cellStyle name="Comma 4 2 3 7 2" xfId="4184" xr:uid="{00000000-0005-0000-0000-0000AE080000}"/>
    <cellStyle name="Comma 4 2 3 7 2 2" xfId="8406" xr:uid="{00000000-0005-0000-0000-0000AF080000}"/>
    <cellStyle name="Comma 4 2 3 7 2 2 2" xfId="27032" xr:uid="{63F64C2E-8FB5-4D3F-85F2-0C2803BCD91C}"/>
    <cellStyle name="Comma 4 2 3 7 2 2 3" xfId="35479" xr:uid="{14D12976-8559-463F-9915-6D6C537FA2C2}"/>
    <cellStyle name="Comma 4 2 3 7 2 2 4" xfId="43926" xr:uid="{F0790042-9DC5-4074-B761-9205159DACFB}"/>
    <cellStyle name="Comma 4 2 3 7 2 2 5" xfId="17732" xr:uid="{AFA9207A-C5D2-441D-BE94-715CD026A787}"/>
    <cellStyle name="Comma 4 2 3 7 2 3" xfId="22815" xr:uid="{484AAC52-AF7F-4E37-BA9B-5EC964B11FE8}"/>
    <cellStyle name="Comma 4 2 3 7 2 4" xfId="31262" xr:uid="{7221F88A-47C9-43C5-AFFF-1AE406B04D24}"/>
    <cellStyle name="Comma 4 2 3 7 2 5" xfId="39709" xr:uid="{FE990D34-675F-47A4-BB76-ED1750248C3D}"/>
    <cellStyle name="Comma 4 2 3 7 2 6" xfId="13515" xr:uid="{CB6946F3-3F46-4405-9F42-B8C233A620FA}"/>
    <cellStyle name="Comma 4 2 3 7 3" xfId="6261" xr:uid="{00000000-0005-0000-0000-0000B0080000}"/>
    <cellStyle name="Comma 4 2 3 7 3 2" xfId="24887" xr:uid="{EFA8B39B-AF27-4109-AD41-F526C849AFAB}"/>
    <cellStyle name="Comma 4 2 3 7 3 3" xfId="33334" xr:uid="{E2E27976-640A-4685-AEEB-F2527B0B7FEC}"/>
    <cellStyle name="Comma 4 2 3 7 3 4" xfId="41781" xr:uid="{C527BA85-0769-46FB-B552-7BE902859F09}"/>
    <cellStyle name="Comma 4 2 3 7 3 5" xfId="15587" xr:uid="{3E173886-519D-49FF-986A-166E07DAB7B6}"/>
    <cellStyle name="Comma 4 2 3 7 4" xfId="20670" xr:uid="{5BA56A94-B539-47DD-A149-25CB4B933518}"/>
    <cellStyle name="Comma 4 2 3 7 5" xfId="29117" xr:uid="{5042035C-6100-4044-9AE4-BBF12E9C3F0F}"/>
    <cellStyle name="Comma 4 2 3 7 6" xfId="37564" xr:uid="{7324EFD1-65E5-4DEC-9E04-583CF581B3DD}"/>
    <cellStyle name="Comma 4 2 3 7 7" xfId="11370" xr:uid="{86309F6E-FE7A-4E62-8C29-145D399D819A}"/>
    <cellStyle name="Comma 4 2 3 8" xfId="2390" xr:uid="{00000000-0005-0000-0000-0000B1080000}"/>
    <cellStyle name="Comma 4 2 3 8 2" xfId="6674" xr:uid="{00000000-0005-0000-0000-0000B2080000}"/>
    <cellStyle name="Comma 4 2 3 8 2 2" xfId="25300" xr:uid="{4823D531-84FE-401B-A5A9-627F869DCBB6}"/>
    <cellStyle name="Comma 4 2 3 8 2 3" xfId="33747" xr:uid="{06312C2B-E3DA-4B25-AF04-E1C290435071}"/>
    <cellStyle name="Comma 4 2 3 8 2 4" xfId="42194" xr:uid="{30059D16-AA99-413A-B89D-059122E002FE}"/>
    <cellStyle name="Comma 4 2 3 8 2 5" xfId="16000" xr:uid="{3EA97B21-13DF-46A8-B173-96B0CBA1DFEB}"/>
    <cellStyle name="Comma 4 2 3 8 3" xfId="21083" xr:uid="{C3C84C94-37DE-422E-81CA-1A32F1FF9BE4}"/>
    <cellStyle name="Comma 4 2 3 8 4" xfId="29530" xr:uid="{E9D3C031-EE2C-4AE2-93CA-4D6DDDD9D980}"/>
    <cellStyle name="Comma 4 2 3 8 5" xfId="37977" xr:uid="{D9D9D393-BC72-4348-88AC-BE5B3A40BD54}"/>
    <cellStyle name="Comma 4 2 3 8 6" xfId="11783" xr:uid="{992E489B-EF91-43F1-945A-8D9104F0DD0A}"/>
    <cellStyle name="Comma 4 2 3 9" xfId="2373" xr:uid="{00000000-0005-0000-0000-0000B3080000}"/>
    <cellStyle name="Comma 4 2 4" xfId="140" xr:uid="{00000000-0005-0000-0000-0000B4080000}"/>
    <cellStyle name="Comma 4 2 4 10" xfId="4612" xr:uid="{00000000-0005-0000-0000-0000B5080000}"/>
    <cellStyle name="Comma 4 2 4 10 2" xfId="23238" xr:uid="{F399C0E4-E6CA-4005-8353-B6A2581398CC}"/>
    <cellStyle name="Comma 4 2 4 10 3" xfId="31685" xr:uid="{DE3377FB-9EBB-4D02-BEF0-211846FFAE8F}"/>
    <cellStyle name="Comma 4 2 4 10 4" xfId="40132" xr:uid="{00C3CBC6-4240-421A-9205-C4AC1592DE8D}"/>
    <cellStyle name="Comma 4 2 4 10 5" xfId="13938" xr:uid="{5C2E2FA5-215A-4632-AF05-13E5F4CE536B}"/>
    <cellStyle name="Comma 4 2 4 11" xfId="8858" xr:uid="{B6A00C95-D04C-44B2-B8AF-67540882256C}"/>
    <cellStyle name="Comma 4 2 4 11 2" xfId="18182" xr:uid="{216DB697-1BE6-44CC-B344-E92430D797E2}"/>
    <cellStyle name="Comma 4 2 4 12" xfId="19021" xr:uid="{19DA2F9A-855F-4BE1-B836-8B061175DA7C}"/>
    <cellStyle name="Comma 4 2 4 13" xfId="27468" xr:uid="{2B03E853-5CA1-4333-A3BD-6C444109E710}"/>
    <cellStyle name="Comma 4 2 4 14" xfId="35915" xr:uid="{6A7E6B51-AC6B-4C2A-84CA-1289E47A44EA}"/>
    <cellStyle name="Comma 4 2 4 15" xfId="9721" xr:uid="{29A882F2-E3EC-4E6F-92D6-84C0EE4E2E3B}"/>
    <cellStyle name="Comma 4 2 4 2" xfId="141" xr:uid="{00000000-0005-0000-0000-0000B6080000}"/>
    <cellStyle name="Comma 4 2 4 2 10" xfId="9065" xr:uid="{961AA06A-D943-447E-AADB-49B440E7E7CE}"/>
    <cellStyle name="Comma 4 2 4 2 10 2" xfId="18389" xr:uid="{4DD3A2A4-2ABA-40F4-8C49-BAE0A9ECD9F5}"/>
    <cellStyle name="Comma 4 2 4 2 11" xfId="19022" xr:uid="{4EAE6430-214A-4FAD-8E65-E1541EFD6AC6}"/>
    <cellStyle name="Comma 4 2 4 2 12" xfId="27469" xr:uid="{3AAA3A64-18FD-4768-9171-8D3FA13FB5FF}"/>
    <cellStyle name="Comma 4 2 4 2 13" xfId="35916" xr:uid="{8B63CB11-DF4E-4384-8E78-AF0DE2BD6D20}"/>
    <cellStyle name="Comma 4 2 4 2 14" xfId="9722" xr:uid="{060F3213-452C-4426-BBB4-CD3EF7FB0383}"/>
    <cellStyle name="Comma 4 2 4 2 2" xfId="679" xr:uid="{00000000-0005-0000-0000-0000B7080000}"/>
    <cellStyle name="Comma 4 2 4 2 2 2" xfId="2950" xr:uid="{00000000-0005-0000-0000-0000B8080000}"/>
    <cellStyle name="Comma 4 2 4 2 2 2 2" xfId="7172" xr:uid="{00000000-0005-0000-0000-0000B9080000}"/>
    <cellStyle name="Comma 4 2 4 2 2 2 2 2" xfId="25798" xr:uid="{E95C7D80-6A6A-4EDF-B4A6-98DC86A0EDF8}"/>
    <cellStyle name="Comma 4 2 4 2 2 2 2 3" xfId="34245" xr:uid="{7E57DE62-55EF-494D-97ED-7A0B92F57553}"/>
    <cellStyle name="Comma 4 2 4 2 2 2 2 4" xfId="42692" xr:uid="{164203B1-D039-4F50-BB85-ABC4C43C078C}"/>
    <cellStyle name="Comma 4 2 4 2 2 2 2 5" xfId="16498" xr:uid="{7195A170-F15D-4C62-82B8-638C575A1F55}"/>
    <cellStyle name="Comma 4 2 4 2 2 2 3" xfId="21581" xr:uid="{FF82FE32-0335-44DE-ACFF-6F3B17288599}"/>
    <cellStyle name="Comma 4 2 4 2 2 2 4" xfId="30028" xr:uid="{34C7BDB8-3E39-4DC0-B0EF-033D38492519}"/>
    <cellStyle name="Comma 4 2 4 2 2 2 5" xfId="38475" xr:uid="{D87D00E0-B234-43D4-B512-839659971B77}"/>
    <cellStyle name="Comma 4 2 4 2 2 2 6" xfId="12281" xr:uid="{9EA26029-9667-4637-912B-0E1CDE83664C}"/>
    <cellStyle name="Comma 4 2 4 2 2 3" xfId="5027" xr:uid="{00000000-0005-0000-0000-0000BA080000}"/>
    <cellStyle name="Comma 4 2 4 2 2 3 2" xfId="23653" xr:uid="{47AA2CF4-1CB5-478A-9C3D-1C2272E10B32}"/>
    <cellStyle name="Comma 4 2 4 2 2 3 3" xfId="32100" xr:uid="{40525DF2-9B5D-470A-8172-B5B8F7540AFA}"/>
    <cellStyle name="Comma 4 2 4 2 2 3 4" xfId="40547" xr:uid="{13DBCAC5-EE8A-433C-8E28-99FA1EA1E0D3}"/>
    <cellStyle name="Comma 4 2 4 2 2 3 5" xfId="14353" xr:uid="{28B4CE61-992D-49EB-B20D-AD1886C1A9E7}"/>
    <cellStyle name="Comma 4 2 4 2 2 4" xfId="9490" xr:uid="{2FAEB1E6-7B41-437B-B2A9-4352AB4F4B98}"/>
    <cellStyle name="Comma 4 2 4 2 2 4 2" xfId="18806" xr:uid="{4EE6F507-8695-4ADE-9812-281D31A5C99E}"/>
    <cellStyle name="Comma 4 2 4 2 2 5" xfId="19436" xr:uid="{6D81E544-4977-4999-AA1A-D2222192C522}"/>
    <cellStyle name="Comma 4 2 4 2 2 6" xfId="27883" xr:uid="{0F6F4D1C-4CA8-4FB3-9301-89A037C3DC2C}"/>
    <cellStyle name="Comma 4 2 4 2 2 7" xfId="36330" xr:uid="{E7DD6D86-3E7A-4EDD-A139-256F82DC592C}"/>
    <cellStyle name="Comma 4 2 4 2 2 8" xfId="10136" xr:uid="{C647885C-B297-499A-A5CB-36B36807507D}"/>
    <cellStyle name="Comma 4 2 4 2 3" xfId="1132" xr:uid="{00000000-0005-0000-0000-0000BB080000}"/>
    <cellStyle name="Comma 4 2 4 2 3 2" xfId="3363" xr:uid="{00000000-0005-0000-0000-0000BC080000}"/>
    <cellStyle name="Comma 4 2 4 2 3 2 2" xfId="7585" xr:uid="{00000000-0005-0000-0000-0000BD080000}"/>
    <cellStyle name="Comma 4 2 4 2 3 2 2 2" xfId="26211" xr:uid="{DC6EDF54-C5C5-4039-B48C-DA9A7364C5FE}"/>
    <cellStyle name="Comma 4 2 4 2 3 2 2 3" xfId="34658" xr:uid="{FF54FF45-3A8F-4121-9082-8F5C8651F9DC}"/>
    <cellStyle name="Comma 4 2 4 2 3 2 2 4" xfId="43105" xr:uid="{03BA5E16-DA8C-426D-AFDF-B1CBDA2BB36C}"/>
    <cellStyle name="Comma 4 2 4 2 3 2 2 5" xfId="16911" xr:uid="{FA661001-FF90-446C-A1A3-CBF91CFB602F}"/>
    <cellStyle name="Comma 4 2 4 2 3 2 3" xfId="21994" xr:uid="{24C646E5-D982-44A7-BCC8-8B312A127494}"/>
    <cellStyle name="Comma 4 2 4 2 3 2 4" xfId="30441" xr:uid="{14FF933E-31F6-4670-B5B0-E5B46FD2EDCF}"/>
    <cellStyle name="Comma 4 2 4 2 3 2 5" xfId="38888" xr:uid="{9F3691EE-D1AD-42FA-816C-7622182F63F6}"/>
    <cellStyle name="Comma 4 2 4 2 3 2 6" xfId="12694" xr:uid="{87B49952-1633-45D5-9DB4-395B94E1CCAD}"/>
    <cellStyle name="Comma 4 2 4 2 3 3" xfId="5440" xr:uid="{00000000-0005-0000-0000-0000BE080000}"/>
    <cellStyle name="Comma 4 2 4 2 3 3 2" xfId="24066" xr:uid="{F4F4534B-E2F0-4ACE-A965-25EDC5BE35CA}"/>
    <cellStyle name="Comma 4 2 4 2 3 3 3" xfId="32513" xr:uid="{CB068214-947A-4A3C-9A5C-FE626504E4CC}"/>
    <cellStyle name="Comma 4 2 4 2 3 3 4" xfId="40960" xr:uid="{AB4E9A31-2C64-434D-9F71-528246A0F656}"/>
    <cellStyle name="Comma 4 2 4 2 3 3 5" xfId="14766" xr:uid="{31144F13-EDBC-482D-A02C-81127598411C}"/>
    <cellStyle name="Comma 4 2 4 2 3 4" xfId="19849" xr:uid="{F51D3127-A46E-4436-8801-BF94043500DE}"/>
    <cellStyle name="Comma 4 2 4 2 3 5" xfId="28296" xr:uid="{152ECDB7-12BC-4F4A-89A5-61429B99C7F0}"/>
    <cellStyle name="Comma 4 2 4 2 3 6" xfId="36743" xr:uid="{57AC5EB3-DE7B-473E-A2B2-6FBE8B509D21}"/>
    <cellStyle name="Comma 4 2 4 2 3 7" xfId="10549" xr:uid="{7D039EBC-E978-4685-BD42-3B9C3E3846FE}"/>
    <cellStyle name="Comma 4 2 4 2 4" xfId="1546" xr:uid="{00000000-0005-0000-0000-0000BF080000}"/>
    <cellStyle name="Comma 4 2 4 2 4 2" xfId="3776" xr:uid="{00000000-0005-0000-0000-0000C0080000}"/>
    <cellStyle name="Comma 4 2 4 2 4 2 2" xfId="7998" xr:uid="{00000000-0005-0000-0000-0000C1080000}"/>
    <cellStyle name="Comma 4 2 4 2 4 2 2 2" xfId="26624" xr:uid="{24C52D1F-64E3-4223-9C91-A8915E5B2F8A}"/>
    <cellStyle name="Comma 4 2 4 2 4 2 2 3" xfId="35071" xr:uid="{8FC71417-CEA3-43B5-9D36-19113E1E969C}"/>
    <cellStyle name="Comma 4 2 4 2 4 2 2 4" xfId="43518" xr:uid="{AC0C32E0-94EA-485C-9F35-333CF2F81445}"/>
    <cellStyle name="Comma 4 2 4 2 4 2 2 5" xfId="17324" xr:uid="{54264DE5-9510-4AE2-A8E4-B4C29C742307}"/>
    <cellStyle name="Comma 4 2 4 2 4 2 3" xfId="22407" xr:uid="{ED886DF1-CB0B-4605-AABA-E7409E14E602}"/>
    <cellStyle name="Comma 4 2 4 2 4 2 4" xfId="30854" xr:uid="{5458A02B-9245-4A3C-ADC9-1C8276325106}"/>
    <cellStyle name="Comma 4 2 4 2 4 2 5" xfId="39301" xr:uid="{3FCF4AD2-DC49-4CE4-BAE4-A82D115B86C6}"/>
    <cellStyle name="Comma 4 2 4 2 4 2 6" xfId="13107" xr:uid="{5F855DD9-3831-47D1-9919-8CB73A337D03}"/>
    <cellStyle name="Comma 4 2 4 2 4 3" xfId="5853" xr:uid="{00000000-0005-0000-0000-0000C2080000}"/>
    <cellStyle name="Comma 4 2 4 2 4 3 2" xfId="24479" xr:uid="{5227F0B9-F9E3-4376-8062-D4960B1CA7D7}"/>
    <cellStyle name="Comma 4 2 4 2 4 3 3" xfId="32926" xr:uid="{EEE7C8E7-6D78-4505-A1E4-58D877B8A03D}"/>
    <cellStyle name="Comma 4 2 4 2 4 3 4" xfId="41373" xr:uid="{AAD74330-449F-4C0F-8C43-74DA6FBA6AE1}"/>
    <cellStyle name="Comma 4 2 4 2 4 3 5" xfId="15179" xr:uid="{795D2385-AC98-4BFA-A522-7E50ACEBFFB2}"/>
    <cellStyle name="Comma 4 2 4 2 4 4" xfId="20262" xr:uid="{F91E4E70-C266-4033-8AA1-761D5B66F3B4}"/>
    <cellStyle name="Comma 4 2 4 2 4 5" xfId="28709" xr:uid="{82E3F5D4-A151-445C-A902-E96130878C5C}"/>
    <cellStyle name="Comma 4 2 4 2 4 6" xfId="37156" xr:uid="{9AFDECBF-7422-4387-8A61-A667E3C121A9}"/>
    <cellStyle name="Comma 4 2 4 2 4 7" xfId="10962" xr:uid="{F42B0EC1-2563-441F-A347-75FBCEFFFF3B}"/>
    <cellStyle name="Comma 4 2 4 2 5" xfId="1960" xr:uid="{00000000-0005-0000-0000-0000C3080000}"/>
    <cellStyle name="Comma 4 2 4 2 5 2" xfId="4189" xr:uid="{00000000-0005-0000-0000-0000C4080000}"/>
    <cellStyle name="Comma 4 2 4 2 5 2 2" xfId="8411" xr:uid="{00000000-0005-0000-0000-0000C5080000}"/>
    <cellStyle name="Comma 4 2 4 2 5 2 2 2" xfId="27037" xr:uid="{B8EBB10C-583A-4245-97A3-527D3067C7BB}"/>
    <cellStyle name="Comma 4 2 4 2 5 2 2 3" xfId="35484" xr:uid="{6EE2C449-F5C0-441A-8E5B-FE47722ADB39}"/>
    <cellStyle name="Comma 4 2 4 2 5 2 2 4" xfId="43931" xr:uid="{6B64268A-2204-41D2-88EF-DD3B266C4780}"/>
    <cellStyle name="Comma 4 2 4 2 5 2 2 5" xfId="17737" xr:uid="{9B7E2237-DED8-40FE-8B4D-F725881DA844}"/>
    <cellStyle name="Comma 4 2 4 2 5 2 3" xfId="22820" xr:uid="{761AD723-01B1-46C5-AE05-6C23557DD263}"/>
    <cellStyle name="Comma 4 2 4 2 5 2 4" xfId="31267" xr:uid="{BB20A507-CD98-4B30-87B2-DE671D065C8B}"/>
    <cellStyle name="Comma 4 2 4 2 5 2 5" xfId="39714" xr:uid="{52EAA768-D0C4-457B-9086-31A263A57597}"/>
    <cellStyle name="Comma 4 2 4 2 5 2 6" xfId="13520" xr:uid="{E55E350A-1895-4193-B526-F899DB3B76B3}"/>
    <cellStyle name="Comma 4 2 4 2 5 3" xfId="6266" xr:uid="{00000000-0005-0000-0000-0000C6080000}"/>
    <cellStyle name="Comma 4 2 4 2 5 3 2" xfId="24892" xr:uid="{EC92AC9B-397B-4CAD-86D6-D302A457D14F}"/>
    <cellStyle name="Comma 4 2 4 2 5 3 3" xfId="33339" xr:uid="{B51C453D-5F3E-4CB6-8538-EFAD95368AF6}"/>
    <cellStyle name="Comma 4 2 4 2 5 3 4" xfId="41786" xr:uid="{8345083F-A1FF-42FE-A80D-A629137F01B6}"/>
    <cellStyle name="Comma 4 2 4 2 5 3 5" xfId="15592" xr:uid="{DDDB7F15-C05A-4963-A9DA-22D0FCE1334F}"/>
    <cellStyle name="Comma 4 2 4 2 5 4" xfId="20675" xr:uid="{CA8008B0-AEC9-42A8-8D9C-07EBC1BE4BF6}"/>
    <cellStyle name="Comma 4 2 4 2 5 5" xfId="29122" xr:uid="{6751AAAA-F62D-41BC-8825-078E991D1346}"/>
    <cellStyle name="Comma 4 2 4 2 5 6" xfId="37569" xr:uid="{E475AFFD-6887-40AC-9A7A-9BF72CD4E1E8}"/>
    <cellStyle name="Comma 4 2 4 2 5 7" xfId="11375" xr:uid="{BBCCA10F-3F15-4A73-862D-DB289A432E6A}"/>
    <cellStyle name="Comma 4 2 4 2 6" xfId="2395" xr:uid="{00000000-0005-0000-0000-0000C7080000}"/>
    <cellStyle name="Comma 4 2 4 2 6 2" xfId="6679" xr:uid="{00000000-0005-0000-0000-0000C8080000}"/>
    <cellStyle name="Comma 4 2 4 2 6 2 2" xfId="25305" xr:uid="{F7FB0102-F9B6-4684-ABBE-8A4A7AE6DABE}"/>
    <cellStyle name="Comma 4 2 4 2 6 2 3" xfId="33752" xr:uid="{6006852F-F7C2-4E7A-B29A-74FB8E905C61}"/>
    <cellStyle name="Comma 4 2 4 2 6 2 4" xfId="42199" xr:uid="{49D8976E-1F9E-4187-A7A7-2019DF140F38}"/>
    <cellStyle name="Comma 4 2 4 2 6 2 5" xfId="16005" xr:uid="{E26A0EF1-018E-4B08-88C2-51A3BD6E64B0}"/>
    <cellStyle name="Comma 4 2 4 2 6 3" xfId="21088" xr:uid="{0CEB25A5-C2A3-42DC-BB70-256CD7AB8FA6}"/>
    <cellStyle name="Comma 4 2 4 2 6 4" xfId="29535" xr:uid="{1740C12D-2D60-46FD-982D-3B14376088F5}"/>
    <cellStyle name="Comma 4 2 4 2 6 5" xfId="37982" xr:uid="{CE50A602-94C2-4E5A-8628-DE9A9FA51955}"/>
    <cellStyle name="Comma 4 2 4 2 6 6" xfId="11788" xr:uid="{29C4652D-8638-40BC-BDB3-1BB234D3ED76}"/>
    <cellStyle name="Comma 4 2 4 2 7" xfId="2368" xr:uid="{00000000-0005-0000-0000-0000C9080000}"/>
    <cellStyle name="Comma 4 2 4 2 8" xfId="2773" xr:uid="{00000000-0005-0000-0000-0000CA080000}"/>
    <cellStyle name="Comma 4 2 4 2 8 2" xfId="6996" xr:uid="{00000000-0005-0000-0000-0000CB080000}"/>
    <cellStyle name="Comma 4 2 4 2 8 2 2" xfId="25622" xr:uid="{E3165EBB-4199-4F05-B312-B4A80EC8BB0F}"/>
    <cellStyle name="Comma 4 2 4 2 8 2 3" xfId="34069" xr:uid="{68BCB1AB-64FA-44E1-9941-91B9C6844816}"/>
    <cellStyle name="Comma 4 2 4 2 8 2 4" xfId="42516" xr:uid="{F8EFE47C-A028-4E0B-A956-DBD0944350D3}"/>
    <cellStyle name="Comma 4 2 4 2 8 2 5" xfId="16322" xr:uid="{966F7BB1-D06A-4282-9F45-FB7F6CDF5206}"/>
    <cellStyle name="Comma 4 2 4 2 8 3" xfId="21405" xr:uid="{9A97BDC5-4CF3-439B-BD80-B6C48D8DA792}"/>
    <cellStyle name="Comma 4 2 4 2 8 4" xfId="29852" xr:uid="{A43CD44A-D7CF-469D-A343-4A4127B5A76B}"/>
    <cellStyle name="Comma 4 2 4 2 8 5" xfId="38299" xr:uid="{0A7CAC12-C6D0-4FE2-9BBC-8EFDB8FFD8B0}"/>
    <cellStyle name="Comma 4 2 4 2 8 6" xfId="12105" xr:uid="{5C61D2CE-5B1B-4E54-8CB8-CC082BEFB7C5}"/>
    <cellStyle name="Comma 4 2 4 2 9" xfId="4613" xr:uid="{00000000-0005-0000-0000-0000CC080000}"/>
    <cellStyle name="Comma 4 2 4 2 9 2" xfId="23239" xr:uid="{E5A971B3-056A-49BB-ACCF-72A0DD49F998}"/>
    <cellStyle name="Comma 4 2 4 2 9 3" xfId="31686" xr:uid="{1D7AA157-1F21-4F6B-9CE4-B86D809BA057}"/>
    <cellStyle name="Comma 4 2 4 2 9 4" xfId="40133" xr:uid="{D0061A41-707C-4742-B925-0CF6164F2BA0}"/>
    <cellStyle name="Comma 4 2 4 2 9 5" xfId="13939" xr:uid="{AE8463AC-E3CC-433A-997E-8CC36E83F67B}"/>
    <cellStyle name="Comma 4 2 4 3" xfId="678" xr:uid="{00000000-0005-0000-0000-0000CD080000}"/>
    <cellStyle name="Comma 4 2 4 3 2" xfId="2949" xr:uid="{00000000-0005-0000-0000-0000CE080000}"/>
    <cellStyle name="Comma 4 2 4 3 2 2" xfId="7171" xr:uid="{00000000-0005-0000-0000-0000CF080000}"/>
    <cellStyle name="Comma 4 2 4 3 2 2 2" xfId="25797" xr:uid="{372D8B3F-6F4D-4D07-A303-FE7233948990}"/>
    <cellStyle name="Comma 4 2 4 3 2 2 3" xfId="34244" xr:uid="{6466124A-605C-472B-9639-7E8991884DEB}"/>
    <cellStyle name="Comma 4 2 4 3 2 2 4" xfId="42691" xr:uid="{9F7C1D0A-4385-4FEF-97D0-CC340FDCAFF2}"/>
    <cellStyle name="Comma 4 2 4 3 2 2 5" xfId="16497" xr:uid="{99B3014C-6985-42E0-B666-C4DDF1B03935}"/>
    <cellStyle name="Comma 4 2 4 3 2 3" xfId="21580" xr:uid="{2787C7D2-CF66-4FE6-A841-7435506F4873}"/>
    <cellStyle name="Comma 4 2 4 3 2 4" xfId="30027" xr:uid="{BE6476A4-8BF4-4CC3-ACE0-1FDAB54021F9}"/>
    <cellStyle name="Comma 4 2 4 3 2 5" xfId="38474" xr:uid="{DCDD21DB-1E0C-4FDB-9580-9139A70AB016}"/>
    <cellStyle name="Comma 4 2 4 3 2 6" xfId="12280" xr:uid="{71680E25-A1EF-4D2A-9075-2C1F9BB76B00}"/>
    <cellStyle name="Comma 4 2 4 3 3" xfId="5026" xr:uid="{00000000-0005-0000-0000-0000D0080000}"/>
    <cellStyle name="Comma 4 2 4 3 3 2" xfId="23652" xr:uid="{635FA6D0-1F81-4155-A956-28A813E22080}"/>
    <cellStyle name="Comma 4 2 4 3 3 3" xfId="32099" xr:uid="{C2DB3053-FA57-4ADF-B10F-BF36EC4B29D2}"/>
    <cellStyle name="Comma 4 2 4 3 3 4" xfId="40546" xr:uid="{7720FC5D-D5ED-450F-9DF5-C1C9AA45F22E}"/>
    <cellStyle name="Comma 4 2 4 3 3 5" xfId="14352" xr:uid="{B08CA23E-D3C6-4107-9D73-287DA59837CC}"/>
    <cellStyle name="Comma 4 2 4 3 4" xfId="9283" xr:uid="{7E46ED3C-A8F4-4512-93D9-5F41F1AC397C}"/>
    <cellStyle name="Comma 4 2 4 3 4 2" xfId="18599" xr:uid="{2E6BB993-80D5-4BA7-B7FD-60D7FA2DA563}"/>
    <cellStyle name="Comma 4 2 4 3 5" xfId="19435" xr:uid="{B5D4824F-B977-4DF8-868C-5B25D6CE281D}"/>
    <cellStyle name="Comma 4 2 4 3 6" xfId="27882" xr:uid="{7A9DF9FD-7158-402E-A80A-1864EDEB5C69}"/>
    <cellStyle name="Comma 4 2 4 3 7" xfId="36329" xr:uid="{74CE4B36-A484-4531-8518-198D16F6FBCE}"/>
    <cellStyle name="Comma 4 2 4 3 8" xfId="10135" xr:uid="{EE645779-E1A1-46F4-B549-B30FC1ECD548}"/>
    <cellStyle name="Comma 4 2 4 4" xfId="1131" xr:uid="{00000000-0005-0000-0000-0000D1080000}"/>
    <cellStyle name="Comma 4 2 4 4 2" xfId="3362" xr:uid="{00000000-0005-0000-0000-0000D2080000}"/>
    <cellStyle name="Comma 4 2 4 4 2 2" xfId="7584" xr:uid="{00000000-0005-0000-0000-0000D3080000}"/>
    <cellStyle name="Comma 4 2 4 4 2 2 2" xfId="26210" xr:uid="{52E6A839-972D-43D6-82FA-886159F46461}"/>
    <cellStyle name="Comma 4 2 4 4 2 2 3" xfId="34657" xr:uid="{9D43B9D4-9189-4A82-B2CE-E716D5BB10DA}"/>
    <cellStyle name="Comma 4 2 4 4 2 2 4" xfId="43104" xr:uid="{5ED55C21-5854-49AF-B3CE-929667E839C3}"/>
    <cellStyle name="Comma 4 2 4 4 2 2 5" xfId="16910" xr:uid="{C7554DA8-204E-4BB3-9CE5-BFEEC2772B06}"/>
    <cellStyle name="Comma 4 2 4 4 2 3" xfId="21993" xr:uid="{A82D1498-D2BF-462E-986E-7E0C85104CE7}"/>
    <cellStyle name="Comma 4 2 4 4 2 4" xfId="30440" xr:uid="{D8E88ECA-EBF5-4AAD-9AB1-2EA57A0FDBAA}"/>
    <cellStyle name="Comma 4 2 4 4 2 5" xfId="38887" xr:uid="{635BBA34-7EC9-4F46-971C-D143744A7CCE}"/>
    <cellStyle name="Comma 4 2 4 4 2 6" xfId="12693" xr:uid="{EF925E3B-3E31-4CB9-A0DF-55D95EABBA3B}"/>
    <cellStyle name="Comma 4 2 4 4 3" xfId="5439" xr:uid="{00000000-0005-0000-0000-0000D4080000}"/>
    <cellStyle name="Comma 4 2 4 4 3 2" xfId="24065" xr:uid="{1955A551-D6F6-4EA7-9142-1371A1DBDB1D}"/>
    <cellStyle name="Comma 4 2 4 4 3 3" xfId="32512" xr:uid="{89380F55-F93A-4506-BAF0-F6627D732B29}"/>
    <cellStyle name="Comma 4 2 4 4 3 4" xfId="40959" xr:uid="{E5119509-11BA-4DE7-85EA-A11EEB500BDF}"/>
    <cellStyle name="Comma 4 2 4 4 3 5" xfId="14765" xr:uid="{15A6680C-B325-48BD-976E-9F97B1998AAE}"/>
    <cellStyle name="Comma 4 2 4 4 4" xfId="19848" xr:uid="{CC9722F6-E9FA-449B-A248-587BF4CB232C}"/>
    <cellStyle name="Comma 4 2 4 4 5" xfId="28295" xr:uid="{F569517E-6C0D-4FC9-8765-E17A47B559A6}"/>
    <cellStyle name="Comma 4 2 4 4 6" xfId="36742" xr:uid="{A2056A42-6B14-4E4B-8CAE-22B0AE12900D}"/>
    <cellStyle name="Comma 4 2 4 4 7" xfId="10548" xr:uid="{4DC450F3-2AA4-465D-988C-868CAD273821}"/>
    <cellStyle name="Comma 4 2 4 5" xfId="1545" xr:uid="{00000000-0005-0000-0000-0000D5080000}"/>
    <cellStyle name="Comma 4 2 4 5 2" xfId="3775" xr:uid="{00000000-0005-0000-0000-0000D6080000}"/>
    <cellStyle name="Comma 4 2 4 5 2 2" xfId="7997" xr:uid="{00000000-0005-0000-0000-0000D7080000}"/>
    <cellStyle name="Comma 4 2 4 5 2 2 2" xfId="26623" xr:uid="{A3C4D65F-2797-4E8C-B346-11ED5928F024}"/>
    <cellStyle name="Comma 4 2 4 5 2 2 3" xfId="35070" xr:uid="{0CE0485E-1F3A-414B-AD37-F94EC8F537E3}"/>
    <cellStyle name="Comma 4 2 4 5 2 2 4" xfId="43517" xr:uid="{9B02160D-9029-4508-8F10-549D4AAD39B7}"/>
    <cellStyle name="Comma 4 2 4 5 2 2 5" xfId="17323" xr:uid="{DF482EC5-AD89-4814-9B6B-113A5C573F69}"/>
    <cellStyle name="Comma 4 2 4 5 2 3" xfId="22406" xr:uid="{C8447484-46C7-498A-8103-EBB22FDDEF5E}"/>
    <cellStyle name="Comma 4 2 4 5 2 4" xfId="30853" xr:uid="{63F73237-7645-46A6-A7DE-4209E7AB1A36}"/>
    <cellStyle name="Comma 4 2 4 5 2 5" xfId="39300" xr:uid="{6CD42DFD-0687-47CD-ABA9-10690E37ECC7}"/>
    <cellStyle name="Comma 4 2 4 5 2 6" xfId="13106" xr:uid="{CF4B8670-2C9A-461F-881A-7ABC6540BB6B}"/>
    <cellStyle name="Comma 4 2 4 5 3" xfId="5852" xr:uid="{00000000-0005-0000-0000-0000D8080000}"/>
    <cellStyle name="Comma 4 2 4 5 3 2" xfId="24478" xr:uid="{F842834C-AAEA-4AF5-A16F-884BEF115963}"/>
    <cellStyle name="Comma 4 2 4 5 3 3" xfId="32925" xr:uid="{918D8EC7-2631-4465-9847-4982B92003E6}"/>
    <cellStyle name="Comma 4 2 4 5 3 4" xfId="41372" xr:uid="{28FF11EF-1CC5-4A38-B944-9756E8E7270C}"/>
    <cellStyle name="Comma 4 2 4 5 3 5" xfId="15178" xr:uid="{CDE1E8F2-664C-4291-9AAC-5E7438FFA726}"/>
    <cellStyle name="Comma 4 2 4 5 4" xfId="20261" xr:uid="{1B981AEF-4DCF-45CC-BBCD-8F5DD3765CD8}"/>
    <cellStyle name="Comma 4 2 4 5 5" xfId="28708" xr:uid="{1C12B52C-6C59-4EA3-B866-3C61EAE1DEF4}"/>
    <cellStyle name="Comma 4 2 4 5 6" xfId="37155" xr:uid="{E0172F77-978E-4D4D-8FB9-0AF466A387C2}"/>
    <cellStyle name="Comma 4 2 4 5 7" xfId="10961" xr:uid="{B42760B2-7549-4059-B0EC-B7556D541DC2}"/>
    <cellStyle name="Comma 4 2 4 6" xfId="1959" xr:uid="{00000000-0005-0000-0000-0000D9080000}"/>
    <cellStyle name="Comma 4 2 4 6 2" xfId="4188" xr:uid="{00000000-0005-0000-0000-0000DA080000}"/>
    <cellStyle name="Comma 4 2 4 6 2 2" xfId="8410" xr:uid="{00000000-0005-0000-0000-0000DB080000}"/>
    <cellStyle name="Comma 4 2 4 6 2 2 2" xfId="27036" xr:uid="{89B6CD31-D166-47D5-9D66-176427123BF4}"/>
    <cellStyle name="Comma 4 2 4 6 2 2 3" xfId="35483" xr:uid="{7062B39C-1C85-43F5-9407-8C9ABADA7413}"/>
    <cellStyle name="Comma 4 2 4 6 2 2 4" xfId="43930" xr:uid="{5FF0177A-D667-4620-AABD-E328E8E31342}"/>
    <cellStyle name="Comma 4 2 4 6 2 2 5" xfId="17736" xr:uid="{05BFEA47-8647-4869-8D4D-7BA1AD0DB4EC}"/>
    <cellStyle name="Comma 4 2 4 6 2 3" xfId="22819" xr:uid="{60FB4E56-4989-45FE-89DC-5436EDE8E116}"/>
    <cellStyle name="Comma 4 2 4 6 2 4" xfId="31266" xr:uid="{BFE729B2-D157-4C96-A894-0A090F39DA3E}"/>
    <cellStyle name="Comma 4 2 4 6 2 5" xfId="39713" xr:uid="{297C1980-2F2E-4978-A62F-1DC36A0E2D02}"/>
    <cellStyle name="Comma 4 2 4 6 2 6" xfId="13519" xr:uid="{162607D5-00E1-441F-8D26-A63264BF0158}"/>
    <cellStyle name="Comma 4 2 4 6 3" xfId="6265" xr:uid="{00000000-0005-0000-0000-0000DC080000}"/>
    <cellStyle name="Comma 4 2 4 6 3 2" xfId="24891" xr:uid="{9A3B6A00-07AB-43E1-8880-F9AD4D0ADDA9}"/>
    <cellStyle name="Comma 4 2 4 6 3 3" xfId="33338" xr:uid="{7AFDF9FA-1ADE-42C2-B87B-0018A6F72EE8}"/>
    <cellStyle name="Comma 4 2 4 6 3 4" xfId="41785" xr:uid="{ECA0A5B9-3812-4452-898E-2FE58ACE0A0C}"/>
    <cellStyle name="Comma 4 2 4 6 3 5" xfId="15591" xr:uid="{728F6CFB-85C9-4306-910A-52E92E32E43E}"/>
    <cellStyle name="Comma 4 2 4 6 4" xfId="20674" xr:uid="{8D542503-E8B9-4D1C-8C81-5DE8FBE79F97}"/>
    <cellStyle name="Comma 4 2 4 6 5" xfId="29121" xr:uid="{88B09E88-AC21-4F2A-8F1B-FC58EBB3604F}"/>
    <cellStyle name="Comma 4 2 4 6 6" xfId="37568" xr:uid="{99701E73-E099-43D3-AA26-4020069E9788}"/>
    <cellStyle name="Comma 4 2 4 6 7" xfId="11374" xr:uid="{77F0698E-9313-4B0E-8F26-583C708F90AF}"/>
    <cellStyle name="Comma 4 2 4 7" xfId="2394" xr:uid="{00000000-0005-0000-0000-0000DD080000}"/>
    <cellStyle name="Comma 4 2 4 7 2" xfId="6678" xr:uid="{00000000-0005-0000-0000-0000DE080000}"/>
    <cellStyle name="Comma 4 2 4 7 2 2" xfId="25304" xr:uid="{B2C51DC3-6D0C-4B9E-A8D0-9D92DED3787A}"/>
    <cellStyle name="Comma 4 2 4 7 2 3" xfId="33751" xr:uid="{3557A25E-0EE8-47A4-9E23-475330E6D99C}"/>
    <cellStyle name="Comma 4 2 4 7 2 4" xfId="42198" xr:uid="{AFD6E125-ABED-46AF-BB74-D38E28FAC880}"/>
    <cellStyle name="Comma 4 2 4 7 2 5" xfId="16004" xr:uid="{9A5EF2B4-956A-4B40-8BB3-0517B5C83D4F}"/>
    <cellStyle name="Comma 4 2 4 7 3" xfId="21087" xr:uid="{33E63214-FCD6-497F-803E-8B36647371FF}"/>
    <cellStyle name="Comma 4 2 4 7 4" xfId="29534" xr:uid="{E0D5D2C5-54AE-4119-92BF-3A3E69A42482}"/>
    <cellStyle name="Comma 4 2 4 7 5" xfId="37981" xr:uid="{82FE0E08-9D6D-4CF2-884D-DB85F5A5728F}"/>
    <cellStyle name="Comma 4 2 4 7 6" xfId="11787" xr:uid="{C4662DDC-1326-42CF-BED6-D13AFACF9714}"/>
    <cellStyle name="Comma 4 2 4 8" xfId="2369" xr:uid="{00000000-0005-0000-0000-0000DF080000}"/>
    <cellStyle name="Comma 4 2 4 9" xfId="2772" xr:uid="{00000000-0005-0000-0000-0000E0080000}"/>
    <cellStyle name="Comma 4 2 4 9 2" xfId="6995" xr:uid="{00000000-0005-0000-0000-0000E1080000}"/>
    <cellStyle name="Comma 4 2 4 9 2 2" xfId="25621" xr:uid="{D0A0D060-4880-47F5-A6F3-1ED487E08282}"/>
    <cellStyle name="Comma 4 2 4 9 2 3" xfId="34068" xr:uid="{8CDB506A-69FE-4CA2-8387-5ED658F069B8}"/>
    <cellStyle name="Comma 4 2 4 9 2 4" xfId="42515" xr:uid="{4C0BBFB0-9367-459D-B2A2-D220C6A6C484}"/>
    <cellStyle name="Comma 4 2 4 9 2 5" xfId="16321" xr:uid="{AB1742C2-00DB-4F47-B7B0-C180E9450CAB}"/>
    <cellStyle name="Comma 4 2 4 9 3" xfId="21404" xr:uid="{FA0684BB-BF97-4ABE-8D49-07514FCCA40F}"/>
    <cellStyle name="Comma 4 2 4 9 4" xfId="29851" xr:uid="{65F0703F-9450-47D7-B694-DD038416B1FF}"/>
    <cellStyle name="Comma 4 2 4 9 5" xfId="38298" xr:uid="{072F5E8F-8C88-41FB-8565-3AB9A7E31F09}"/>
    <cellStyle name="Comma 4 2 4 9 6" xfId="12104" xr:uid="{9C8ECD76-D920-4B4B-BF47-82D436E1EAE2}"/>
    <cellStyle name="Comma 4 2 5" xfId="142" xr:uid="{00000000-0005-0000-0000-0000E2080000}"/>
    <cellStyle name="Comma 4 2 5 10" xfId="8974" xr:uid="{86B0C89A-8A2D-4755-B15D-84E412E1D380}"/>
    <cellStyle name="Comma 4 2 5 10 2" xfId="18298" xr:uid="{01F00D05-C3E2-40E7-AE24-7361A085C281}"/>
    <cellStyle name="Comma 4 2 5 11" xfId="19023" xr:uid="{E5934F8B-2760-4F69-9D0D-E837AD7CEC23}"/>
    <cellStyle name="Comma 4 2 5 12" xfId="27470" xr:uid="{54E5FBD7-7127-4268-B40E-BA3B7AB8CC52}"/>
    <cellStyle name="Comma 4 2 5 13" xfId="35917" xr:uid="{9E2CC2F4-CCCA-4D7E-A476-B5EB0E5C929A}"/>
    <cellStyle name="Comma 4 2 5 14" xfId="9723" xr:uid="{B90DE85D-41CC-44A3-89C9-5B61C927CBF5}"/>
    <cellStyle name="Comma 4 2 5 2" xfId="680" xr:uid="{00000000-0005-0000-0000-0000E3080000}"/>
    <cellStyle name="Comma 4 2 5 2 2" xfId="2951" xr:uid="{00000000-0005-0000-0000-0000E4080000}"/>
    <cellStyle name="Comma 4 2 5 2 2 2" xfId="7173" xr:uid="{00000000-0005-0000-0000-0000E5080000}"/>
    <cellStyle name="Comma 4 2 5 2 2 2 2" xfId="25799" xr:uid="{CF41DD1D-375D-48E3-A972-F4992A3FFE89}"/>
    <cellStyle name="Comma 4 2 5 2 2 2 3" xfId="34246" xr:uid="{2D51C9D0-AE70-4721-B906-1DCDF9BE95CE}"/>
    <cellStyle name="Comma 4 2 5 2 2 2 4" xfId="42693" xr:uid="{4BEEC5E3-943A-460E-891E-D255C3DE26E2}"/>
    <cellStyle name="Comma 4 2 5 2 2 2 5" xfId="16499" xr:uid="{D2F8D004-6641-4210-BB7F-80D0BC63F5E3}"/>
    <cellStyle name="Comma 4 2 5 2 2 3" xfId="21582" xr:uid="{8ADB4F8A-0C46-461B-82E6-04CD20F9174F}"/>
    <cellStyle name="Comma 4 2 5 2 2 4" xfId="30029" xr:uid="{8EEFF423-0633-42E7-895A-CCE9DC45B95D}"/>
    <cellStyle name="Comma 4 2 5 2 2 5" xfId="38476" xr:uid="{DBF3BD4A-9332-4F43-B3DA-5FE7E36480BA}"/>
    <cellStyle name="Comma 4 2 5 2 2 6" xfId="12282" xr:uid="{AA62BC8B-E3ED-40C9-AB9D-E839B44B36E0}"/>
    <cellStyle name="Comma 4 2 5 2 3" xfId="5028" xr:uid="{00000000-0005-0000-0000-0000E6080000}"/>
    <cellStyle name="Comma 4 2 5 2 3 2" xfId="23654" xr:uid="{05B23951-7B41-4157-A310-E96258EB0CC6}"/>
    <cellStyle name="Comma 4 2 5 2 3 3" xfId="32101" xr:uid="{69AD2060-0339-4B69-A27D-1C3F7F92E5AD}"/>
    <cellStyle name="Comma 4 2 5 2 3 4" xfId="40548" xr:uid="{E7140FA1-2BCF-408F-97BA-899C78865CC6}"/>
    <cellStyle name="Comma 4 2 5 2 3 5" xfId="14354" xr:uid="{463DA525-4DA3-4171-9CC7-4C2EC4D2D68A}"/>
    <cellStyle name="Comma 4 2 5 2 4" xfId="9399" xr:uid="{1B388BC7-1FC6-4DC3-B345-755F61B57864}"/>
    <cellStyle name="Comma 4 2 5 2 4 2" xfId="18715" xr:uid="{D6992368-F210-4BAC-83EE-5B1C73D75556}"/>
    <cellStyle name="Comma 4 2 5 2 5" xfId="19437" xr:uid="{3A345956-CA75-486C-88E2-B1D77FAD342A}"/>
    <cellStyle name="Comma 4 2 5 2 6" xfId="27884" xr:uid="{42EB8D45-3041-4C78-A7E2-47DC58789E39}"/>
    <cellStyle name="Comma 4 2 5 2 7" xfId="36331" xr:uid="{7E4472FE-E14F-4871-9833-3730E85E6B48}"/>
    <cellStyle name="Comma 4 2 5 2 8" xfId="10137" xr:uid="{E9C55016-E183-4FE4-A6ED-09CFD1DAD726}"/>
    <cellStyle name="Comma 4 2 5 3" xfId="1133" xr:uid="{00000000-0005-0000-0000-0000E7080000}"/>
    <cellStyle name="Comma 4 2 5 3 2" xfId="3364" xr:uid="{00000000-0005-0000-0000-0000E8080000}"/>
    <cellStyle name="Comma 4 2 5 3 2 2" xfId="7586" xr:uid="{00000000-0005-0000-0000-0000E9080000}"/>
    <cellStyle name="Comma 4 2 5 3 2 2 2" xfId="26212" xr:uid="{0EDFC525-E02C-4D62-988F-47349245820C}"/>
    <cellStyle name="Comma 4 2 5 3 2 2 3" xfId="34659" xr:uid="{E19A9F29-4DEC-4AEC-A9A7-3B6FC2F7E4A9}"/>
    <cellStyle name="Comma 4 2 5 3 2 2 4" xfId="43106" xr:uid="{2D39FC5E-A9AF-4EFF-8DFB-1CB55FEB0F10}"/>
    <cellStyle name="Comma 4 2 5 3 2 2 5" xfId="16912" xr:uid="{557E679E-CF7F-4677-ABBD-2E87E534A174}"/>
    <cellStyle name="Comma 4 2 5 3 2 3" xfId="21995" xr:uid="{297AAA45-04EE-4C14-A315-F7614CC81E55}"/>
    <cellStyle name="Comma 4 2 5 3 2 4" xfId="30442" xr:uid="{C797A8FC-5F07-456B-8CC2-F7DD982FFA98}"/>
    <cellStyle name="Comma 4 2 5 3 2 5" xfId="38889" xr:uid="{D53C4AD6-6F2A-410C-A203-236D02AF86F6}"/>
    <cellStyle name="Comma 4 2 5 3 2 6" xfId="12695" xr:uid="{3343FD3A-81FE-4834-9536-27C0888BADA7}"/>
    <cellStyle name="Comma 4 2 5 3 3" xfId="5441" xr:uid="{00000000-0005-0000-0000-0000EA080000}"/>
    <cellStyle name="Comma 4 2 5 3 3 2" xfId="24067" xr:uid="{EC87F391-70C3-4DAF-8D6A-738600ADD991}"/>
    <cellStyle name="Comma 4 2 5 3 3 3" xfId="32514" xr:uid="{36AF9483-7BF8-4F76-8343-CC6F968BFAE9}"/>
    <cellStyle name="Comma 4 2 5 3 3 4" xfId="40961" xr:uid="{3366E5C5-D53E-4ECC-8DE9-AF55E8AB15F6}"/>
    <cellStyle name="Comma 4 2 5 3 3 5" xfId="14767" xr:uid="{03F226EA-92C3-40EB-AF34-CD5B76AA7048}"/>
    <cellStyle name="Comma 4 2 5 3 4" xfId="19850" xr:uid="{E7B2B928-A264-4E19-B723-02BD84EE166D}"/>
    <cellStyle name="Comma 4 2 5 3 5" xfId="28297" xr:uid="{1D9870AB-412D-44AE-83D5-FC593F698CEB}"/>
    <cellStyle name="Comma 4 2 5 3 6" xfId="36744" xr:uid="{7E92EE28-964E-4FE0-9865-8AA3535F8DF5}"/>
    <cellStyle name="Comma 4 2 5 3 7" xfId="10550" xr:uid="{19137656-A03C-4342-8466-0CDB69C98475}"/>
    <cellStyle name="Comma 4 2 5 4" xfId="1547" xr:uid="{00000000-0005-0000-0000-0000EB080000}"/>
    <cellStyle name="Comma 4 2 5 4 2" xfId="3777" xr:uid="{00000000-0005-0000-0000-0000EC080000}"/>
    <cellStyle name="Comma 4 2 5 4 2 2" xfId="7999" xr:uid="{00000000-0005-0000-0000-0000ED080000}"/>
    <cellStyle name="Comma 4 2 5 4 2 2 2" xfId="26625" xr:uid="{F53E7D7C-AA36-4F9E-8B16-F5C209DAABAF}"/>
    <cellStyle name="Comma 4 2 5 4 2 2 3" xfId="35072" xr:uid="{B224D732-D598-40DA-A736-60D7D8A9E7D0}"/>
    <cellStyle name="Comma 4 2 5 4 2 2 4" xfId="43519" xr:uid="{48B58CEC-AF34-4A5B-8903-77A8B5D5B369}"/>
    <cellStyle name="Comma 4 2 5 4 2 2 5" xfId="17325" xr:uid="{0BDA3938-EAAA-4A74-B626-F4A36017BD6D}"/>
    <cellStyle name="Comma 4 2 5 4 2 3" xfId="22408" xr:uid="{459BCE10-654F-4ECC-B6A4-F2CC97121995}"/>
    <cellStyle name="Comma 4 2 5 4 2 4" xfId="30855" xr:uid="{0026FBBF-A8EA-4FE8-95E7-E5725AA7B534}"/>
    <cellStyle name="Comma 4 2 5 4 2 5" xfId="39302" xr:uid="{17FCF86B-B3A8-4F47-94DE-C1BDC1E09CB5}"/>
    <cellStyle name="Comma 4 2 5 4 2 6" xfId="13108" xr:uid="{07DF0F85-9C8C-4DB6-8182-AF5606DCB8CB}"/>
    <cellStyle name="Comma 4 2 5 4 3" xfId="5854" xr:uid="{00000000-0005-0000-0000-0000EE080000}"/>
    <cellStyle name="Comma 4 2 5 4 3 2" xfId="24480" xr:uid="{7231093B-4D98-4F26-A4E3-5F6E77C38E4A}"/>
    <cellStyle name="Comma 4 2 5 4 3 3" xfId="32927" xr:uid="{14DD4E83-5FB1-41EC-84A8-E1F654816FA7}"/>
    <cellStyle name="Comma 4 2 5 4 3 4" xfId="41374" xr:uid="{3B719DB3-8DE9-4807-BB1D-721FE684F701}"/>
    <cellStyle name="Comma 4 2 5 4 3 5" xfId="15180" xr:uid="{B2003D70-DA6A-4058-8C75-67CA13B7F3A6}"/>
    <cellStyle name="Comma 4 2 5 4 4" xfId="20263" xr:uid="{7A9C2DA6-376D-44C1-96FB-65119BE19BBE}"/>
    <cellStyle name="Comma 4 2 5 4 5" xfId="28710" xr:uid="{24A86F3F-AE69-4545-B99A-E48BBEB46FFC}"/>
    <cellStyle name="Comma 4 2 5 4 6" xfId="37157" xr:uid="{1F96B71F-E391-44EA-ACAC-B9D3EE30B9D3}"/>
    <cellStyle name="Comma 4 2 5 4 7" xfId="10963" xr:uid="{A00640B4-234A-4564-AEAF-94FF345B32C9}"/>
    <cellStyle name="Comma 4 2 5 5" xfId="1961" xr:uid="{00000000-0005-0000-0000-0000EF080000}"/>
    <cellStyle name="Comma 4 2 5 5 2" xfId="4190" xr:uid="{00000000-0005-0000-0000-0000F0080000}"/>
    <cellStyle name="Comma 4 2 5 5 2 2" xfId="8412" xr:uid="{00000000-0005-0000-0000-0000F1080000}"/>
    <cellStyle name="Comma 4 2 5 5 2 2 2" xfId="27038" xr:uid="{DE16FE74-62A7-4D18-A7E6-C76C07BAD410}"/>
    <cellStyle name="Comma 4 2 5 5 2 2 3" xfId="35485" xr:uid="{3F34B5A5-232D-42FE-9A5C-9AF462A60157}"/>
    <cellStyle name="Comma 4 2 5 5 2 2 4" xfId="43932" xr:uid="{47ECC69C-3B0D-4295-8EC3-A584E656DED4}"/>
    <cellStyle name="Comma 4 2 5 5 2 2 5" xfId="17738" xr:uid="{30D4A9D8-35B2-4A27-9ED3-01F03F073299}"/>
    <cellStyle name="Comma 4 2 5 5 2 3" xfId="22821" xr:uid="{49A02D2C-06AC-4A42-B8DD-9E0A1357BD64}"/>
    <cellStyle name="Comma 4 2 5 5 2 4" xfId="31268" xr:uid="{B1C3DBCE-08E2-4FC6-B926-0981CC08D841}"/>
    <cellStyle name="Comma 4 2 5 5 2 5" xfId="39715" xr:uid="{5F70261F-198F-4DAF-B4F6-3A6675BD14AD}"/>
    <cellStyle name="Comma 4 2 5 5 2 6" xfId="13521" xr:uid="{BA7C0356-5029-408F-9006-4E3113C595D3}"/>
    <cellStyle name="Comma 4 2 5 5 3" xfId="6267" xr:uid="{00000000-0005-0000-0000-0000F2080000}"/>
    <cellStyle name="Comma 4 2 5 5 3 2" xfId="24893" xr:uid="{B66CE7DC-AA16-4317-BB13-1B5DD33CC12A}"/>
    <cellStyle name="Comma 4 2 5 5 3 3" xfId="33340" xr:uid="{F8697E4E-058C-421F-8B5A-C61CA312D40E}"/>
    <cellStyle name="Comma 4 2 5 5 3 4" xfId="41787" xr:uid="{0F6863C5-9621-495E-BF45-11A746427F1B}"/>
    <cellStyle name="Comma 4 2 5 5 3 5" xfId="15593" xr:uid="{2AFAC959-23FF-4081-AB22-936DFB7EBAF8}"/>
    <cellStyle name="Comma 4 2 5 5 4" xfId="20676" xr:uid="{83D6AF98-6F4E-42E1-8B46-6C565C4E146F}"/>
    <cellStyle name="Comma 4 2 5 5 5" xfId="29123" xr:uid="{6DB3BD3F-099D-40E0-9C54-DD1639D4F35E}"/>
    <cellStyle name="Comma 4 2 5 5 6" xfId="37570" xr:uid="{335922FF-170A-4A79-85D2-9B00D2154CBC}"/>
    <cellStyle name="Comma 4 2 5 5 7" xfId="11376" xr:uid="{4F759601-0518-413F-B597-6F8C293035C2}"/>
    <cellStyle name="Comma 4 2 5 6" xfId="2396" xr:uid="{00000000-0005-0000-0000-0000F3080000}"/>
    <cellStyle name="Comma 4 2 5 6 2" xfId="6680" xr:uid="{00000000-0005-0000-0000-0000F4080000}"/>
    <cellStyle name="Comma 4 2 5 6 2 2" xfId="25306" xr:uid="{5ECEF04C-D7CB-4088-9DF8-D24090D7A96F}"/>
    <cellStyle name="Comma 4 2 5 6 2 3" xfId="33753" xr:uid="{76DF1BB4-7C48-4E3C-8DFB-816CE5167779}"/>
    <cellStyle name="Comma 4 2 5 6 2 4" xfId="42200" xr:uid="{16E7CF5E-3DF9-43BE-9E2C-F1F107F0D9E4}"/>
    <cellStyle name="Comma 4 2 5 6 2 5" xfId="16006" xr:uid="{A6D8B913-7EE7-4DA1-89A4-D8BE1ABD8232}"/>
    <cellStyle name="Comma 4 2 5 6 3" xfId="21089" xr:uid="{4DB7B1B3-4BD3-427B-867B-183BAAF4FDFD}"/>
    <cellStyle name="Comma 4 2 5 6 4" xfId="29536" xr:uid="{950CC8DC-01DB-41B2-A925-3534C0D75E6A}"/>
    <cellStyle name="Comma 4 2 5 6 5" xfId="37983" xr:uid="{18979114-7023-4F17-906D-71315BF0A059}"/>
    <cellStyle name="Comma 4 2 5 6 6" xfId="11789" xr:uid="{FD9EA8FF-3542-4593-983F-99C54FB006FE}"/>
    <cellStyle name="Comma 4 2 5 7" xfId="2367" xr:uid="{00000000-0005-0000-0000-0000F5080000}"/>
    <cellStyle name="Comma 4 2 5 8" xfId="2774" xr:uid="{00000000-0005-0000-0000-0000F6080000}"/>
    <cellStyle name="Comma 4 2 5 8 2" xfId="6997" xr:uid="{00000000-0005-0000-0000-0000F7080000}"/>
    <cellStyle name="Comma 4 2 5 8 2 2" xfId="25623" xr:uid="{D450B906-E527-4821-886E-72F9646F2035}"/>
    <cellStyle name="Comma 4 2 5 8 2 3" xfId="34070" xr:uid="{C9986697-40A7-4CAD-8A6F-EFAB73D54D84}"/>
    <cellStyle name="Comma 4 2 5 8 2 4" xfId="42517" xr:uid="{01F6001C-45E9-490C-AFA2-557C7038293D}"/>
    <cellStyle name="Comma 4 2 5 8 2 5" xfId="16323" xr:uid="{3DB7BCA3-BE8D-40C5-95E9-A849BDE3223C}"/>
    <cellStyle name="Comma 4 2 5 8 3" xfId="21406" xr:uid="{926F9B70-E5B1-47D8-903C-4B72342F5365}"/>
    <cellStyle name="Comma 4 2 5 8 4" xfId="29853" xr:uid="{6E59523A-2B92-4A81-9B99-B987AFA6EB54}"/>
    <cellStyle name="Comma 4 2 5 8 5" xfId="38300" xr:uid="{6D75D7BF-C230-4D7C-A40B-7D69DCDE60D7}"/>
    <cellStyle name="Comma 4 2 5 8 6" xfId="12106" xr:uid="{3AF80DE7-DA10-45BB-BEE6-A5DA96FA95BD}"/>
    <cellStyle name="Comma 4 2 5 9" xfId="4614" xr:uid="{00000000-0005-0000-0000-0000F8080000}"/>
    <cellStyle name="Comma 4 2 5 9 2" xfId="23240" xr:uid="{4C68A579-45D3-496D-8E18-FD9F1E5DB2E9}"/>
    <cellStyle name="Comma 4 2 5 9 3" xfId="31687" xr:uid="{85B222B2-CF69-4FD7-90F3-3C1434C7F5F9}"/>
    <cellStyle name="Comma 4 2 5 9 4" xfId="40134" xr:uid="{1EAB72E1-5858-491C-B10C-7DE50A85CC76}"/>
    <cellStyle name="Comma 4 2 5 9 5" xfId="13940" xr:uid="{E1EDC896-9DAB-4202-9EE8-D23DB8F26A3A}"/>
    <cellStyle name="Comma 4 2 6" xfId="143" xr:uid="{00000000-0005-0000-0000-0000F9080000}"/>
    <cellStyle name="Comma 4 2 6 10" xfId="9177" xr:uid="{A20A3B72-7630-464F-8E57-DA2B9D6E44FB}"/>
    <cellStyle name="Comma 4 2 6 10 2" xfId="18496" xr:uid="{4FF8D368-B750-4575-A184-92C93E1CD5CF}"/>
    <cellStyle name="Comma 4 2 6 11" xfId="19024" xr:uid="{ACFA8C6B-7545-4EC0-B443-5213D549E4FA}"/>
    <cellStyle name="Comma 4 2 6 12" xfId="27471" xr:uid="{24A6877E-90B9-49C5-8CF8-0CD3988BACD9}"/>
    <cellStyle name="Comma 4 2 6 13" xfId="35918" xr:uid="{C7DC1481-A90F-454C-AD07-BE0F46F082A9}"/>
    <cellStyle name="Comma 4 2 6 14" xfId="9724" xr:uid="{A67BA79F-34B3-4475-B5A0-C6E3C3ABEB92}"/>
    <cellStyle name="Comma 4 2 6 2" xfId="681" xr:uid="{00000000-0005-0000-0000-0000FA080000}"/>
    <cellStyle name="Comma 4 2 6 2 2" xfId="2952" xr:uid="{00000000-0005-0000-0000-0000FB080000}"/>
    <cellStyle name="Comma 4 2 6 2 2 2" xfId="7174" xr:uid="{00000000-0005-0000-0000-0000FC080000}"/>
    <cellStyle name="Comma 4 2 6 2 2 2 2" xfId="25800" xr:uid="{A38366CF-0F30-4C0C-BB74-156E7D05EBEA}"/>
    <cellStyle name="Comma 4 2 6 2 2 2 3" xfId="34247" xr:uid="{B8A755F2-0DBB-40E1-BE48-0FA3806344D0}"/>
    <cellStyle name="Comma 4 2 6 2 2 2 4" xfId="42694" xr:uid="{B8E6CABA-1E95-42C0-81D2-277C1CD92A4A}"/>
    <cellStyle name="Comma 4 2 6 2 2 2 5" xfId="16500" xr:uid="{A1C6E29A-FE6A-41B9-8DFD-FEF789784DB0}"/>
    <cellStyle name="Comma 4 2 6 2 2 3" xfId="21583" xr:uid="{A97E3D79-75AF-462C-9D30-0A61797D2989}"/>
    <cellStyle name="Comma 4 2 6 2 2 4" xfId="30030" xr:uid="{8605C0A4-21DE-407B-8C00-27387C12B970}"/>
    <cellStyle name="Comma 4 2 6 2 2 5" xfId="38477" xr:uid="{F6443A92-CB2A-4433-896D-B079ED26653F}"/>
    <cellStyle name="Comma 4 2 6 2 2 6" xfId="12283" xr:uid="{44D9DA47-9103-4EB1-AB15-3CB8459CD191}"/>
    <cellStyle name="Comma 4 2 6 2 3" xfId="5029" xr:uid="{00000000-0005-0000-0000-0000FD080000}"/>
    <cellStyle name="Comma 4 2 6 2 3 2" xfId="23655" xr:uid="{6ECC76B0-394A-4F4D-B9B4-0DE69BF4F022}"/>
    <cellStyle name="Comma 4 2 6 2 3 3" xfId="32102" xr:uid="{9CA57B11-6AE2-46E0-9C5F-3474656B2359}"/>
    <cellStyle name="Comma 4 2 6 2 3 4" xfId="40549" xr:uid="{DFCBCAE2-B6AD-466E-85CB-B6EDC7746A9F}"/>
    <cellStyle name="Comma 4 2 6 2 3 5" xfId="14355" xr:uid="{D2DD2C34-ED57-4FC9-BC5D-0B9C58132156}"/>
    <cellStyle name="Comma 4 2 6 2 4" xfId="9594" xr:uid="{CCB8D3FE-19FC-4F7F-9966-44FD23A1A32A}"/>
    <cellStyle name="Comma 4 2 6 2 4 2" xfId="18899" xr:uid="{BB3E4D89-14EF-4FA6-92B6-6A98177284D5}"/>
    <cellStyle name="Comma 4 2 6 2 5" xfId="19438" xr:uid="{D6DFFC36-9392-4CD9-BDB1-3B75E63BBB59}"/>
    <cellStyle name="Comma 4 2 6 2 6" xfId="27885" xr:uid="{C257FC1E-CF82-4A22-BE09-C347C99FA376}"/>
    <cellStyle name="Comma 4 2 6 2 7" xfId="36332" xr:uid="{179C643F-C7B3-4B7D-9AFE-0924B74FBCFC}"/>
    <cellStyle name="Comma 4 2 6 2 8" xfId="10138" xr:uid="{D9A36264-54B2-4BD9-8001-E4B8990DA330}"/>
    <cellStyle name="Comma 4 2 6 3" xfId="1134" xr:uid="{00000000-0005-0000-0000-0000FE080000}"/>
    <cellStyle name="Comma 4 2 6 3 2" xfId="3365" xr:uid="{00000000-0005-0000-0000-0000FF080000}"/>
    <cellStyle name="Comma 4 2 6 3 2 2" xfId="7587" xr:uid="{00000000-0005-0000-0000-000000090000}"/>
    <cellStyle name="Comma 4 2 6 3 2 2 2" xfId="26213" xr:uid="{E03A36FA-8589-49DB-A995-F06BFA492FF0}"/>
    <cellStyle name="Comma 4 2 6 3 2 2 3" xfId="34660" xr:uid="{A2B06613-CFD9-44A3-B4B1-EA92514EAE2F}"/>
    <cellStyle name="Comma 4 2 6 3 2 2 4" xfId="43107" xr:uid="{4F847CF6-BA78-4A6A-B1FF-5A07F6F8FE8C}"/>
    <cellStyle name="Comma 4 2 6 3 2 2 5" xfId="16913" xr:uid="{24334093-CCEF-49FA-B8FA-330DEDF7B913}"/>
    <cellStyle name="Comma 4 2 6 3 2 3" xfId="21996" xr:uid="{5EB7138A-2754-466E-AC6C-9C501429FC6D}"/>
    <cellStyle name="Comma 4 2 6 3 2 4" xfId="30443" xr:uid="{7385BC0E-15C7-46CB-A9E2-23AEE847AA25}"/>
    <cellStyle name="Comma 4 2 6 3 2 5" xfId="38890" xr:uid="{006F9890-0E71-4747-9BBF-2C5E414217F7}"/>
    <cellStyle name="Comma 4 2 6 3 2 6" xfId="12696" xr:uid="{D43178F7-1F1D-4467-91B6-8E4A4429FE5D}"/>
    <cellStyle name="Comma 4 2 6 3 3" xfId="5442" xr:uid="{00000000-0005-0000-0000-000001090000}"/>
    <cellStyle name="Comma 4 2 6 3 3 2" xfId="24068" xr:uid="{7FDAF5FE-FC8D-4360-B2E0-F91BB21EBE59}"/>
    <cellStyle name="Comma 4 2 6 3 3 3" xfId="32515" xr:uid="{78DA98D6-D044-4F91-A417-49427096074A}"/>
    <cellStyle name="Comma 4 2 6 3 3 4" xfId="40962" xr:uid="{585AE853-388B-4470-B2F5-7C6B0C0A3A1B}"/>
    <cellStyle name="Comma 4 2 6 3 3 5" xfId="14768" xr:uid="{6288C986-1B0A-4862-8BB4-8E3B777ADE16}"/>
    <cellStyle name="Comma 4 2 6 3 4" xfId="19851" xr:uid="{81E60123-A33C-46F0-9298-E6EDCAACAD28}"/>
    <cellStyle name="Comma 4 2 6 3 5" xfId="28298" xr:uid="{798FDA28-6A48-4BE2-BE37-F91B4608AD49}"/>
    <cellStyle name="Comma 4 2 6 3 6" xfId="36745" xr:uid="{3234ABA9-4AFD-4EA7-A557-DF2DC477EFA4}"/>
    <cellStyle name="Comma 4 2 6 3 7" xfId="10551" xr:uid="{90971ED8-3FBD-4CD0-AFCF-476FE205ED06}"/>
    <cellStyle name="Comma 4 2 6 4" xfId="1548" xr:uid="{00000000-0005-0000-0000-000002090000}"/>
    <cellStyle name="Comma 4 2 6 4 2" xfId="3778" xr:uid="{00000000-0005-0000-0000-000003090000}"/>
    <cellStyle name="Comma 4 2 6 4 2 2" xfId="8000" xr:uid="{00000000-0005-0000-0000-000004090000}"/>
    <cellStyle name="Comma 4 2 6 4 2 2 2" xfId="26626" xr:uid="{7B9FFE2E-5E4D-4993-B09B-122D66EA6AB2}"/>
    <cellStyle name="Comma 4 2 6 4 2 2 3" xfId="35073" xr:uid="{542906A6-0FFF-4A2F-AF80-B45FD0BEB2B3}"/>
    <cellStyle name="Comma 4 2 6 4 2 2 4" xfId="43520" xr:uid="{AC100075-E58E-4E87-9E3F-CB6048AA3E63}"/>
    <cellStyle name="Comma 4 2 6 4 2 2 5" xfId="17326" xr:uid="{886F060B-31F8-4597-9B3F-3A635517C642}"/>
    <cellStyle name="Comma 4 2 6 4 2 3" xfId="22409" xr:uid="{9F029809-D6B0-4D8E-986A-0D7277E5BA9B}"/>
    <cellStyle name="Comma 4 2 6 4 2 4" xfId="30856" xr:uid="{50ED52D9-FFFF-4EE1-95BD-07CF8ADEE2A6}"/>
    <cellStyle name="Comma 4 2 6 4 2 5" xfId="39303" xr:uid="{3ACF6BB1-E4DA-41A0-A602-F5BA796DF973}"/>
    <cellStyle name="Comma 4 2 6 4 2 6" xfId="13109" xr:uid="{54F4B8F8-80DB-4F5D-98CD-9E5252232DA1}"/>
    <cellStyle name="Comma 4 2 6 4 3" xfId="5855" xr:uid="{00000000-0005-0000-0000-000005090000}"/>
    <cellStyle name="Comma 4 2 6 4 3 2" xfId="24481" xr:uid="{21FDA36F-A574-4332-9F6F-127951E958B2}"/>
    <cellStyle name="Comma 4 2 6 4 3 3" xfId="32928" xr:uid="{68BD65EF-2A6B-4B69-88B3-808C3CE0D00F}"/>
    <cellStyle name="Comma 4 2 6 4 3 4" xfId="41375" xr:uid="{CD65EB52-C934-41F3-8E0B-126775B81A82}"/>
    <cellStyle name="Comma 4 2 6 4 3 5" xfId="15181" xr:uid="{72121E06-52D1-4CF3-AB6D-39B941005147}"/>
    <cellStyle name="Comma 4 2 6 4 4" xfId="20264" xr:uid="{6C02EEB2-97D4-4349-9586-6E1F6CCD798D}"/>
    <cellStyle name="Comma 4 2 6 4 5" xfId="28711" xr:uid="{55D968F4-438E-4E8E-8C17-7FCB574C1DA4}"/>
    <cellStyle name="Comma 4 2 6 4 6" xfId="37158" xr:uid="{6778A135-4F04-4F88-B266-99565215F3CA}"/>
    <cellStyle name="Comma 4 2 6 4 7" xfId="10964" xr:uid="{C1A1B6C0-D01A-4693-B582-B09519EAB035}"/>
    <cellStyle name="Comma 4 2 6 5" xfId="1962" xr:uid="{00000000-0005-0000-0000-000006090000}"/>
    <cellStyle name="Comma 4 2 6 5 2" xfId="4191" xr:uid="{00000000-0005-0000-0000-000007090000}"/>
    <cellStyle name="Comma 4 2 6 5 2 2" xfId="8413" xr:uid="{00000000-0005-0000-0000-000008090000}"/>
    <cellStyle name="Comma 4 2 6 5 2 2 2" xfId="27039" xr:uid="{384F20D8-FC9D-447B-B809-C14FAD3DAB66}"/>
    <cellStyle name="Comma 4 2 6 5 2 2 3" xfId="35486" xr:uid="{0D3F7F98-D255-4420-823F-116676B18E1D}"/>
    <cellStyle name="Comma 4 2 6 5 2 2 4" xfId="43933" xr:uid="{A765545B-43DE-4F2D-A3DD-627B8777A7AF}"/>
    <cellStyle name="Comma 4 2 6 5 2 2 5" xfId="17739" xr:uid="{16622DC6-C45C-475B-9291-9CB0239142D6}"/>
    <cellStyle name="Comma 4 2 6 5 2 3" xfId="22822" xr:uid="{64A192C0-7845-43C8-8817-17E670A15847}"/>
    <cellStyle name="Comma 4 2 6 5 2 4" xfId="31269" xr:uid="{3091D005-694C-4EF0-8DEB-A5EBDA9C417D}"/>
    <cellStyle name="Comma 4 2 6 5 2 5" xfId="39716" xr:uid="{4DFE3F30-3C91-4084-A334-D4BE16B5845B}"/>
    <cellStyle name="Comma 4 2 6 5 2 6" xfId="13522" xr:uid="{8F2E6513-38BA-4A91-8988-06DAA6A79EE0}"/>
    <cellStyle name="Comma 4 2 6 5 3" xfId="6268" xr:uid="{00000000-0005-0000-0000-000009090000}"/>
    <cellStyle name="Comma 4 2 6 5 3 2" xfId="24894" xr:uid="{027D3DDC-AF3B-4372-AA0A-E313402CCD27}"/>
    <cellStyle name="Comma 4 2 6 5 3 3" xfId="33341" xr:uid="{A7178E08-6EC8-4824-B3AB-C51D8F129F00}"/>
    <cellStyle name="Comma 4 2 6 5 3 4" xfId="41788" xr:uid="{F7DCCF8D-9EE8-490C-827F-7BDD707B4AB0}"/>
    <cellStyle name="Comma 4 2 6 5 3 5" xfId="15594" xr:uid="{50F9080E-0DE2-42E7-94E1-E84FDAABF0FB}"/>
    <cellStyle name="Comma 4 2 6 5 4" xfId="20677" xr:uid="{BECB0C18-B106-4369-88DA-7BFBB1D17B06}"/>
    <cellStyle name="Comma 4 2 6 5 5" xfId="29124" xr:uid="{50234464-EAA3-434B-B0A9-1D0201605898}"/>
    <cellStyle name="Comma 4 2 6 5 6" xfId="37571" xr:uid="{E16D9C70-4D78-4771-8A24-15DEB1732D74}"/>
    <cellStyle name="Comma 4 2 6 5 7" xfId="11377" xr:uid="{D2328467-071C-47F5-ACE6-78A91F356B22}"/>
    <cellStyle name="Comma 4 2 6 6" xfId="2397" xr:uid="{00000000-0005-0000-0000-00000A090000}"/>
    <cellStyle name="Comma 4 2 6 6 2" xfId="6681" xr:uid="{00000000-0005-0000-0000-00000B090000}"/>
    <cellStyle name="Comma 4 2 6 6 2 2" xfId="25307" xr:uid="{0173BDB7-8856-4AA8-B9E6-146AF95C26A0}"/>
    <cellStyle name="Comma 4 2 6 6 2 3" xfId="33754" xr:uid="{68C7DEAB-B25D-49DC-A0FF-C5A0FDBBEBF7}"/>
    <cellStyle name="Comma 4 2 6 6 2 4" xfId="42201" xr:uid="{9AD555DF-6E05-42A7-866B-09390054710E}"/>
    <cellStyle name="Comma 4 2 6 6 2 5" xfId="16007" xr:uid="{40A4E758-7182-4735-9FE5-AA7E5DB62C8C}"/>
    <cellStyle name="Comma 4 2 6 6 3" xfId="21090" xr:uid="{CBE371CE-725B-4099-A29B-53BF17E2A014}"/>
    <cellStyle name="Comma 4 2 6 6 4" xfId="29537" xr:uid="{34613E93-DE76-4F97-87CE-29F74E2F924E}"/>
    <cellStyle name="Comma 4 2 6 6 5" xfId="37984" xr:uid="{5A486BFF-B087-4A05-BC74-2F11795D8A3D}"/>
    <cellStyle name="Comma 4 2 6 6 6" xfId="11790" xr:uid="{B740D9A9-9594-4824-9C71-E6F7515A6DC6}"/>
    <cellStyle name="Comma 4 2 6 7" xfId="2366" xr:uid="{00000000-0005-0000-0000-00000C090000}"/>
    <cellStyle name="Comma 4 2 6 8" xfId="2775" xr:uid="{00000000-0005-0000-0000-00000D090000}"/>
    <cellStyle name="Comma 4 2 6 8 2" xfId="6998" xr:uid="{00000000-0005-0000-0000-00000E090000}"/>
    <cellStyle name="Comma 4 2 6 8 2 2" xfId="25624" xr:uid="{581699FC-FBB1-4562-9619-364E8616A51B}"/>
    <cellStyle name="Comma 4 2 6 8 2 3" xfId="34071" xr:uid="{5572FF44-A26F-4DB9-9FF9-7135176A42DB}"/>
    <cellStyle name="Comma 4 2 6 8 2 4" xfId="42518" xr:uid="{E06EF672-8616-47C3-9C46-40A3B51A36A3}"/>
    <cellStyle name="Comma 4 2 6 8 2 5" xfId="16324" xr:uid="{FC809C16-3BF3-41F8-B828-9C9566B2BBB3}"/>
    <cellStyle name="Comma 4 2 6 8 3" xfId="21407" xr:uid="{A8F5E858-33D3-4BBE-98A0-181A864E05AD}"/>
    <cellStyle name="Comma 4 2 6 8 4" xfId="29854" xr:uid="{E6144D7D-6E35-4FEC-B5EE-1C2DAEC31EDA}"/>
    <cellStyle name="Comma 4 2 6 8 5" xfId="38301" xr:uid="{18624CA3-9C55-40D6-A428-A357CEF70918}"/>
    <cellStyle name="Comma 4 2 6 8 6" xfId="12107" xr:uid="{FD3D22A5-3BC0-4B03-A7C3-23AC6D445E35}"/>
    <cellStyle name="Comma 4 2 6 9" xfId="4615" xr:uid="{00000000-0005-0000-0000-00000F090000}"/>
    <cellStyle name="Comma 4 2 6 9 2" xfId="23241" xr:uid="{34AD2A1B-D23A-4913-877B-7A395B0AE64F}"/>
    <cellStyle name="Comma 4 2 6 9 3" xfId="31688" xr:uid="{71D5F2BF-B920-47D5-914C-51C1F5345797}"/>
    <cellStyle name="Comma 4 2 6 9 4" xfId="40135" xr:uid="{0C44ADE1-7EDB-4542-895F-B23DC51D3746}"/>
    <cellStyle name="Comma 4 2 6 9 5" xfId="13941" xr:uid="{0CEB438A-60CE-4DA0-97B2-9479198EFB4A}"/>
    <cellStyle name="Comma 4 2 7" xfId="9190" xr:uid="{C8B7F6BD-E2DD-41C7-A6AF-A5C7B900A7ED}"/>
    <cellStyle name="Comma 4 2 8" xfId="8755" xr:uid="{40286204-C766-4116-8542-387551AD6364}"/>
    <cellStyle name="Comma 4 2 8 2" xfId="18079" xr:uid="{80E29AA9-E89E-45D2-9BB9-E0013FF5E5BD}"/>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0 2 2" xfId="25625" xr:uid="{4C2519D6-7CD2-4B09-9D18-6E319BCFB44A}"/>
    <cellStyle name="Comma 4 3 2 10 2 3" xfId="34072" xr:uid="{525DD53F-E3A8-4583-8EC3-DF602CF2F24F}"/>
    <cellStyle name="Comma 4 3 2 10 2 4" xfId="42519" xr:uid="{6DBD7B27-6136-4A52-910C-EB7CF668572A}"/>
    <cellStyle name="Comma 4 3 2 10 2 5" xfId="16325" xr:uid="{21F840A8-DAF2-405F-AB29-9B4230D5EF00}"/>
    <cellStyle name="Comma 4 3 2 10 3" xfId="21408" xr:uid="{902A8E9B-19B7-4AA6-9FD1-CCCC183213E0}"/>
    <cellStyle name="Comma 4 3 2 10 4" xfId="29855" xr:uid="{E9455B95-D041-4BC9-944B-3B3711C420BA}"/>
    <cellStyle name="Comma 4 3 2 10 5" xfId="38302" xr:uid="{50B34FD1-A807-4E50-879A-F2617A1D7A04}"/>
    <cellStyle name="Comma 4 3 2 10 6" xfId="12108" xr:uid="{686D7576-2FBF-4F69-9139-3843D70B4F41}"/>
    <cellStyle name="Comma 4 3 2 11" xfId="4616" xr:uid="{00000000-0005-0000-0000-000014090000}"/>
    <cellStyle name="Comma 4 3 2 11 2" xfId="23242" xr:uid="{08BA76DB-9D09-412D-84EE-B4920380D0ED}"/>
    <cellStyle name="Comma 4 3 2 11 3" xfId="31689" xr:uid="{6F6A9D82-A12E-47E5-B32C-70354CAA13B5}"/>
    <cellStyle name="Comma 4 3 2 11 4" xfId="40136" xr:uid="{191C5649-0B3C-4C96-A5C3-C2B8DE6DDA49}"/>
    <cellStyle name="Comma 4 3 2 11 5" xfId="13942" xr:uid="{70B4B17A-4AA8-401D-A25C-60C8AB193003}"/>
    <cellStyle name="Comma 4 3 2 12" xfId="8807" xr:uid="{5C5EF314-D0DB-425B-AE7D-D52FEEE90EC1}"/>
    <cellStyle name="Comma 4 3 2 12 2" xfId="18131" xr:uid="{991AA07A-058B-4910-8A92-1ED489E45028}"/>
    <cellStyle name="Comma 4 3 2 13" xfId="19025" xr:uid="{10148E4D-B519-4CB5-9701-141E8C1C5722}"/>
    <cellStyle name="Comma 4 3 2 14" xfId="27472" xr:uid="{E314D45B-1AAA-439D-A664-48615714B7E1}"/>
    <cellStyle name="Comma 4 3 2 15" xfId="35919" xr:uid="{24324736-0046-442F-A75F-99A248C943F9}"/>
    <cellStyle name="Comma 4 3 2 16" xfId="9725" xr:uid="{34FD23A1-5FCE-45A6-B993-574FB431C07C}"/>
    <cellStyle name="Comma 4 3 2 2" xfId="146" xr:uid="{00000000-0005-0000-0000-000015090000}"/>
    <cellStyle name="Comma 4 3 2 2 10" xfId="4617" xr:uid="{00000000-0005-0000-0000-000016090000}"/>
    <cellStyle name="Comma 4 3 2 2 10 2" xfId="23243" xr:uid="{50D772FD-9E07-4CB3-9B68-89D51AC77122}"/>
    <cellStyle name="Comma 4 3 2 2 10 3" xfId="31690" xr:uid="{4BAB14BC-C96F-4BDA-8D1E-566356D94B78}"/>
    <cellStyle name="Comma 4 3 2 2 10 4" xfId="40137" xr:uid="{2D954EF8-85FD-4D96-B6F7-DF6778F36608}"/>
    <cellStyle name="Comma 4 3 2 2 10 5" xfId="13943" xr:uid="{12E0EE4B-26FD-4AF7-9A5E-F7ADAFDE35BA}"/>
    <cellStyle name="Comma 4 3 2 2 11" xfId="8910" xr:uid="{15019DD0-71A0-438D-B796-68DE42B22692}"/>
    <cellStyle name="Comma 4 3 2 2 11 2" xfId="18234" xr:uid="{C55CD047-E4D7-462C-BEE8-6C87A2B84B18}"/>
    <cellStyle name="Comma 4 3 2 2 12" xfId="19026" xr:uid="{51C7C5DF-7804-4FF1-B520-65A3994B31C8}"/>
    <cellStyle name="Comma 4 3 2 2 13" xfId="27473" xr:uid="{6E284E2C-432A-47ED-9A88-DEFB995B7742}"/>
    <cellStyle name="Comma 4 3 2 2 14" xfId="35920" xr:uid="{688F89D5-E262-4F90-BBC1-83FD7E5F32A9}"/>
    <cellStyle name="Comma 4 3 2 2 15" xfId="9726" xr:uid="{3A208BFC-9948-456A-A37C-878975D28284}"/>
    <cellStyle name="Comma 4 3 2 2 2" xfId="147" xr:uid="{00000000-0005-0000-0000-000017090000}"/>
    <cellStyle name="Comma 4 3 2 2 2 10" xfId="9117" xr:uid="{1409F531-DBF2-41E0-9C74-F9317358BA15}"/>
    <cellStyle name="Comma 4 3 2 2 2 10 2" xfId="18441" xr:uid="{7DD91EB6-1A5F-4883-BCA0-45B660002857}"/>
    <cellStyle name="Comma 4 3 2 2 2 11" xfId="19027" xr:uid="{B6C58A17-2D2D-4347-AAD1-BD56A6089493}"/>
    <cellStyle name="Comma 4 3 2 2 2 12" xfId="27474" xr:uid="{B1412A21-C50E-4989-B53D-9187E17DC856}"/>
    <cellStyle name="Comma 4 3 2 2 2 13" xfId="35921" xr:uid="{72F14841-8157-4C9A-B7BB-342ABAE4E674}"/>
    <cellStyle name="Comma 4 3 2 2 2 14" xfId="9727" xr:uid="{16857137-AD94-4DA1-84ED-F7A993707649}"/>
    <cellStyle name="Comma 4 3 2 2 2 2" xfId="684" xr:uid="{00000000-0005-0000-0000-000018090000}"/>
    <cellStyle name="Comma 4 3 2 2 2 2 2" xfId="2955" xr:uid="{00000000-0005-0000-0000-000019090000}"/>
    <cellStyle name="Comma 4 3 2 2 2 2 2 2" xfId="7177" xr:uid="{00000000-0005-0000-0000-00001A090000}"/>
    <cellStyle name="Comma 4 3 2 2 2 2 2 2 2" xfId="25803" xr:uid="{44A77439-FC60-4BCE-95EC-769D558032E2}"/>
    <cellStyle name="Comma 4 3 2 2 2 2 2 2 3" xfId="34250" xr:uid="{6AB7A0AA-582D-4F42-A599-654F69F9D63E}"/>
    <cellStyle name="Comma 4 3 2 2 2 2 2 2 4" xfId="42697" xr:uid="{8FD10975-34E1-4B88-8ECA-E4F03F95EC1E}"/>
    <cellStyle name="Comma 4 3 2 2 2 2 2 2 5" xfId="16503" xr:uid="{288A6197-3ACA-4CA6-B2A6-E176E3AEA517}"/>
    <cellStyle name="Comma 4 3 2 2 2 2 2 3" xfId="21586" xr:uid="{E5A3DDEB-0491-4EB6-9E4C-AC9154F37AA4}"/>
    <cellStyle name="Comma 4 3 2 2 2 2 2 4" xfId="30033" xr:uid="{7B01DCE6-7E86-4158-A055-BE4D02211DBB}"/>
    <cellStyle name="Comma 4 3 2 2 2 2 2 5" xfId="38480" xr:uid="{16137CA9-CA70-4DFE-861A-8224A9989E59}"/>
    <cellStyle name="Comma 4 3 2 2 2 2 2 6" xfId="12286" xr:uid="{31E488E5-B328-4EE0-8EB6-F867CE029290}"/>
    <cellStyle name="Comma 4 3 2 2 2 2 3" xfId="5032" xr:uid="{00000000-0005-0000-0000-00001B090000}"/>
    <cellStyle name="Comma 4 3 2 2 2 2 3 2" xfId="23658" xr:uid="{EB57722D-30AB-4BFF-B481-FC933A5021C0}"/>
    <cellStyle name="Comma 4 3 2 2 2 2 3 3" xfId="32105" xr:uid="{A35C03F7-8719-4A27-B7AD-1FC5B2C37E75}"/>
    <cellStyle name="Comma 4 3 2 2 2 2 3 4" xfId="40552" xr:uid="{F9BDED89-5E01-4981-A94A-B509935B14FD}"/>
    <cellStyle name="Comma 4 3 2 2 2 2 3 5" xfId="14358" xr:uid="{0847AB12-B872-44AC-AA14-FC821F54FC38}"/>
    <cellStyle name="Comma 4 3 2 2 2 2 4" xfId="9542" xr:uid="{26CD77CC-F017-4839-8245-BBF245D45E53}"/>
    <cellStyle name="Comma 4 3 2 2 2 2 4 2" xfId="18858" xr:uid="{3EAD5C23-5C0E-424B-8842-8979A0E19EF3}"/>
    <cellStyle name="Comma 4 3 2 2 2 2 5" xfId="19441" xr:uid="{8F11C72F-1238-41CE-8965-4A21818670C1}"/>
    <cellStyle name="Comma 4 3 2 2 2 2 6" xfId="27888" xr:uid="{603AC274-D44B-4616-8AFB-01F735673B53}"/>
    <cellStyle name="Comma 4 3 2 2 2 2 7" xfId="36335" xr:uid="{CC5B660E-A7C8-4347-AB9B-236470EFECCF}"/>
    <cellStyle name="Comma 4 3 2 2 2 2 8" xfId="10141" xr:uid="{11D50788-A18D-4A1B-8393-4103D9779F6B}"/>
    <cellStyle name="Comma 4 3 2 2 2 3" xfId="1137" xr:uid="{00000000-0005-0000-0000-00001C090000}"/>
    <cellStyle name="Comma 4 3 2 2 2 3 2" xfId="3368" xr:uid="{00000000-0005-0000-0000-00001D090000}"/>
    <cellStyle name="Comma 4 3 2 2 2 3 2 2" xfId="7590" xr:uid="{00000000-0005-0000-0000-00001E090000}"/>
    <cellStyle name="Comma 4 3 2 2 2 3 2 2 2" xfId="26216" xr:uid="{61DDF55C-1FBC-464F-8EC2-700149D0B088}"/>
    <cellStyle name="Comma 4 3 2 2 2 3 2 2 3" xfId="34663" xr:uid="{DCE10F6D-4F82-4BA1-B2CF-0B35356BD0CE}"/>
    <cellStyle name="Comma 4 3 2 2 2 3 2 2 4" xfId="43110" xr:uid="{7375C19F-721E-4AEA-9B97-05DA69113135}"/>
    <cellStyle name="Comma 4 3 2 2 2 3 2 2 5" xfId="16916" xr:uid="{0D3EDD72-EAB1-4295-87A1-D6B2A54D0F59}"/>
    <cellStyle name="Comma 4 3 2 2 2 3 2 3" xfId="21999" xr:uid="{DE70613F-942D-4522-85C7-0AB55EAFE79A}"/>
    <cellStyle name="Comma 4 3 2 2 2 3 2 4" xfId="30446" xr:uid="{2C9AD0AD-A4D2-42B4-A90E-3167887981D5}"/>
    <cellStyle name="Comma 4 3 2 2 2 3 2 5" xfId="38893" xr:uid="{D175B627-88CB-4A0F-9CF7-9F0808D620F6}"/>
    <cellStyle name="Comma 4 3 2 2 2 3 2 6" xfId="12699" xr:uid="{AB75DF57-82C6-4A64-B305-53343D84C75C}"/>
    <cellStyle name="Comma 4 3 2 2 2 3 3" xfId="5445" xr:uid="{00000000-0005-0000-0000-00001F090000}"/>
    <cellStyle name="Comma 4 3 2 2 2 3 3 2" xfId="24071" xr:uid="{608839A0-D449-43E7-BF48-C5C7960FCB8C}"/>
    <cellStyle name="Comma 4 3 2 2 2 3 3 3" xfId="32518" xr:uid="{17583C2C-6297-49BB-909C-02478523F05C}"/>
    <cellStyle name="Comma 4 3 2 2 2 3 3 4" xfId="40965" xr:uid="{8FEA86A6-6807-4CF6-A337-F4370501192A}"/>
    <cellStyle name="Comma 4 3 2 2 2 3 3 5" xfId="14771" xr:uid="{49969EC5-E22D-4DF6-9270-E92C6EA0C698}"/>
    <cellStyle name="Comma 4 3 2 2 2 3 4" xfId="19854" xr:uid="{648DFC09-8947-4A62-A2B3-6FA62F34DA28}"/>
    <cellStyle name="Comma 4 3 2 2 2 3 5" xfId="28301" xr:uid="{A7707469-06DD-4165-A67A-174E16276587}"/>
    <cellStyle name="Comma 4 3 2 2 2 3 6" xfId="36748" xr:uid="{DB36085C-A9B1-43CB-BAC9-7A78DE1106B2}"/>
    <cellStyle name="Comma 4 3 2 2 2 3 7" xfId="10554" xr:uid="{1301AAA9-2A27-4397-A6AA-D56B64569186}"/>
    <cellStyle name="Comma 4 3 2 2 2 4" xfId="1551" xr:uid="{00000000-0005-0000-0000-000020090000}"/>
    <cellStyle name="Comma 4 3 2 2 2 4 2" xfId="3781" xr:uid="{00000000-0005-0000-0000-000021090000}"/>
    <cellStyle name="Comma 4 3 2 2 2 4 2 2" xfId="8003" xr:uid="{00000000-0005-0000-0000-000022090000}"/>
    <cellStyle name="Comma 4 3 2 2 2 4 2 2 2" xfId="26629" xr:uid="{89C9F0E2-CA52-407E-9A06-CEC6BFE768BF}"/>
    <cellStyle name="Comma 4 3 2 2 2 4 2 2 3" xfId="35076" xr:uid="{B7D70436-ED36-4BC6-8055-AA985B014AFE}"/>
    <cellStyle name="Comma 4 3 2 2 2 4 2 2 4" xfId="43523" xr:uid="{0397DE56-EDBC-4652-96D5-E8730A2D5C12}"/>
    <cellStyle name="Comma 4 3 2 2 2 4 2 2 5" xfId="17329" xr:uid="{95593346-262B-4B5F-8F8E-6061552C39B2}"/>
    <cellStyle name="Comma 4 3 2 2 2 4 2 3" xfId="22412" xr:uid="{AFC5C855-BAEF-48C2-BF6A-741FAE99DAF9}"/>
    <cellStyle name="Comma 4 3 2 2 2 4 2 4" xfId="30859" xr:uid="{FEEA7EA4-18C7-465F-BB11-955B2B891BAF}"/>
    <cellStyle name="Comma 4 3 2 2 2 4 2 5" xfId="39306" xr:uid="{E1820B2A-E1B7-4C2B-B4C7-CE3D855CDEAF}"/>
    <cellStyle name="Comma 4 3 2 2 2 4 2 6" xfId="13112" xr:uid="{9F0AE2EC-28A1-41B1-94EE-E46C03F19C3C}"/>
    <cellStyle name="Comma 4 3 2 2 2 4 3" xfId="5858" xr:uid="{00000000-0005-0000-0000-000023090000}"/>
    <cellStyle name="Comma 4 3 2 2 2 4 3 2" xfId="24484" xr:uid="{971D5C82-7618-44DE-AF29-5AF61BD04D60}"/>
    <cellStyle name="Comma 4 3 2 2 2 4 3 3" xfId="32931" xr:uid="{4EFB06D5-5122-4D01-9A2C-5AB3404A5263}"/>
    <cellStyle name="Comma 4 3 2 2 2 4 3 4" xfId="41378" xr:uid="{0CE628FB-82E8-43A1-A92B-132AFBAF9682}"/>
    <cellStyle name="Comma 4 3 2 2 2 4 3 5" xfId="15184" xr:uid="{355E1A2F-98D5-47AD-AD77-E2DE012C8859}"/>
    <cellStyle name="Comma 4 3 2 2 2 4 4" xfId="20267" xr:uid="{D13FF0ED-F607-4F7D-A610-3A85F4736A1E}"/>
    <cellStyle name="Comma 4 3 2 2 2 4 5" xfId="28714" xr:uid="{53577658-0940-4580-B9F3-BBA30225871C}"/>
    <cellStyle name="Comma 4 3 2 2 2 4 6" xfId="37161" xr:uid="{A6A11C65-D304-4AA1-809D-7314DD849B5C}"/>
    <cellStyle name="Comma 4 3 2 2 2 4 7" xfId="10967" xr:uid="{84980BB5-6CDF-41E2-A885-CBF7033FF524}"/>
    <cellStyle name="Comma 4 3 2 2 2 5" xfId="1965" xr:uid="{00000000-0005-0000-0000-000024090000}"/>
    <cellStyle name="Comma 4 3 2 2 2 5 2" xfId="4194" xr:uid="{00000000-0005-0000-0000-000025090000}"/>
    <cellStyle name="Comma 4 3 2 2 2 5 2 2" xfId="8416" xr:uid="{00000000-0005-0000-0000-000026090000}"/>
    <cellStyle name="Comma 4 3 2 2 2 5 2 2 2" xfId="27042" xr:uid="{CC36DB85-9010-4D1F-BEFF-B4D9BAD2D532}"/>
    <cellStyle name="Comma 4 3 2 2 2 5 2 2 3" xfId="35489" xr:uid="{18DE09CE-8BAB-4E00-835D-15E774DB7F51}"/>
    <cellStyle name="Comma 4 3 2 2 2 5 2 2 4" xfId="43936" xr:uid="{B7E9A7DD-5FD3-43B0-B8AF-8F2704103ED2}"/>
    <cellStyle name="Comma 4 3 2 2 2 5 2 2 5" xfId="17742" xr:uid="{2CD900AD-1781-402F-A9E1-AEA5D02272E4}"/>
    <cellStyle name="Comma 4 3 2 2 2 5 2 3" xfId="22825" xr:uid="{70A7C947-E644-42C3-BE2A-404A873787C0}"/>
    <cellStyle name="Comma 4 3 2 2 2 5 2 4" xfId="31272" xr:uid="{94EDB953-D2DD-4DA5-B73F-BBF98CD2F6D0}"/>
    <cellStyle name="Comma 4 3 2 2 2 5 2 5" xfId="39719" xr:uid="{047C7777-98B5-47B1-A821-CE43C1A8634C}"/>
    <cellStyle name="Comma 4 3 2 2 2 5 2 6" xfId="13525" xr:uid="{03AC28CC-6B25-442F-A31E-F34115444CFE}"/>
    <cellStyle name="Comma 4 3 2 2 2 5 3" xfId="6271" xr:uid="{00000000-0005-0000-0000-000027090000}"/>
    <cellStyle name="Comma 4 3 2 2 2 5 3 2" xfId="24897" xr:uid="{27879CC7-36AA-4F61-B051-D12837413B34}"/>
    <cellStyle name="Comma 4 3 2 2 2 5 3 3" xfId="33344" xr:uid="{D80682BD-8FBE-4A36-A73D-E73B8B88FFBC}"/>
    <cellStyle name="Comma 4 3 2 2 2 5 3 4" xfId="41791" xr:uid="{4CF86226-66E4-49B3-BB3A-809F538D37B7}"/>
    <cellStyle name="Comma 4 3 2 2 2 5 3 5" xfId="15597" xr:uid="{8B06AFC1-8D90-457A-A6C9-D289298D8EB6}"/>
    <cellStyle name="Comma 4 3 2 2 2 5 4" xfId="20680" xr:uid="{BF8A66D2-12BF-48A5-86D0-57D5BDEFD843}"/>
    <cellStyle name="Comma 4 3 2 2 2 5 5" xfId="29127" xr:uid="{4824421F-A5AA-4304-AD9F-595A7307EE10}"/>
    <cellStyle name="Comma 4 3 2 2 2 5 6" xfId="37574" xr:uid="{630D4AB4-3693-4447-A0FB-B6326D9C6B6B}"/>
    <cellStyle name="Comma 4 3 2 2 2 5 7" xfId="11380" xr:uid="{5FFC5A45-B03B-4CC7-B60A-34EE86A7E106}"/>
    <cellStyle name="Comma 4 3 2 2 2 6" xfId="2400" xr:uid="{00000000-0005-0000-0000-000028090000}"/>
    <cellStyle name="Comma 4 3 2 2 2 6 2" xfId="6684" xr:uid="{00000000-0005-0000-0000-000029090000}"/>
    <cellStyle name="Comma 4 3 2 2 2 6 2 2" xfId="25310" xr:uid="{064EA98B-736F-4F8C-A7D5-42C931A3823C}"/>
    <cellStyle name="Comma 4 3 2 2 2 6 2 3" xfId="33757" xr:uid="{9C8B2716-4967-4ED7-B15D-CE9C7EA84D58}"/>
    <cellStyle name="Comma 4 3 2 2 2 6 2 4" xfId="42204" xr:uid="{C6DAA113-9A44-4A1D-B2E1-F8A6FA762ED5}"/>
    <cellStyle name="Comma 4 3 2 2 2 6 2 5" xfId="16010" xr:uid="{13714BF4-01B3-42F4-8F6C-D4719E87BD7A}"/>
    <cellStyle name="Comma 4 3 2 2 2 6 3" xfId="21093" xr:uid="{5CB8EF80-7731-4983-8128-B20561F4290F}"/>
    <cellStyle name="Comma 4 3 2 2 2 6 4" xfId="29540" xr:uid="{E6005CA1-9EEC-4148-A33D-6F39ACE9469E}"/>
    <cellStyle name="Comma 4 3 2 2 2 6 5" xfId="37987" xr:uid="{DD811784-88CD-406A-A257-27B4A0C5ED8D}"/>
    <cellStyle name="Comma 4 3 2 2 2 6 6" xfId="11793" xr:uid="{5524B35C-136C-4D71-952B-64F1BE35A88C}"/>
    <cellStyle name="Comma 4 3 2 2 2 7" xfId="2363" xr:uid="{00000000-0005-0000-0000-00002A090000}"/>
    <cellStyle name="Comma 4 3 2 2 2 8" xfId="2778" xr:uid="{00000000-0005-0000-0000-00002B090000}"/>
    <cellStyle name="Comma 4 3 2 2 2 8 2" xfId="7001" xr:uid="{00000000-0005-0000-0000-00002C090000}"/>
    <cellStyle name="Comma 4 3 2 2 2 8 2 2" xfId="25627" xr:uid="{368D50F8-6092-4315-9079-8762C052A7D2}"/>
    <cellStyle name="Comma 4 3 2 2 2 8 2 3" xfId="34074" xr:uid="{81DBF428-F952-4D59-9B0F-166ABA8C489A}"/>
    <cellStyle name="Comma 4 3 2 2 2 8 2 4" xfId="42521" xr:uid="{16F280FC-19CA-4CC8-AB6F-A76983CBBDEA}"/>
    <cellStyle name="Comma 4 3 2 2 2 8 2 5" xfId="16327" xr:uid="{69AA17E5-DCDB-4B09-96D1-A18E1FF81E00}"/>
    <cellStyle name="Comma 4 3 2 2 2 8 3" xfId="21410" xr:uid="{42193F3A-81B2-4C96-9238-73DEABB1A06F}"/>
    <cellStyle name="Comma 4 3 2 2 2 8 4" xfId="29857" xr:uid="{76EBAD34-8F49-4A8D-9382-AA82C388F687}"/>
    <cellStyle name="Comma 4 3 2 2 2 8 5" xfId="38304" xr:uid="{C7E82822-BF05-48CB-81EB-CF1F6CC4CC17}"/>
    <cellStyle name="Comma 4 3 2 2 2 8 6" xfId="12110" xr:uid="{C5F96D3F-A80D-4B3F-BE22-340BD8828A09}"/>
    <cellStyle name="Comma 4 3 2 2 2 9" xfId="4618" xr:uid="{00000000-0005-0000-0000-00002D090000}"/>
    <cellStyle name="Comma 4 3 2 2 2 9 2" xfId="23244" xr:uid="{9B6561FC-8770-4763-8DC5-B355EDA598E8}"/>
    <cellStyle name="Comma 4 3 2 2 2 9 3" xfId="31691" xr:uid="{4FA0042A-24C3-4648-B3E7-8F5957A40635}"/>
    <cellStyle name="Comma 4 3 2 2 2 9 4" xfId="40138" xr:uid="{64BC9F44-0A36-49C5-8F87-623E8634C9B2}"/>
    <cellStyle name="Comma 4 3 2 2 2 9 5" xfId="13944" xr:uid="{6F2C1273-0A3B-487C-8015-11A71C195406}"/>
    <cellStyle name="Comma 4 3 2 2 3" xfId="683" xr:uid="{00000000-0005-0000-0000-00002E090000}"/>
    <cellStyle name="Comma 4 3 2 2 3 2" xfId="2954" xr:uid="{00000000-0005-0000-0000-00002F090000}"/>
    <cellStyle name="Comma 4 3 2 2 3 2 2" xfId="7176" xr:uid="{00000000-0005-0000-0000-000030090000}"/>
    <cellStyle name="Comma 4 3 2 2 3 2 2 2" xfId="25802" xr:uid="{9BFE3283-E605-4ECD-B407-AC32AD32F803}"/>
    <cellStyle name="Comma 4 3 2 2 3 2 2 3" xfId="34249" xr:uid="{AF32048E-4464-4C4B-90A0-A3161CBA5FF0}"/>
    <cellStyle name="Comma 4 3 2 2 3 2 2 4" xfId="42696" xr:uid="{8FFEA004-873F-48A4-8268-8831BB5CDAF8}"/>
    <cellStyle name="Comma 4 3 2 2 3 2 2 5" xfId="16502" xr:uid="{9AA60399-B08B-4544-A5DB-C9FEA9DA1AFB}"/>
    <cellStyle name="Comma 4 3 2 2 3 2 3" xfId="21585" xr:uid="{1B87CAE2-5FC5-4313-9210-9A9C9A8951EE}"/>
    <cellStyle name="Comma 4 3 2 2 3 2 4" xfId="30032" xr:uid="{9BB18B2B-3B67-4EEF-A0FB-61CA6E433DBC}"/>
    <cellStyle name="Comma 4 3 2 2 3 2 5" xfId="38479" xr:uid="{8592C7A7-DED2-49BA-81C9-FC1119DE6C39}"/>
    <cellStyle name="Comma 4 3 2 2 3 2 6" xfId="12285" xr:uid="{35E3193B-46E6-4BF2-8D68-01538D3D0158}"/>
    <cellStyle name="Comma 4 3 2 2 3 3" xfId="5031" xr:uid="{00000000-0005-0000-0000-000031090000}"/>
    <cellStyle name="Comma 4 3 2 2 3 3 2" xfId="23657" xr:uid="{7FF9CE48-026C-4344-96DA-8EB2B3036E0F}"/>
    <cellStyle name="Comma 4 3 2 2 3 3 3" xfId="32104" xr:uid="{E7589494-8774-4910-81B9-C36B1E1BEF0F}"/>
    <cellStyle name="Comma 4 3 2 2 3 3 4" xfId="40551" xr:uid="{10C8E0CF-39A8-45A1-B285-0582731BFC1C}"/>
    <cellStyle name="Comma 4 3 2 2 3 3 5" xfId="14357" xr:uid="{1968F182-6EED-48B3-8494-0E30850A81EF}"/>
    <cellStyle name="Comma 4 3 2 2 3 4" xfId="9335" xr:uid="{BACD532B-C811-4076-B107-03E74D1B7113}"/>
    <cellStyle name="Comma 4 3 2 2 3 4 2" xfId="18651" xr:uid="{0211D84F-291D-4B06-A0B5-68C8BCA1CB4F}"/>
    <cellStyle name="Comma 4 3 2 2 3 5" xfId="19440" xr:uid="{383D7966-BFF6-486F-A6A8-021A7A712457}"/>
    <cellStyle name="Comma 4 3 2 2 3 6" xfId="27887" xr:uid="{B2D0CB48-79E6-4AD5-A58A-3E21F36C923F}"/>
    <cellStyle name="Comma 4 3 2 2 3 7" xfId="36334" xr:uid="{1851165B-B0E9-48FF-B371-E61107430E2D}"/>
    <cellStyle name="Comma 4 3 2 2 3 8" xfId="10140" xr:uid="{E3A93F15-C08D-4466-80DB-842B607B4ED7}"/>
    <cellStyle name="Comma 4 3 2 2 4" xfId="1136" xr:uid="{00000000-0005-0000-0000-000032090000}"/>
    <cellStyle name="Comma 4 3 2 2 4 2" xfId="3367" xr:uid="{00000000-0005-0000-0000-000033090000}"/>
    <cellStyle name="Comma 4 3 2 2 4 2 2" xfId="7589" xr:uid="{00000000-0005-0000-0000-000034090000}"/>
    <cellStyle name="Comma 4 3 2 2 4 2 2 2" xfId="26215" xr:uid="{72F631DC-B24A-4E64-9AC4-202E49A07299}"/>
    <cellStyle name="Comma 4 3 2 2 4 2 2 3" xfId="34662" xr:uid="{2BA10D6B-182B-42E7-9E2C-4A154ADF6886}"/>
    <cellStyle name="Comma 4 3 2 2 4 2 2 4" xfId="43109" xr:uid="{586A02BF-E3BB-48B5-9667-93B000DA83F3}"/>
    <cellStyle name="Comma 4 3 2 2 4 2 2 5" xfId="16915" xr:uid="{E24064A7-A3D4-4AEF-BBC8-175C30F98B0F}"/>
    <cellStyle name="Comma 4 3 2 2 4 2 3" xfId="21998" xr:uid="{BAAA4313-4559-40B9-BFDF-24BC4637C227}"/>
    <cellStyle name="Comma 4 3 2 2 4 2 4" xfId="30445" xr:uid="{E7AB83D1-EB45-43EC-B18B-4B5B244F2D9D}"/>
    <cellStyle name="Comma 4 3 2 2 4 2 5" xfId="38892" xr:uid="{F6E32F27-0F5B-4852-9CBA-1C27ABE489D0}"/>
    <cellStyle name="Comma 4 3 2 2 4 2 6" xfId="12698" xr:uid="{A65F512B-A8FF-4CFD-808B-78BE3ADDBDB5}"/>
    <cellStyle name="Comma 4 3 2 2 4 3" xfId="5444" xr:uid="{00000000-0005-0000-0000-000035090000}"/>
    <cellStyle name="Comma 4 3 2 2 4 3 2" xfId="24070" xr:uid="{9500C89B-F129-43AD-BBDE-A8F95D9B35EA}"/>
    <cellStyle name="Comma 4 3 2 2 4 3 3" xfId="32517" xr:uid="{84CFF4C0-D060-4EC5-B7A4-616EA878C27B}"/>
    <cellStyle name="Comma 4 3 2 2 4 3 4" xfId="40964" xr:uid="{E8B482AA-49A3-44BF-B881-4DFF4A4BAC23}"/>
    <cellStyle name="Comma 4 3 2 2 4 3 5" xfId="14770" xr:uid="{BBC34148-9EA0-4322-ACE5-01FA6256F515}"/>
    <cellStyle name="Comma 4 3 2 2 4 4" xfId="19853" xr:uid="{170C7069-6FBA-490C-B6BC-599FCCC3A9B7}"/>
    <cellStyle name="Comma 4 3 2 2 4 5" xfId="28300" xr:uid="{3838E48D-8E62-4EB8-9922-413E1D81AE57}"/>
    <cellStyle name="Comma 4 3 2 2 4 6" xfId="36747" xr:uid="{8285C945-5CB0-4F2C-BC3F-92EBB9C3C4DF}"/>
    <cellStyle name="Comma 4 3 2 2 4 7" xfId="10553" xr:uid="{59577CF1-0750-4385-AF55-6C2433BC12B6}"/>
    <cellStyle name="Comma 4 3 2 2 5" xfId="1550" xr:uid="{00000000-0005-0000-0000-000036090000}"/>
    <cellStyle name="Comma 4 3 2 2 5 2" xfId="3780" xr:uid="{00000000-0005-0000-0000-000037090000}"/>
    <cellStyle name="Comma 4 3 2 2 5 2 2" xfId="8002" xr:uid="{00000000-0005-0000-0000-000038090000}"/>
    <cellStyle name="Comma 4 3 2 2 5 2 2 2" xfId="26628" xr:uid="{EFCAED6C-1615-440C-BB99-0936E543F5D4}"/>
    <cellStyle name="Comma 4 3 2 2 5 2 2 3" xfId="35075" xr:uid="{F722FE20-11D4-44FB-98B8-7470104B71EB}"/>
    <cellStyle name="Comma 4 3 2 2 5 2 2 4" xfId="43522" xr:uid="{078BFCDC-3676-4C35-BB9A-CFE833E75F02}"/>
    <cellStyle name="Comma 4 3 2 2 5 2 2 5" xfId="17328" xr:uid="{118B868A-D49D-4461-9667-8A8F25E2918C}"/>
    <cellStyle name="Comma 4 3 2 2 5 2 3" xfId="22411" xr:uid="{246F64D5-547E-40C9-BE6B-2E5F4BBE22CC}"/>
    <cellStyle name="Comma 4 3 2 2 5 2 4" xfId="30858" xr:uid="{07576FEF-AFC6-4EBF-BA4D-9505454BAE2A}"/>
    <cellStyle name="Comma 4 3 2 2 5 2 5" xfId="39305" xr:uid="{89B3DDF7-612B-4582-B8F8-FB10DF292F32}"/>
    <cellStyle name="Comma 4 3 2 2 5 2 6" xfId="13111" xr:uid="{06C185C7-FB22-4C19-A57B-004DBF9146B6}"/>
    <cellStyle name="Comma 4 3 2 2 5 3" xfId="5857" xr:uid="{00000000-0005-0000-0000-000039090000}"/>
    <cellStyle name="Comma 4 3 2 2 5 3 2" xfId="24483" xr:uid="{84624174-AF56-4A0C-839A-A39BDB974946}"/>
    <cellStyle name="Comma 4 3 2 2 5 3 3" xfId="32930" xr:uid="{7B81D80E-E7EA-4003-A364-A4D45C7BD113}"/>
    <cellStyle name="Comma 4 3 2 2 5 3 4" xfId="41377" xr:uid="{B2FBB995-A2DD-45C6-976C-F5E518B85C8E}"/>
    <cellStyle name="Comma 4 3 2 2 5 3 5" xfId="15183" xr:uid="{452CAA49-73D1-4375-BF14-EA329B7A418A}"/>
    <cellStyle name="Comma 4 3 2 2 5 4" xfId="20266" xr:uid="{931938DF-C437-407A-B7C6-B91C7AF76AFA}"/>
    <cellStyle name="Comma 4 3 2 2 5 5" xfId="28713" xr:uid="{D0370391-470D-4604-BEDE-DAD34F533E7F}"/>
    <cellStyle name="Comma 4 3 2 2 5 6" xfId="37160" xr:uid="{9C541299-1F13-4026-B0B3-798CD7BBA592}"/>
    <cellStyle name="Comma 4 3 2 2 5 7" xfId="10966" xr:uid="{F98843B0-F4A2-4296-8363-186F5F8082DF}"/>
    <cellStyle name="Comma 4 3 2 2 6" xfId="1964" xr:uid="{00000000-0005-0000-0000-00003A090000}"/>
    <cellStyle name="Comma 4 3 2 2 6 2" xfId="4193" xr:uid="{00000000-0005-0000-0000-00003B090000}"/>
    <cellStyle name="Comma 4 3 2 2 6 2 2" xfId="8415" xr:uid="{00000000-0005-0000-0000-00003C090000}"/>
    <cellStyle name="Comma 4 3 2 2 6 2 2 2" xfId="27041" xr:uid="{CBFDC099-01F3-4E81-B858-C927E5AE641A}"/>
    <cellStyle name="Comma 4 3 2 2 6 2 2 3" xfId="35488" xr:uid="{E6691BDB-3E35-4D2D-8263-C2935D014A38}"/>
    <cellStyle name="Comma 4 3 2 2 6 2 2 4" xfId="43935" xr:uid="{8762E48B-329E-43D9-B929-AF166D1E041D}"/>
    <cellStyle name="Comma 4 3 2 2 6 2 2 5" xfId="17741" xr:uid="{167367B3-4B4D-4971-B2A2-33E1A8CABF74}"/>
    <cellStyle name="Comma 4 3 2 2 6 2 3" xfId="22824" xr:uid="{3A2031EA-D199-4958-B9C6-C5CB1AEF716B}"/>
    <cellStyle name="Comma 4 3 2 2 6 2 4" xfId="31271" xr:uid="{DFD77657-8DAD-4F2E-B09F-1DD2A09BC362}"/>
    <cellStyle name="Comma 4 3 2 2 6 2 5" xfId="39718" xr:uid="{0A4D70C0-F19C-452A-BEC1-CB717BB2B2FC}"/>
    <cellStyle name="Comma 4 3 2 2 6 2 6" xfId="13524" xr:uid="{8BB938BE-D754-4CBC-8CAC-3702C36BAC2B}"/>
    <cellStyle name="Comma 4 3 2 2 6 3" xfId="6270" xr:uid="{00000000-0005-0000-0000-00003D090000}"/>
    <cellStyle name="Comma 4 3 2 2 6 3 2" xfId="24896" xr:uid="{12D676B6-02C4-4C57-A02F-B00FE449554E}"/>
    <cellStyle name="Comma 4 3 2 2 6 3 3" xfId="33343" xr:uid="{70FF4CBA-7C2D-4F49-8D44-1C33CA650EF2}"/>
    <cellStyle name="Comma 4 3 2 2 6 3 4" xfId="41790" xr:uid="{C0DF398E-F59C-4A84-B657-286AD19E81C2}"/>
    <cellStyle name="Comma 4 3 2 2 6 3 5" xfId="15596" xr:uid="{1AB7DE7F-57C5-4E6C-A14F-CE9F41A53C51}"/>
    <cellStyle name="Comma 4 3 2 2 6 4" xfId="20679" xr:uid="{B641BCAA-B19D-47DF-B0F1-33FAC7935CE1}"/>
    <cellStyle name="Comma 4 3 2 2 6 5" xfId="29126" xr:uid="{0CEEDB72-8BBE-4512-8921-1ADFFF9C1AFE}"/>
    <cellStyle name="Comma 4 3 2 2 6 6" xfId="37573" xr:uid="{D6848BA7-2E50-46AF-8589-95C5ABD29E32}"/>
    <cellStyle name="Comma 4 3 2 2 6 7" xfId="11379" xr:uid="{F9E83257-087D-4715-99B3-DD96736D102C}"/>
    <cellStyle name="Comma 4 3 2 2 7" xfId="2399" xr:uid="{00000000-0005-0000-0000-00003E090000}"/>
    <cellStyle name="Comma 4 3 2 2 7 2" xfId="6683" xr:uid="{00000000-0005-0000-0000-00003F090000}"/>
    <cellStyle name="Comma 4 3 2 2 7 2 2" xfId="25309" xr:uid="{491B7616-F2B0-493D-83C7-4FB0F72331EB}"/>
    <cellStyle name="Comma 4 3 2 2 7 2 3" xfId="33756" xr:uid="{734BB3BD-92FD-4E6E-874B-4FC2DC2B29D2}"/>
    <cellStyle name="Comma 4 3 2 2 7 2 4" xfId="42203" xr:uid="{BA61CC60-D08F-457B-9813-8C8761361661}"/>
    <cellStyle name="Comma 4 3 2 2 7 2 5" xfId="16009" xr:uid="{C83306F5-CE85-46CE-B44D-97D8B6B84BCD}"/>
    <cellStyle name="Comma 4 3 2 2 7 3" xfId="21092" xr:uid="{0A7BEFE0-463B-4D32-9963-3CB66D66D56B}"/>
    <cellStyle name="Comma 4 3 2 2 7 4" xfId="29539" xr:uid="{41975B64-8B5E-4C5A-A7C1-839EEADB8738}"/>
    <cellStyle name="Comma 4 3 2 2 7 5" xfId="37986" xr:uid="{216B47A5-E7F7-44D5-9F02-78C1FFEDB8F5}"/>
    <cellStyle name="Comma 4 3 2 2 7 6" xfId="11792" xr:uid="{BB4D65F1-F685-4124-ADDA-C5E5E36E4293}"/>
    <cellStyle name="Comma 4 3 2 2 8" xfId="2364" xr:uid="{00000000-0005-0000-0000-000040090000}"/>
    <cellStyle name="Comma 4 3 2 2 9" xfId="2777" xr:uid="{00000000-0005-0000-0000-000041090000}"/>
    <cellStyle name="Comma 4 3 2 2 9 2" xfId="7000" xr:uid="{00000000-0005-0000-0000-000042090000}"/>
    <cellStyle name="Comma 4 3 2 2 9 2 2" xfId="25626" xr:uid="{DE3F75B7-FA76-42AB-B944-7C409FEB0F78}"/>
    <cellStyle name="Comma 4 3 2 2 9 2 3" xfId="34073" xr:uid="{DA4BD7F8-4FD5-454A-BEC1-C8A988CD351C}"/>
    <cellStyle name="Comma 4 3 2 2 9 2 4" xfId="42520" xr:uid="{DD7962F3-6357-4763-8D0B-8F4141A58EF2}"/>
    <cellStyle name="Comma 4 3 2 2 9 2 5" xfId="16326" xr:uid="{D3165801-B7C9-4CCB-8B39-FB4C579D8DC9}"/>
    <cellStyle name="Comma 4 3 2 2 9 3" xfId="21409" xr:uid="{3554D2E8-3028-41D0-B523-EB4A07E9F5AF}"/>
    <cellStyle name="Comma 4 3 2 2 9 4" xfId="29856" xr:uid="{2A8549D5-F2CD-4B69-B7F6-D23CC7A8D8A3}"/>
    <cellStyle name="Comma 4 3 2 2 9 5" xfId="38303" xr:uid="{BBD46117-A9CD-4104-9F4C-522222730E5C}"/>
    <cellStyle name="Comma 4 3 2 2 9 6" xfId="12109" xr:uid="{F5F93416-4D6E-451E-A5CE-B5B8CAE39D8D}"/>
    <cellStyle name="Comma 4 3 2 3" xfId="148" xr:uid="{00000000-0005-0000-0000-000043090000}"/>
    <cellStyle name="Comma 4 3 2 3 10" xfId="9014" xr:uid="{46568903-2C47-4BC3-8E78-5A47F62B319C}"/>
    <cellStyle name="Comma 4 3 2 3 10 2" xfId="18338" xr:uid="{99760ED8-F87E-45C1-A620-7A74109B1300}"/>
    <cellStyle name="Comma 4 3 2 3 11" xfId="19028" xr:uid="{320D59CF-7712-48AA-B2B3-5A70C0AB4603}"/>
    <cellStyle name="Comma 4 3 2 3 12" xfId="27475" xr:uid="{68AF358E-0A64-4FFD-B8F6-4365577879E6}"/>
    <cellStyle name="Comma 4 3 2 3 13" xfId="35922" xr:uid="{1F107471-161A-474F-8001-AF0A14439D88}"/>
    <cellStyle name="Comma 4 3 2 3 14" xfId="9728" xr:uid="{3D114CAE-DA08-4641-ADF1-64D7868A1DDF}"/>
    <cellStyle name="Comma 4 3 2 3 2" xfId="685" xr:uid="{00000000-0005-0000-0000-000044090000}"/>
    <cellStyle name="Comma 4 3 2 3 2 2" xfId="2956" xr:uid="{00000000-0005-0000-0000-000045090000}"/>
    <cellStyle name="Comma 4 3 2 3 2 2 2" xfId="7178" xr:uid="{00000000-0005-0000-0000-000046090000}"/>
    <cellStyle name="Comma 4 3 2 3 2 2 2 2" xfId="25804" xr:uid="{8D80031B-C5D1-4C43-85FE-DDD42056E1A0}"/>
    <cellStyle name="Comma 4 3 2 3 2 2 2 3" xfId="34251" xr:uid="{607D6D5A-D842-43D0-B656-368DA8C2B0D0}"/>
    <cellStyle name="Comma 4 3 2 3 2 2 2 4" xfId="42698" xr:uid="{73FBBC0F-5E39-4540-A20C-3194481F7ED8}"/>
    <cellStyle name="Comma 4 3 2 3 2 2 2 5" xfId="16504" xr:uid="{C4579B22-7E91-402B-9123-8E5FBFC6D285}"/>
    <cellStyle name="Comma 4 3 2 3 2 2 3" xfId="21587" xr:uid="{B8ADC2B1-44AC-4AF5-9154-022158BE1B51}"/>
    <cellStyle name="Comma 4 3 2 3 2 2 4" xfId="30034" xr:uid="{381D822D-3DB2-40FE-90EC-D4B20030F56B}"/>
    <cellStyle name="Comma 4 3 2 3 2 2 5" xfId="38481" xr:uid="{5237EEC5-AE3F-4B00-BF93-46261AA780D5}"/>
    <cellStyle name="Comma 4 3 2 3 2 2 6" xfId="12287" xr:uid="{7FF3DED2-47C2-452A-9DE1-F1A09FF60C95}"/>
    <cellStyle name="Comma 4 3 2 3 2 3" xfId="5033" xr:uid="{00000000-0005-0000-0000-000047090000}"/>
    <cellStyle name="Comma 4 3 2 3 2 3 2" xfId="23659" xr:uid="{1AB0266F-2125-4FB5-B708-4A67EC187A5B}"/>
    <cellStyle name="Comma 4 3 2 3 2 3 3" xfId="32106" xr:uid="{BD4E83C7-552F-4B89-94A2-CD5AB3448833}"/>
    <cellStyle name="Comma 4 3 2 3 2 3 4" xfId="40553" xr:uid="{C1A5CAEA-068A-4E4B-9AA9-398911FB7EE6}"/>
    <cellStyle name="Comma 4 3 2 3 2 3 5" xfId="14359" xr:uid="{BF074B40-210A-4526-99F3-04EE17A31805}"/>
    <cellStyle name="Comma 4 3 2 3 2 4" xfId="9439" xr:uid="{2FD116B5-6902-4630-AFC5-CC8B06C5F457}"/>
    <cellStyle name="Comma 4 3 2 3 2 4 2" xfId="18755" xr:uid="{6ABEBDCF-04AB-43BF-8D4C-0250338089BF}"/>
    <cellStyle name="Comma 4 3 2 3 2 5" xfId="19442" xr:uid="{389F8882-8BCE-412C-A192-3C763C769228}"/>
    <cellStyle name="Comma 4 3 2 3 2 6" xfId="27889" xr:uid="{4DA68E99-0567-462B-A6DE-D18F0ADE0C08}"/>
    <cellStyle name="Comma 4 3 2 3 2 7" xfId="36336" xr:uid="{A87713C2-1C70-4D89-8952-8154D571FCB5}"/>
    <cellStyle name="Comma 4 3 2 3 2 8" xfId="10142" xr:uid="{FB11099C-0D66-4E2E-AD23-FBB68365CF46}"/>
    <cellStyle name="Comma 4 3 2 3 3" xfId="1138" xr:uid="{00000000-0005-0000-0000-000048090000}"/>
    <cellStyle name="Comma 4 3 2 3 3 2" xfId="3369" xr:uid="{00000000-0005-0000-0000-000049090000}"/>
    <cellStyle name="Comma 4 3 2 3 3 2 2" xfId="7591" xr:uid="{00000000-0005-0000-0000-00004A090000}"/>
    <cellStyle name="Comma 4 3 2 3 3 2 2 2" xfId="26217" xr:uid="{810964B7-F5A8-492B-B96B-3E927F6FE690}"/>
    <cellStyle name="Comma 4 3 2 3 3 2 2 3" xfId="34664" xr:uid="{6D2F0CC1-19C4-4969-AC3A-CDA62AC2EEF1}"/>
    <cellStyle name="Comma 4 3 2 3 3 2 2 4" xfId="43111" xr:uid="{E160CD7A-A1BD-453B-B11C-84F0D8EDC624}"/>
    <cellStyle name="Comma 4 3 2 3 3 2 2 5" xfId="16917" xr:uid="{A7F2D5EB-C7AD-4D12-834B-82748ED3857F}"/>
    <cellStyle name="Comma 4 3 2 3 3 2 3" xfId="22000" xr:uid="{0ED9E2FA-F7E7-4889-83E9-7FC89EDED041}"/>
    <cellStyle name="Comma 4 3 2 3 3 2 4" xfId="30447" xr:uid="{4E60968E-13E3-4F1D-A2F6-B07E3D0E3BD6}"/>
    <cellStyle name="Comma 4 3 2 3 3 2 5" xfId="38894" xr:uid="{74ABB151-58F1-4F53-AF8A-5C83F2037F6B}"/>
    <cellStyle name="Comma 4 3 2 3 3 2 6" xfId="12700" xr:uid="{CEF8E1A6-6CAD-4931-B036-18F95DC67C13}"/>
    <cellStyle name="Comma 4 3 2 3 3 3" xfId="5446" xr:uid="{00000000-0005-0000-0000-00004B090000}"/>
    <cellStyle name="Comma 4 3 2 3 3 3 2" xfId="24072" xr:uid="{3C6EC7BE-6ED9-4E33-9700-C12732A9C5EF}"/>
    <cellStyle name="Comma 4 3 2 3 3 3 3" xfId="32519" xr:uid="{5927670C-FE33-49DF-A367-4F59D8B5E3E8}"/>
    <cellStyle name="Comma 4 3 2 3 3 3 4" xfId="40966" xr:uid="{98B6C2C4-C732-4F3C-99F9-E836287233AA}"/>
    <cellStyle name="Comma 4 3 2 3 3 3 5" xfId="14772" xr:uid="{9DC49E53-69C4-46DE-85FF-527AFBAFA834}"/>
    <cellStyle name="Comma 4 3 2 3 3 4" xfId="19855" xr:uid="{75847A46-D9B9-48DF-9AA1-1AF0CE9BC787}"/>
    <cellStyle name="Comma 4 3 2 3 3 5" xfId="28302" xr:uid="{5B046C0D-0707-45AD-8438-8B0E02ABB4B1}"/>
    <cellStyle name="Comma 4 3 2 3 3 6" xfId="36749" xr:uid="{A2DBDAC9-099C-4AAF-A610-FD7FAC167769}"/>
    <cellStyle name="Comma 4 3 2 3 3 7" xfId="10555" xr:uid="{BF510DF1-033C-453B-95D6-781AA10D6FC2}"/>
    <cellStyle name="Comma 4 3 2 3 4" xfId="1552" xr:uid="{00000000-0005-0000-0000-00004C090000}"/>
    <cellStyle name="Comma 4 3 2 3 4 2" xfId="3782" xr:uid="{00000000-0005-0000-0000-00004D090000}"/>
    <cellStyle name="Comma 4 3 2 3 4 2 2" xfId="8004" xr:uid="{00000000-0005-0000-0000-00004E090000}"/>
    <cellStyle name="Comma 4 3 2 3 4 2 2 2" xfId="26630" xr:uid="{CBD75933-2ACC-44A0-BCF9-301249D09170}"/>
    <cellStyle name="Comma 4 3 2 3 4 2 2 3" xfId="35077" xr:uid="{C4C92587-B59E-4A9F-95B4-54F0F434F73A}"/>
    <cellStyle name="Comma 4 3 2 3 4 2 2 4" xfId="43524" xr:uid="{D6609DF3-9BCC-4278-9691-006701950D11}"/>
    <cellStyle name="Comma 4 3 2 3 4 2 2 5" xfId="17330" xr:uid="{D378F796-1453-4FA9-B261-C75202EF1A3E}"/>
    <cellStyle name="Comma 4 3 2 3 4 2 3" xfId="22413" xr:uid="{15C7DE59-3245-44C1-9FEA-B984009B77F5}"/>
    <cellStyle name="Comma 4 3 2 3 4 2 4" xfId="30860" xr:uid="{948865E1-6E7F-4BF1-8C33-204E99AED061}"/>
    <cellStyle name="Comma 4 3 2 3 4 2 5" xfId="39307" xr:uid="{C04B4115-A74D-4A33-8D64-BBA976C4613D}"/>
    <cellStyle name="Comma 4 3 2 3 4 2 6" xfId="13113" xr:uid="{B915B12C-2DF9-4D4B-B5F4-7159C83016E8}"/>
    <cellStyle name="Comma 4 3 2 3 4 3" xfId="5859" xr:uid="{00000000-0005-0000-0000-00004F090000}"/>
    <cellStyle name="Comma 4 3 2 3 4 3 2" xfId="24485" xr:uid="{507FD736-4461-4D7A-9DB6-DC157785EB83}"/>
    <cellStyle name="Comma 4 3 2 3 4 3 3" xfId="32932" xr:uid="{C83BE9F7-B68A-4B5D-B35F-71F041AFFF5B}"/>
    <cellStyle name="Comma 4 3 2 3 4 3 4" xfId="41379" xr:uid="{04C60E07-4A0D-44F1-B2A0-9A0E0E5A66B8}"/>
    <cellStyle name="Comma 4 3 2 3 4 3 5" xfId="15185" xr:uid="{CA8852A6-41CD-422B-B7FC-C109568C241B}"/>
    <cellStyle name="Comma 4 3 2 3 4 4" xfId="20268" xr:uid="{17270E52-B690-4F07-9C17-01F4149C5285}"/>
    <cellStyle name="Comma 4 3 2 3 4 5" xfId="28715" xr:uid="{EFF3B4F2-D798-4D51-9BF4-4B1A041A2E68}"/>
    <cellStyle name="Comma 4 3 2 3 4 6" xfId="37162" xr:uid="{9E5F508B-3E6F-464A-A851-2AD1ABED410B}"/>
    <cellStyle name="Comma 4 3 2 3 4 7" xfId="10968" xr:uid="{2709DB86-0987-42B8-BF97-E42BB5AD6723}"/>
    <cellStyle name="Comma 4 3 2 3 5" xfId="1966" xr:uid="{00000000-0005-0000-0000-000050090000}"/>
    <cellStyle name="Comma 4 3 2 3 5 2" xfId="4195" xr:uid="{00000000-0005-0000-0000-000051090000}"/>
    <cellStyle name="Comma 4 3 2 3 5 2 2" xfId="8417" xr:uid="{00000000-0005-0000-0000-000052090000}"/>
    <cellStyle name="Comma 4 3 2 3 5 2 2 2" xfId="27043" xr:uid="{0E7F1E3A-B3EC-47EF-AF31-28C678689A65}"/>
    <cellStyle name="Comma 4 3 2 3 5 2 2 3" xfId="35490" xr:uid="{620E86F4-6322-4EC8-8686-54FEBE61A899}"/>
    <cellStyle name="Comma 4 3 2 3 5 2 2 4" xfId="43937" xr:uid="{11B7CD43-6A18-4BB2-A821-4972C4F7C8A1}"/>
    <cellStyle name="Comma 4 3 2 3 5 2 2 5" xfId="17743" xr:uid="{CA62CEEC-9666-4E6C-A203-8E112EC94DA9}"/>
    <cellStyle name="Comma 4 3 2 3 5 2 3" xfId="22826" xr:uid="{306AF06E-7FDD-4B88-992D-3DB570C56DA1}"/>
    <cellStyle name="Comma 4 3 2 3 5 2 4" xfId="31273" xr:uid="{C846AB8A-8A77-43B8-9E10-08AC5AA8E331}"/>
    <cellStyle name="Comma 4 3 2 3 5 2 5" xfId="39720" xr:uid="{C7877EAB-D3B0-4C78-820A-2E427A716D28}"/>
    <cellStyle name="Comma 4 3 2 3 5 2 6" xfId="13526" xr:uid="{825C09A3-0C6F-4A82-A029-D7010448500D}"/>
    <cellStyle name="Comma 4 3 2 3 5 3" xfId="6272" xr:uid="{00000000-0005-0000-0000-000053090000}"/>
    <cellStyle name="Comma 4 3 2 3 5 3 2" xfId="24898" xr:uid="{4C19ECD8-FA2A-4760-8765-7F5068CA66FE}"/>
    <cellStyle name="Comma 4 3 2 3 5 3 3" xfId="33345" xr:uid="{E7A04421-0BDC-4F07-93F1-2F67A9AE4216}"/>
    <cellStyle name="Comma 4 3 2 3 5 3 4" xfId="41792" xr:uid="{93D1CC38-FAA4-4FAB-BB46-A8ED9803A61F}"/>
    <cellStyle name="Comma 4 3 2 3 5 3 5" xfId="15598" xr:uid="{ADF4F287-48A4-4402-996A-1DC01F0DA1C0}"/>
    <cellStyle name="Comma 4 3 2 3 5 4" xfId="20681" xr:uid="{8F3D8644-A0B7-471F-94EC-52994672C11F}"/>
    <cellStyle name="Comma 4 3 2 3 5 5" xfId="29128" xr:uid="{AA5217A7-B165-421B-A8AD-BB59B0ED214F}"/>
    <cellStyle name="Comma 4 3 2 3 5 6" xfId="37575" xr:uid="{3E06AAF2-E33A-419C-B4A3-8F73698EB0F1}"/>
    <cellStyle name="Comma 4 3 2 3 5 7" xfId="11381" xr:uid="{0B3125E5-0019-44F4-9FA9-4EAAACFAF3F2}"/>
    <cellStyle name="Comma 4 3 2 3 6" xfId="2401" xr:uid="{00000000-0005-0000-0000-000054090000}"/>
    <cellStyle name="Comma 4 3 2 3 6 2" xfId="6685" xr:uid="{00000000-0005-0000-0000-000055090000}"/>
    <cellStyle name="Comma 4 3 2 3 6 2 2" xfId="25311" xr:uid="{8B703C0C-BCEC-46F4-AA93-B3F08D516239}"/>
    <cellStyle name="Comma 4 3 2 3 6 2 3" xfId="33758" xr:uid="{DC0F82D7-9450-4634-8DC0-D203F9644C44}"/>
    <cellStyle name="Comma 4 3 2 3 6 2 4" xfId="42205" xr:uid="{48CF3506-2FB7-41F7-80AD-6908B9D88ED5}"/>
    <cellStyle name="Comma 4 3 2 3 6 2 5" xfId="16011" xr:uid="{71F24158-19FE-442D-98F0-334597C062CF}"/>
    <cellStyle name="Comma 4 3 2 3 6 3" xfId="21094" xr:uid="{D8213669-00E1-4D44-A9FB-CD188E52E513}"/>
    <cellStyle name="Comma 4 3 2 3 6 4" xfId="29541" xr:uid="{FA2BE4C2-97D5-4C5F-98C0-AB8B746D5E88}"/>
    <cellStyle name="Comma 4 3 2 3 6 5" xfId="37988" xr:uid="{BFE37E51-F541-42E6-BA80-CCB78974D3AB}"/>
    <cellStyle name="Comma 4 3 2 3 6 6" xfId="11794" xr:uid="{80615FA5-62B0-4147-9858-D743F7FDD98A}"/>
    <cellStyle name="Comma 4 3 2 3 7" xfId="2362" xr:uid="{00000000-0005-0000-0000-000056090000}"/>
    <cellStyle name="Comma 4 3 2 3 8" xfId="2779" xr:uid="{00000000-0005-0000-0000-000057090000}"/>
    <cellStyle name="Comma 4 3 2 3 8 2" xfId="7002" xr:uid="{00000000-0005-0000-0000-000058090000}"/>
    <cellStyle name="Comma 4 3 2 3 8 2 2" xfId="25628" xr:uid="{2E327D27-6AB6-4813-A5DF-15D4EDF0A262}"/>
    <cellStyle name="Comma 4 3 2 3 8 2 3" xfId="34075" xr:uid="{74813999-B0D5-4623-ACB4-41FAA28A89D3}"/>
    <cellStyle name="Comma 4 3 2 3 8 2 4" xfId="42522" xr:uid="{5859AAE1-77E4-4781-AD51-CFBFE3B2727E}"/>
    <cellStyle name="Comma 4 3 2 3 8 2 5" xfId="16328" xr:uid="{18DC939B-5E07-4033-B2AB-BD4918F223B4}"/>
    <cellStyle name="Comma 4 3 2 3 8 3" xfId="21411" xr:uid="{61757DF5-B8DA-47A9-8248-10B001ADE905}"/>
    <cellStyle name="Comma 4 3 2 3 8 4" xfId="29858" xr:uid="{CA8100A8-D53A-45B2-AAF5-A52736F6AE29}"/>
    <cellStyle name="Comma 4 3 2 3 8 5" xfId="38305" xr:uid="{EF6AA053-D407-4BC8-BB20-EBD61BB40D3C}"/>
    <cellStyle name="Comma 4 3 2 3 8 6" xfId="12111" xr:uid="{71079556-3150-413C-AC3E-5011C0774B63}"/>
    <cellStyle name="Comma 4 3 2 3 9" xfId="4619" xr:uid="{00000000-0005-0000-0000-000059090000}"/>
    <cellStyle name="Comma 4 3 2 3 9 2" xfId="23245" xr:uid="{C264E848-86F0-4B50-B946-5DD0E29E6400}"/>
    <cellStyle name="Comma 4 3 2 3 9 3" xfId="31692" xr:uid="{B7D3633C-4A42-4351-AB5D-07475CC13806}"/>
    <cellStyle name="Comma 4 3 2 3 9 4" xfId="40139" xr:uid="{7B25F630-074E-4E38-9A04-A4778EC3A06C}"/>
    <cellStyle name="Comma 4 3 2 3 9 5" xfId="13945" xr:uid="{4064E4BE-28A3-41C0-BC68-67D620F21933}"/>
    <cellStyle name="Comma 4 3 2 4" xfId="682" xr:uid="{00000000-0005-0000-0000-00005A090000}"/>
    <cellStyle name="Comma 4 3 2 4 2" xfId="2953" xr:uid="{00000000-0005-0000-0000-00005B090000}"/>
    <cellStyle name="Comma 4 3 2 4 2 2" xfId="7175" xr:uid="{00000000-0005-0000-0000-00005C090000}"/>
    <cellStyle name="Comma 4 3 2 4 2 2 2" xfId="25801" xr:uid="{81BE8E96-363C-4483-A581-D9A86671DCB4}"/>
    <cellStyle name="Comma 4 3 2 4 2 2 3" xfId="34248" xr:uid="{60EB7933-B1B8-4599-8EA7-09BA97210126}"/>
    <cellStyle name="Comma 4 3 2 4 2 2 4" xfId="42695" xr:uid="{3160D097-518D-486D-9958-92C3EE766469}"/>
    <cellStyle name="Comma 4 3 2 4 2 2 5" xfId="16501" xr:uid="{4C73FF4D-514D-46B1-8D74-81AFAF779914}"/>
    <cellStyle name="Comma 4 3 2 4 2 3" xfId="21584" xr:uid="{0B9857EC-B33B-48E3-A668-082BEFE240B6}"/>
    <cellStyle name="Comma 4 3 2 4 2 4" xfId="30031" xr:uid="{8D427858-0038-4103-97D3-405B58C39E4D}"/>
    <cellStyle name="Comma 4 3 2 4 2 5" xfId="38478" xr:uid="{C3EFEDFE-AD17-480A-9CFB-46497B3901AE}"/>
    <cellStyle name="Comma 4 3 2 4 2 6" xfId="12284" xr:uid="{AEBC9B7A-D4EB-4115-8E8A-3D456D49A24C}"/>
    <cellStyle name="Comma 4 3 2 4 3" xfId="5030" xr:uid="{00000000-0005-0000-0000-00005D090000}"/>
    <cellStyle name="Comma 4 3 2 4 3 2" xfId="23656" xr:uid="{914B045A-FE60-4F92-999E-F15FF066175D}"/>
    <cellStyle name="Comma 4 3 2 4 3 3" xfId="32103" xr:uid="{ECFD32C4-6817-46D1-9A29-F8F6471485C2}"/>
    <cellStyle name="Comma 4 3 2 4 3 4" xfId="40550" xr:uid="{236DB1F8-53EA-4240-ABC8-02549C20AC2A}"/>
    <cellStyle name="Comma 4 3 2 4 3 5" xfId="14356" xr:uid="{142ACA16-AAAB-40A8-AF7D-1724395B35A4}"/>
    <cellStyle name="Comma 4 3 2 4 4" xfId="9232" xr:uid="{8193451B-D8F0-40BD-91ED-34E7041117F6}"/>
    <cellStyle name="Comma 4 3 2 4 4 2" xfId="18548" xr:uid="{B931E9A4-4DD3-4086-B2CE-E513E0F3C578}"/>
    <cellStyle name="Comma 4 3 2 4 5" xfId="19439" xr:uid="{154263C1-80F8-4571-B508-1166A1EE5839}"/>
    <cellStyle name="Comma 4 3 2 4 6" xfId="27886" xr:uid="{76725E17-E7BC-4DB3-9D0C-00BEC0D36849}"/>
    <cellStyle name="Comma 4 3 2 4 7" xfId="36333" xr:uid="{76123F72-5C14-462A-97D7-8AA5F282A1DE}"/>
    <cellStyle name="Comma 4 3 2 4 8" xfId="10139" xr:uid="{96ACBF82-6C51-4821-A913-5A0231DB9ACA}"/>
    <cellStyle name="Comma 4 3 2 5" xfId="1135" xr:uid="{00000000-0005-0000-0000-00005E090000}"/>
    <cellStyle name="Comma 4 3 2 5 2" xfId="3366" xr:uid="{00000000-0005-0000-0000-00005F090000}"/>
    <cellStyle name="Comma 4 3 2 5 2 2" xfId="7588" xr:uid="{00000000-0005-0000-0000-000060090000}"/>
    <cellStyle name="Comma 4 3 2 5 2 2 2" xfId="26214" xr:uid="{3C7BC8FE-D5DB-4763-931A-815CBA53B01A}"/>
    <cellStyle name="Comma 4 3 2 5 2 2 3" xfId="34661" xr:uid="{C2CA713A-8131-4E7C-B7C3-D6AF3947F8FF}"/>
    <cellStyle name="Comma 4 3 2 5 2 2 4" xfId="43108" xr:uid="{D7009BC9-E5F7-4BCC-AD91-372299D77BFD}"/>
    <cellStyle name="Comma 4 3 2 5 2 2 5" xfId="16914" xr:uid="{F9BC75CB-23B0-4BE5-B9B0-74C7A85AD474}"/>
    <cellStyle name="Comma 4 3 2 5 2 3" xfId="21997" xr:uid="{8DE13E8B-81F9-499A-8D15-052F3D1EB613}"/>
    <cellStyle name="Comma 4 3 2 5 2 4" xfId="30444" xr:uid="{A88A58AA-0565-4DA4-98FA-9A6D260FC3F6}"/>
    <cellStyle name="Comma 4 3 2 5 2 5" xfId="38891" xr:uid="{C7F19820-EFE9-4A21-B9B7-384E7714BE59}"/>
    <cellStyle name="Comma 4 3 2 5 2 6" xfId="12697" xr:uid="{A1E0EABD-FAD0-4225-8133-E20FE692BB96}"/>
    <cellStyle name="Comma 4 3 2 5 3" xfId="5443" xr:uid="{00000000-0005-0000-0000-000061090000}"/>
    <cellStyle name="Comma 4 3 2 5 3 2" xfId="24069" xr:uid="{8F2DFFCE-6664-411F-AD67-E14FD53519B5}"/>
    <cellStyle name="Comma 4 3 2 5 3 3" xfId="32516" xr:uid="{59FF78F2-A924-46AB-8F5E-3AD651A59562}"/>
    <cellStyle name="Comma 4 3 2 5 3 4" xfId="40963" xr:uid="{AA5B00CC-B832-4BC9-AB3E-96232991A67D}"/>
    <cellStyle name="Comma 4 3 2 5 3 5" xfId="14769" xr:uid="{F1FC4833-6E22-4FC9-9CF5-F2C97C887494}"/>
    <cellStyle name="Comma 4 3 2 5 4" xfId="19852" xr:uid="{FF031FAB-69C7-4714-BD6D-E44B2F4F0F90}"/>
    <cellStyle name="Comma 4 3 2 5 5" xfId="28299" xr:uid="{B8C92088-AB9C-4E55-A4A5-A011CCCCBD25}"/>
    <cellStyle name="Comma 4 3 2 5 6" xfId="36746" xr:uid="{D30B9247-4776-4130-9CD8-75B11F6CCC56}"/>
    <cellStyle name="Comma 4 3 2 5 7" xfId="10552" xr:uid="{EB1E26C6-B4AB-4D5A-A0A0-0D187FE5F761}"/>
    <cellStyle name="Comma 4 3 2 6" xfId="1549" xr:uid="{00000000-0005-0000-0000-000062090000}"/>
    <cellStyle name="Comma 4 3 2 6 2" xfId="3779" xr:uid="{00000000-0005-0000-0000-000063090000}"/>
    <cellStyle name="Comma 4 3 2 6 2 2" xfId="8001" xr:uid="{00000000-0005-0000-0000-000064090000}"/>
    <cellStyle name="Comma 4 3 2 6 2 2 2" xfId="26627" xr:uid="{A2AFD410-9780-4F83-8EC7-C491AC8DDB1A}"/>
    <cellStyle name="Comma 4 3 2 6 2 2 3" xfId="35074" xr:uid="{2C2C00F6-61A3-4F0E-B03E-E2CD6F758E5C}"/>
    <cellStyle name="Comma 4 3 2 6 2 2 4" xfId="43521" xr:uid="{9E195AC8-AF07-478E-8295-9F34DBF899A0}"/>
    <cellStyle name="Comma 4 3 2 6 2 2 5" xfId="17327" xr:uid="{3A9D251F-8216-4B23-9E99-FD5396B0BD4A}"/>
    <cellStyle name="Comma 4 3 2 6 2 3" xfId="22410" xr:uid="{3B1C8948-ABC7-4F2E-94E1-7F0510A8A8A4}"/>
    <cellStyle name="Comma 4 3 2 6 2 4" xfId="30857" xr:uid="{FD2AB901-D68D-4A62-AA65-8CFD1A562A58}"/>
    <cellStyle name="Comma 4 3 2 6 2 5" xfId="39304" xr:uid="{A0AD9B23-2E78-47D8-B2B9-AC778EA98DE1}"/>
    <cellStyle name="Comma 4 3 2 6 2 6" xfId="13110" xr:uid="{057CCCC9-1317-4144-ACC9-3C40E61C9464}"/>
    <cellStyle name="Comma 4 3 2 6 3" xfId="5856" xr:uid="{00000000-0005-0000-0000-000065090000}"/>
    <cellStyle name="Comma 4 3 2 6 3 2" xfId="24482" xr:uid="{7D7927C0-170C-4718-9FE6-3059AB1F5107}"/>
    <cellStyle name="Comma 4 3 2 6 3 3" xfId="32929" xr:uid="{444FF9E5-872E-45C5-99EF-9BE169D0E4FD}"/>
    <cellStyle name="Comma 4 3 2 6 3 4" xfId="41376" xr:uid="{26F0F1B2-B213-4C5D-8B93-9DEFB205F505}"/>
    <cellStyle name="Comma 4 3 2 6 3 5" xfId="15182" xr:uid="{05F1C065-1BC7-485E-9498-8BC1F09BD155}"/>
    <cellStyle name="Comma 4 3 2 6 4" xfId="20265" xr:uid="{C0BC76B0-8917-4A9C-BCF1-3DA2667D4B55}"/>
    <cellStyle name="Comma 4 3 2 6 5" xfId="28712" xr:uid="{747017CF-3848-4ACF-B7D9-C356E9C8A91E}"/>
    <cellStyle name="Comma 4 3 2 6 6" xfId="37159" xr:uid="{A9C94EF5-290F-4E0B-98EF-976885AB799F}"/>
    <cellStyle name="Comma 4 3 2 6 7" xfId="10965" xr:uid="{152EEB31-BC8A-449C-9756-87BB14282174}"/>
    <cellStyle name="Comma 4 3 2 7" xfId="1963" xr:uid="{00000000-0005-0000-0000-000066090000}"/>
    <cellStyle name="Comma 4 3 2 7 2" xfId="4192" xr:uid="{00000000-0005-0000-0000-000067090000}"/>
    <cellStyle name="Comma 4 3 2 7 2 2" xfId="8414" xr:uid="{00000000-0005-0000-0000-000068090000}"/>
    <cellStyle name="Comma 4 3 2 7 2 2 2" xfId="27040" xr:uid="{F1639054-2CCE-4035-BB98-2F2C27E4D7D0}"/>
    <cellStyle name="Comma 4 3 2 7 2 2 3" xfId="35487" xr:uid="{4526BD9B-1BD8-49DF-97BE-59F08495C70A}"/>
    <cellStyle name="Comma 4 3 2 7 2 2 4" xfId="43934" xr:uid="{5E2A6636-62F4-4385-8380-26C8C27C8D73}"/>
    <cellStyle name="Comma 4 3 2 7 2 2 5" xfId="17740" xr:uid="{828460FE-B877-44F4-91F6-7F2AA15B5532}"/>
    <cellStyle name="Comma 4 3 2 7 2 3" xfId="22823" xr:uid="{DCACB311-596E-467D-A70D-B92309B04B2D}"/>
    <cellStyle name="Comma 4 3 2 7 2 4" xfId="31270" xr:uid="{31D83772-6D3B-41A2-91DC-AA2BD81DFB4C}"/>
    <cellStyle name="Comma 4 3 2 7 2 5" xfId="39717" xr:uid="{5552528C-CFC1-4C79-A0EB-1D657E112EB6}"/>
    <cellStyle name="Comma 4 3 2 7 2 6" xfId="13523" xr:uid="{EBA326D7-C30C-44BE-9847-E71038757DB4}"/>
    <cellStyle name="Comma 4 3 2 7 3" xfId="6269" xr:uid="{00000000-0005-0000-0000-000069090000}"/>
    <cellStyle name="Comma 4 3 2 7 3 2" xfId="24895" xr:uid="{5C76A2F7-A96F-4090-B623-E8DA3B6075B7}"/>
    <cellStyle name="Comma 4 3 2 7 3 3" xfId="33342" xr:uid="{7966A97B-7A69-4AC1-8557-4681BB9BEC4C}"/>
    <cellStyle name="Comma 4 3 2 7 3 4" xfId="41789" xr:uid="{29333FBD-0CA0-438A-9702-1F73A81FED09}"/>
    <cellStyle name="Comma 4 3 2 7 3 5" xfId="15595" xr:uid="{2C31253A-2813-4D0B-8A26-276126E6BFFA}"/>
    <cellStyle name="Comma 4 3 2 7 4" xfId="20678" xr:uid="{DAD3E657-354A-4BFD-8346-926ED33B20C8}"/>
    <cellStyle name="Comma 4 3 2 7 5" xfId="29125" xr:uid="{8C2358E5-B6ED-4F17-9B54-90A8155757D3}"/>
    <cellStyle name="Comma 4 3 2 7 6" xfId="37572" xr:uid="{8E44A410-2951-4149-8054-0CAD3D616BE6}"/>
    <cellStyle name="Comma 4 3 2 7 7" xfId="11378" xr:uid="{F9846119-4DA1-460C-A364-5BB43FCE69D3}"/>
    <cellStyle name="Comma 4 3 2 8" xfId="2398" xr:uid="{00000000-0005-0000-0000-00006A090000}"/>
    <cellStyle name="Comma 4 3 2 8 2" xfId="6682" xr:uid="{00000000-0005-0000-0000-00006B090000}"/>
    <cellStyle name="Comma 4 3 2 8 2 2" xfId="25308" xr:uid="{142120BB-A28F-4B10-8FF7-BB41C35F48D7}"/>
    <cellStyle name="Comma 4 3 2 8 2 3" xfId="33755" xr:uid="{6B2FFCFA-1D9B-4A50-BBEE-A31B8AAAE458}"/>
    <cellStyle name="Comma 4 3 2 8 2 4" xfId="42202" xr:uid="{1EAB0EEB-3666-4824-9CDA-D2BC38E4EFC6}"/>
    <cellStyle name="Comma 4 3 2 8 2 5" xfId="16008" xr:uid="{7E5478C8-1FF2-4E45-826B-061E1B62FFB1}"/>
    <cellStyle name="Comma 4 3 2 8 3" xfId="21091" xr:uid="{0AA71D2F-ABBC-4520-9262-13278E3221BC}"/>
    <cellStyle name="Comma 4 3 2 8 4" xfId="29538" xr:uid="{D563BDCB-26CA-4ADE-B45E-84B5D2296126}"/>
    <cellStyle name="Comma 4 3 2 8 5" xfId="37985" xr:uid="{D5B514DE-ADA3-4E59-A9EA-46B3D4523213}"/>
    <cellStyle name="Comma 4 3 2 8 6" xfId="11791" xr:uid="{A59C733E-D5C1-4C85-8913-EEE912F321B5}"/>
    <cellStyle name="Comma 4 3 2 9" xfId="2365" xr:uid="{00000000-0005-0000-0000-00006C090000}"/>
    <cellStyle name="Comma 4 3 3" xfId="149" xr:uid="{00000000-0005-0000-0000-00006D090000}"/>
    <cellStyle name="Comma 4 3 3 10" xfId="4620" xr:uid="{00000000-0005-0000-0000-00006E090000}"/>
    <cellStyle name="Comma 4 3 3 10 2" xfId="23246" xr:uid="{EB2451BA-8D44-4AC3-A3A8-3AF2C39A86D9}"/>
    <cellStyle name="Comma 4 3 3 10 3" xfId="31693" xr:uid="{BD3288C0-4CB1-4973-89FC-C3B108664D79}"/>
    <cellStyle name="Comma 4 3 3 10 4" xfId="40140" xr:uid="{FA40AAD9-7803-4A3D-B18B-CB82C7231682}"/>
    <cellStyle name="Comma 4 3 3 10 5" xfId="13946" xr:uid="{94907798-CC1B-4B1B-A40B-974EF33A5EC3}"/>
    <cellStyle name="Comma 4 3 3 11" xfId="8881" xr:uid="{ACA3BC7C-CED7-49C2-9DC3-E2A3989962E9}"/>
    <cellStyle name="Comma 4 3 3 11 2" xfId="18205" xr:uid="{4B5F3BBD-AF43-4611-BBDC-9174AE39256D}"/>
    <cellStyle name="Comma 4 3 3 12" xfId="19029" xr:uid="{BBCCDB68-AA25-4D2D-8532-E9B945ED052C}"/>
    <cellStyle name="Comma 4 3 3 13" xfId="27476" xr:uid="{8CF01784-9E05-463E-A939-6B8357E07DCF}"/>
    <cellStyle name="Comma 4 3 3 14" xfId="35923" xr:uid="{2EC25B36-2D6C-4B37-9E86-00C5357E3608}"/>
    <cellStyle name="Comma 4 3 3 15" xfId="9729" xr:uid="{6B154E69-2497-40A7-B809-1A27C31964FC}"/>
    <cellStyle name="Comma 4 3 3 2" xfId="150" xr:uid="{00000000-0005-0000-0000-00006F090000}"/>
    <cellStyle name="Comma 4 3 3 2 10" xfId="9088" xr:uid="{D40CFC42-DEA3-4A4C-8532-2B6CFC29229D}"/>
    <cellStyle name="Comma 4 3 3 2 10 2" xfId="18412" xr:uid="{38606834-7AC0-451C-9199-52E471953BF4}"/>
    <cellStyle name="Comma 4 3 3 2 11" xfId="19030" xr:uid="{3BFCA188-6988-4F85-BEB1-843AB770F075}"/>
    <cellStyle name="Comma 4 3 3 2 12" xfId="27477" xr:uid="{95B101D4-A6F0-4D92-95E3-4E1E889E53AA}"/>
    <cellStyle name="Comma 4 3 3 2 13" xfId="35924" xr:uid="{53A8667C-6820-4AFA-92DC-947DD379002C}"/>
    <cellStyle name="Comma 4 3 3 2 14" xfId="9730" xr:uid="{C74357DF-2318-4CEE-8DFC-7A9348812074}"/>
    <cellStyle name="Comma 4 3 3 2 2" xfId="687" xr:uid="{00000000-0005-0000-0000-000070090000}"/>
    <cellStyle name="Comma 4 3 3 2 2 2" xfId="2958" xr:uid="{00000000-0005-0000-0000-000071090000}"/>
    <cellStyle name="Comma 4 3 3 2 2 2 2" xfId="7180" xr:uid="{00000000-0005-0000-0000-000072090000}"/>
    <cellStyle name="Comma 4 3 3 2 2 2 2 2" xfId="25806" xr:uid="{E6A7970D-C123-4710-AB85-C6D7DBA9790A}"/>
    <cellStyle name="Comma 4 3 3 2 2 2 2 3" xfId="34253" xr:uid="{8DFD4BD8-720B-4151-A012-5E68944863C5}"/>
    <cellStyle name="Comma 4 3 3 2 2 2 2 4" xfId="42700" xr:uid="{BF6326D4-8BC6-445D-9B0C-D98FD422BFDB}"/>
    <cellStyle name="Comma 4 3 3 2 2 2 2 5" xfId="16506" xr:uid="{E9708EF7-65BE-46B5-BAC8-FBDE75C9BAF7}"/>
    <cellStyle name="Comma 4 3 3 2 2 2 3" xfId="21589" xr:uid="{4F57E3C4-5A73-4FDE-8961-5AFF0A1C0219}"/>
    <cellStyle name="Comma 4 3 3 2 2 2 4" xfId="30036" xr:uid="{08A1D79F-32F5-4A7C-BCFC-C2934382703D}"/>
    <cellStyle name="Comma 4 3 3 2 2 2 5" xfId="38483" xr:uid="{116BF109-2491-4785-A58E-D84377F85809}"/>
    <cellStyle name="Comma 4 3 3 2 2 2 6" xfId="12289" xr:uid="{CEA307FB-6052-4D95-A95E-D1E80611321C}"/>
    <cellStyle name="Comma 4 3 3 2 2 3" xfId="5035" xr:uid="{00000000-0005-0000-0000-000073090000}"/>
    <cellStyle name="Comma 4 3 3 2 2 3 2" xfId="23661" xr:uid="{E1CDD7DD-42B2-4C61-8E91-90D4E2402467}"/>
    <cellStyle name="Comma 4 3 3 2 2 3 3" xfId="32108" xr:uid="{0BEDD243-B2FA-4B04-A25B-D3183081DE15}"/>
    <cellStyle name="Comma 4 3 3 2 2 3 4" xfId="40555" xr:uid="{742D0A73-7661-415F-9537-440F4984DB20}"/>
    <cellStyle name="Comma 4 3 3 2 2 3 5" xfId="14361" xr:uid="{97B582B3-30FD-429B-B8E6-BE59D85B3D36}"/>
    <cellStyle name="Comma 4 3 3 2 2 4" xfId="9513" xr:uid="{986E0DAD-8ABC-4DAC-9C56-EF87B6B3B829}"/>
    <cellStyle name="Comma 4 3 3 2 2 4 2" xfId="18829" xr:uid="{A9B8FCFA-3556-4E6F-9F8D-709D1EABE95C}"/>
    <cellStyle name="Comma 4 3 3 2 2 5" xfId="19444" xr:uid="{1342D074-6832-4457-B8F8-164DABCAE008}"/>
    <cellStyle name="Comma 4 3 3 2 2 6" xfId="27891" xr:uid="{EBC49EEF-94A3-41E9-B617-47CF42258B5E}"/>
    <cellStyle name="Comma 4 3 3 2 2 7" xfId="36338" xr:uid="{5B84958C-8059-4055-8A43-8D1B098A1F58}"/>
    <cellStyle name="Comma 4 3 3 2 2 8" xfId="10144" xr:uid="{A163C066-3D87-4BCF-87B9-2074A0369919}"/>
    <cellStyle name="Comma 4 3 3 2 3" xfId="1140" xr:uid="{00000000-0005-0000-0000-000074090000}"/>
    <cellStyle name="Comma 4 3 3 2 3 2" xfId="3371" xr:uid="{00000000-0005-0000-0000-000075090000}"/>
    <cellStyle name="Comma 4 3 3 2 3 2 2" xfId="7593" xr:uid="{00000000-0005-0000-0000-000076090000}"/>
    <cellStyle name="Comma 4 3 3 2 3 2 2 2" xfId="26219" xr:uid="{E788BC32-6ADB-43F1-BDE0-96E0E41C2CAC}"/>
    <cellStyle name="Comma 4 3 3 2 3 2 2 3" xfId="34666" xr:uid="{542B64B1-631F-4916-A006-15CAC069B72E}"/>
    <cellStyle name="Comma 4 3 3 2 3 2 2 4" xfId="43113" xr:uid="{AA06FFF5-341E-4EBC-AA7B-6557AEE19E0E}"/>
    <cellStyle name="Comma 4 3 3 2 3 2 2 5" xfId="16919" xr:uid="{A700180E-B3F5-4B1B-ADD6-053AD259A740}"/>
    <cellStyle name="Comma 4 3 3 2 3 2 3" xfId="22002" xr:uid="{5AE5556C-94A8-45D0-A26C-BB94DD662AD4}"/>
    <cellStyle name="Comma 4 3 3 2 3 2 4" xfId="30449" xr:uid="{0BA9F87E-A8BC-46CD-95EB-EC10E0871A00}"/>
    <cellStyle name="Comma 4 3 3 2 3 2 5" xfId="38896" xr:uid="{0F83C588-0AD8-49AD-AF72-F6C7F0D1E2A4}"/>
    <cellStyle name="Comma 4 3 3 2 3 2 6" xfId="12702" xr:uid="{C7D843D6-EB61-44F8-B919-6BFF08F8DF87}"/>
    <cellStyle name="Comma 4 3 3 2 3 3" xfId="5448" xr:uid="{00000000-0005-0000-0000-000077090000}"/>
    <cellStyle name="Comma 4 3 3 2 3 3 2" xfId="24074" xr:uid="{36AA6974-7DC2-44E1-BC97-A8FC95D6D9AD}"/>
    <cellStyle name="Comma 4 3 3 2 3 3 3" xfId="32521" xr:uid="{3C200886-BE90-40E2-8C2D-69B8B230F335}"/>
    <cellStyle name="Comma 4 3 3 2 3 3 4" xfId="40968" xr:uid="{EBD4147C-D33E-4BA8-BEEF-164CFAC4A452}"/>
    <cellStyle name="Comma 4 3 3 2 3 3 5" xfId="14774" xr:uid="{38D4B473-0069-424B-9A59-304341A001EF}"/>
    <cellStyle name="Comma 4 3 3 2 3 4" xfId="19857" xr:uid="{703C1B28-58AE-46FF-99C3-BDCCE2540EB9}"/>
    <cellStyle name="Comma 4 3 3 2 3 5" xfId="28304" xr:uid="{FF9B447D-221F-4B76-82E4-15E1B48BCDBA}"/>
    <cellStyle name="Comma 4 3 3 2 3 6" xfId="36751" xr:uid="{8C73A3AE-B9F0-43E7-BCF7-123123363E92}"/>
    <cellStyle name="Comma 4 3 3 2 3 7" xfId="10557" xr:uid="{027CDE0D-89E1-488F-BBB6-9843330480F8}"/>
    <cellStyle name="Comma 4 3 3 2 4" xfId="1554" xr:uid="{00000000-0005-0000-0000-000078090000}"/>
    <cellStyle name="Comma 4 3 3 2 4 2" xfId="3784" xr:uid="{00000000-0005-0000-0000-000079090000}"/>
    <cellStyle name="Comma 4 3 3 2 4 2 2" xfId="8006" xr:uid="{00000000-0005-0000-0000-00007A090000}"/>
    <cellStyle name="Comma 4 3 3 2 4 2 2 2" xfId="26632" xr:uid="{ADBA0003-C6F1-4B79-8152-F04C95DFFFD5}"/>
    <cellStyle name="Comma 4 3 3 2 4 2 2 3" xfId="35079" xr:uid="{62C3283B-0357-4BC8-B9E3-379278F03017}"/>
    <cellStyle name="Comma 4 3 3 2 4 2 2 4" xfId="43526" xr:uid="{69B428F2-052A-4EBD-8537-B51BA0C46F8D}"/>
    <cellStyle name="Comma 4 3 3 2 4 2 2 5" xfId="17332" xr:uid="{3C15CF17-3EC8-4CFC-9F8D-6BC2C855BAF3}"/>
    <cellStyle name="Comma 4 3 3 2 4 2 3" xfId="22415" xr:uid="{C73E0624-0A59-4AAD-AE3B-7AAC56EA8FE6}"/>
    <cellStyle name="Comma 4 3 3 2 4 2 4" xfId="30862" xr:uid="{34C9A930-EBA3-4C67-9D1D-8CE2C76A90CC}"/>
    <cellStyle name="Comma 4 3 3 2 4 2 5" xfId="39309" xr:uid="{6DE7A30C-0B13-4B67-8E3B-7217BF4861DE}"/>
    <cellStyle name="Comma 4 3 3 2 4 2 6" xfId="13115" xr:uid="{E02FE207-6C8E-4787-8595-55B88C3434BE}"/>
    <cellStyle name="Comma 4 3 3 2 4 3" xfId="5861" xr:uid="{00000000-0005-0000-0000-00007B090000}"/>
    <cellStyle name="Comma 4 3 3 2 4 3 2" xfId="24487" xr:uid="{F79B59D3-9C6D-4FC3-8B00-672E35DC0F4B}"/>
    <cellStyle name="Comma 4 3 3 2 4 3 3" xfId="32934" xr:uid="{4A1FAB9B-6B4B-47C1-96F5-F14901290210}"/>
    <cellStyle name="Comma 4 3 3 2 4 3 4" xfId="41381" xr:uid="{7C57C4E4-C2D8-49AD-879E-0FD453F732E8}"/>
    <cellStyle name="Comma 4 3 3 2 4 3 5" xfId="15187" xr:uid="{F66A4DEF-21E9-4654-9B62-63EA9880D451}"/>
    <cellStyle name="Comma 4 3 3 2 4 4" xfId="20270" xr:uid="{2E5B9BDA-9FC4-45E6-A80C-E63BC4EFE955}"/>
    <cellStyle name="Comma 4 3 3 2 4 5" xfId="28717" xr:uid="{31D67E98-27FD-4A61-9C0E-2B17F7B90E75}"/>
    <cellStyle name="Comma 4 3 3 2 4 6" xfId="37164" xr:uid="{35F7F31E-67A6-40B1-8306-2E41750BF077}"/>
    <cellStyle name="Comma 4 3 3 2 4 7" xfId="10970" xr:uid="{D59B71CC-0B8F-44D5-88DF-F7A173969CC1}"/>
    <cellStyle name="Comma 4 3 3 2 5" xfId="1968" xr:uid="{00000000-0005-0000-0000-00007C090000}"/>
    <cellStyle name="Comma 4 3 3 2 5 2" xfId="4197" xr:uid="{00000000-0005-0000-0000-00007D090000}"/>
    <cellStyle name="Comma 4 3 3 2 5 2 2" xfId="8419" xr:uid="{00000000-0005-0000-0000-00007E090000}"/>
    <cellStyle name="Comma 4 3 3 2 5 2 2 2" xfId="27045" xr:uid="{19C6EFFD-7736-4EA5-B9DA-25BB60521946}"/>
    <cellStyle name="Comma 4 3 3 2 5 2 2 3" xfId="35492" xr:uid="{0E742544-1A3E-4FD7-AA7B-044CEA0FB6FC}"/>
    <cellStyle name="Comma 4 3 3 2 5 2 2 4" xfId="43939" xr:uid="{2E094CB4-9CF4-4304-ADC9-380CFB2371EE}"/>
    <cellStyle name="Comma 4 3 3 2 5 2 2 5" xfId="17745" xr:uid="{779E2AF7-EA48-403F-81D5-0B355CADBEED}"/>
    <cellStyle name="Comma 4 3 3 2 5 2 3" xfId="22828" xr:uid="{69F6773E-613D-4817-B40E-514803CADE7C}"/>
    <cellStyle name="Comma 4 3 3 2 5 2 4" xfId="31275" xr:uid="{615026C9-6D1E-4F45-95B4-92B790EA66B7}"/>
    <cellStyle name="Comma 4 3 3 2 5 2 5" xfId="39722" xr:uid="{BF5A2473-6BDD-4515-95FC-86E99D3167C9}"/>
    <cellStyle name="Comma 4 3 3 2 5 2 6" xfId="13528" xr:uid="{38734E67-0502-4758-BDA1-ACAD96DFB234}"/>
    <cellStyle name="Comma 4 3 3 2 5 3" xfId="6274" xr:uid="{00000000-0005-0000-0000-00007F090000}"/>
    <cellStyle name="Comma 4 3 3 2 5 3 2" xfId="24900" xr:uid="{3D745342-CE64-4CE4-A72D-8A5D34379BFB}"/>
    <cellStyle name="Comma 4 3 3 2 5 3 3" xfId="33347" xr:uid="{ED9C8E93-4DC2-47BE-BBA8-FED1ADA603C7}"/>
    <cellStyle name="Comma 4 3 3 2 5 3 4" xfId="41794" xr:uid="{DEAFCD54-A04E-4BD4-8AB4-F6D8E6CA439F}"/>
    <cellStyle name="Comma 4 3 3 2 5 3 5" xfId="15600" xr:uid="{C6F33C94-908B-4F0D-B942-C44730F6B366}"/>
    <cellStyle name="Comma 4 3 3 2 5 4" xfId="20683" xr:uid="{7CEC2BC8-5C06-4046-8884-9EF70D03817E}"/>
    <cellStyle name="Comma 4 3 3 2 5 5" xfId="29130" xr:uid="{46833C79-50AD-4636-9E8B-68F63EF62A3F}"/>
    <cellStyle name="Comma 4 3 3 2 5 6" xfId="37577" xr:uid="{B4972B8F-6A17-4DAA-AFF0-440E4E87CF2A}"/>
    <cellStyle name="Comma 4 3 3 2 5 7" xfId="11383" xr:uid="{99B6A515-A546-4627-81F1-37203B895AEF}"/>
    <cellStyle name="Comma 4 3 3 2 6" xfId="2403" xr:uid="{00000000-0005-0000-0000-000080090000}"/>
    <cellStyle name="Comma 4 3 3 2 6 2" xfId="6687" xr:uid="{00000000-0005-0000-0000-000081090000}"/>
    <cellStyle name="Comma 4 3 3 2 6 2 2" xfId="25313" xr:uid="{7AF53115-42D0-4063-AEE0-5F0FECE13DEB}"/>
    <cellStyle name="Comma 4 3 3 2 6 2 3" xfId="33760" xr:uid="{B0E350F7-7847-4929-9CB3-15BC3029D7B9}"/>
    <cellStyle name="Comma 4 3 3 2 6 2 4" xfId="42207" xr:uid="{53EF1E78-C2AC-427D-9CEA-E92A65EE3247}"/>
    <cellStyle name="Comma 4 3 3 2 6 2 5" xfId="16013" xr:uid="{975C348D-B33C-4337-B70A-C2828ED8C4DD}"/>
    <cellStyle name="Comma 4 3 3 2 6 3" xfId="21096" xr:uid="{2AF6F136-0303-4D16-A908-955D000AD187}"/>
    <cellStyle name="Comma 4 3 3 2 6 4" xfId="29543" xr:uid="{01B08F1B-84F8-44A3-BB90-8D3E4FCCB482}"/>
    <cellStyle name="Comma 4 3 3 2 6 5" xfId="37990" xr:uid="{9CDFFCFD-0B42-439B-A03F-1FE87FD4F539}"/>
    <cellStyle name="Comma 4 3 3 2 6 6" xfId="11796" xr:uid="{F68697CD-DACE-4B53-93A3-E30BF052BDB8}"/>
    <cellStyle name="Comma 4 3 3 2 7" xfId="2360" xr:uid="{00000000-0005-0000-0000-000082090000}"/>
    <cellStyle name="Comma 4 3 3 2 8" xfId="2781" xr:uid="{00000000-0005-0000-0000-000083090000}"/>
    <cellStyle name="Comma 4 3 3 2 8 2" xfId="7004" xr:uid="{00000000-0005-0000-0000-000084090000}"/>
    <cellStyle name="Comma 4 3 3 2 8 2 2" xfId="25630" xr:uid="{51AD24CE-552D-408C-8184-933D19310439}"/>
    <cellStyle name="Comma 4 3 3 2 8 2 3" xfId="34077" xr:uid="{E9A3A418-68C4-4E97-BE56-2B0C3DC05EF1}"/>
    <cellStyle name="Comma 4 3 3 2 8 2 4" xfId="42524" xr:uid="{39645371-4028-4341-AE5A-3DE88CD79BDA}"/>
    <cellStyle name="Comma 4 3 3 2 8 2 5" xfId="16330" xr:uid="{C9789A84-45DE-4AAB-8AC6-9A434057D930}"/>
    <cellStyle name="Comma 4 3 3 2 8 3" xfId="21413" xr:uid="{F98C1C26-BE20-4663-B2CA-6BBADFA8A20B}"/>
    <cellStyle name="Comma 4 3 3 2 8 4" xfId="29860" xr:uid="{D0ACC129-9D23-405D-8811-99E7D048798F}"/>
    <cellStyle name="Comma 4 3 3 2 8 5" xfId="38307" xr:uid="{AB55E48E-38FE-4B77-AD97-FC13682EDCD7}"/>
    <cellStyle name="Comma 4 3 3 2 8 6" xfId="12113" xr:uid="{89DF8EB5-5160-446C-8CE3-32B2086E0BB5}"/>
    <cellStyle name="Comma 4 3 3 2 9" xfId="4621" xr:uid="{00000000-0005-0000-0000-000085090000}"/>
    <cellStyle name="Comma 4 3 3 2 9 2" xfId="23247" xr:uid="{E9DF45AC-3A78-4F51-8379-DE624C45D6B8}"/>
    <cellStyle name="Comma 4 3 3 2 9 3" xfId="31694" xr:uid="{C176AB49-9EBD-4208-AE82-04F3D4A05340}"/>
    <cellStyle name="Comma 4 3 3 2 9 4" xfId="40141" xr:uid="{A5CD8FDF-7B50-4B26-84A2-30CFF041593F}"/>
    <cellStyle name="Comma 4 3 3 2 9 5" xfId="13947" xr:uid="{838F1326-19FC-4631-B939-20D41B05BF60}"/>
    <cellStyle name="Comma 4 3 3 3" xfId="686" xr:uid="{00000000-0005-0000-0000-000086090000}"/>
    <cellStyle name="Comma 4 3 3 3 2" xfId="2957" xr:uid="{00000000-0005-0000-0000-000087090000}"/>
    <cellStyle name="Comma 4 3 3 3 2 2" xfId="7179" xr:uid="{00000000-0005-0000-0000-000088090000}"/>
    <cellStyle name="Comma 4 3 3 3 2 2 2" xfId="25805" xr:uid="{6970216D-874A-4A95-97C6-3A7976842389}"/>
    <cellStyle name="Comma 4 3 3 3 2 2 3" xfId="34252" xr:uid="{FDAA339D-EDAF-4F28-843F-EE084DAC64AD}"/>
    <cellStyle name="Comma 4 3 3 3 2 2 4" xfId="42699" xr:uid="{33EA5C39-F6D3-43B5-BAE2-26DAE87081B9}"/>
    <cellStyle name="Comma 4 3 3 3 2 2 5" xfId="16505" xr:uid="{4FB3C665-E7AE-403B-BEC1-595F281F2ACF}"/>
    <cellStyle name="Comma 4 3 3 3 2 3" xfId="21588" xr:uid="{CB53ABD1-C307-4A0D-864A-1EC8C52E4437}"/>
    <cellStyle name="Comma 4 3 3 3 2 4" xfId="30035" xr:uid="{F1B29661-F828-4F9E-B7CD-09864A91B4C7}"/>
    <cellStyle name="Comma 4 3 3 3 2 5" xfId="38482" xr:uid="{FE845EEE-4DDB-4FE6-BF0C-832A64AF30E1}"/>
    <cellStyle name="Comma 4 3 3 3 2 6" xfId="12288" xr:uid="{525A8501-918A-468C-8BF0-D67A3555BCE6}"/>
    <cellStyle name="Comma 4 3 3 3 3" xfId="5034" xr:uid="{00000000-0005-0000-0000-000089090000}"/>
    <cellStyle name="Comma 4 3 3 3 3 2" xfId="23660" xr:uid="{ECEF62DF-3314-4C73-9D45-5A512B063BB7}"/>
    <cellStyle name="Comma 4 3 3 3 3 3" xfId="32107" xr:uid="{78CFF59B-0230-41EA-B8F1-44E7332EA170}"/>
    <cellStyle name="Comma 4 3 3 3 3 4" xfId="40554" xr:uid="{155E194F-13AB-4AF2-B445-078ED7C2776A}"/>
    <cellStyle name="Comma 4 3 3 3 3 5" xfId="14360" xr:uid="{05EB79A9-5C8E-442A-A7F5-AEDB06D4F831}"/>
    <cellStyle name="Comma 4 3 3 3 4" xfId="9306" xr:uid="{6AC2749B-EC1D-4760-AD4B-F36381A669B6}"/>
    <cellStyle name="Comma 4 3 3 3 4 2" xfId="18622" xr:uid="{2107BACE-FD82-488B-B8D4-DB5609F34E68}"/>
    <cellStyle name="Comma 4 3 3 3 5" xfId="19443" xr:uid="{E12CBA47-3401-44AB-8A36-C1820A4D0E8D}"/>
    <cellStyle name="Comma 4 3 3 3 6" xfId="27890" xr:uid="{CF14D688-4213-483C-910D-439B1056635B}"/>
    <cellStyle name="Comma 4 3 3 3 7" xfId="36337" xr:uid="{E6E4D03B-8B49-4490-9C96-80CBC1DEA8FE}"/>
    <cellStyle name="Comma 4 3 3 3 8" xfId="10143" xr:uid="{9976E35C-7BD7-4898-BBFF-4A7DDD3E3F51}"/>
    <cellStyle name="Comma 4 3 3 4" xfId="1139" xr:uid="{00000000-0005-0000-0000-00008A090000}"/>
    <cellStyle name="Comma 4 3 3 4 2" xfId="3370" xr:uid="{00000000-0005-0000-0000-00008B090000}"/>
    <cellStyle name="Comma 4 3 3 4 2 2" xfId="7592" xr:uid="{00000000-0005-0000-0000-00008C090000}"/>
    <cellStyle name="Comma 4 3 3 4 2 2 2" xfId="26218" xr:uid="{2F09EE46-7869-439C-A2A9-CDB581EC30ED}"/>
    <cellStyle name="Comma 4 3 3 4 2 2 3" xfId="34665" xr:uid="{3BA94EBA-7DA6-4492-B6B7-411A3EF82900}"/>
    <cellStyle name="Comma 4 3 3 4 2 2 4" xfId="43112" xr:uid="{5E4A87B5-999C-4B04-AA2E-2FC23831C805}"/>
    <cellStyle name="Comma 4 3 3 4 2 2 5" xfId="16918" xr:uid="{550E71CB-F28B-416F-8693-23568D4CB656}"/>
    <cellStyle name="Comma 4 3 3 4 2 3" xfId="22001" xr:uid="{C58F7DD2-8C3B-46CF-B02D-8EF53071AFE9}"/>
    <cellStyle name="Comma 4 3 3 4 2 4" xfId="30448" xr:uid="{A869C4E5-105D-4FC2-8E4A-815553606A8B}"/>
    <cellStyle name="Comma 4 3 3 4 2 5" xfId="38895" xr:uid="{28C69144-DF6F-4AA3-BB5F-B077C45C55F2}"/>
    <cellStyle name="Comma 4 3 3 4 2 6" xfId="12701" xr:uid="{C6AAEDCF-83BC-44A5-9E02-4B9B8821E544}"/>
    <cellStyle name="Comma 4 3 3 4 3" xfId="5447" xr:uid="{00000000-0005-0000-0000-00008D090000}"/>
    <cellStyle name="Comma 4 3 3 4 3 2" xfId="24073" xr:uid="{30926F81-CF9B-4872-A5C3-ED58C03BCB7F}"/>
    <cellStyle name="Comma 4 3 3 4 3 3" xfId="32520" xr:uid="{F4BC143B-5ED0-49E4-8A9D-873EFF033974}"/>
    <cellStyle name="Comma 4 3 3 4 3 4" xfId="40967" xr:uid="{3AA9E597-DF11-4FA5-9A60-39B5619BD6FE}"/>
    <cellStyle name="Comma 4 3 3 4 3 5" xfId="14773" xr:uid="{7DFA1681-D403-487E-885B-3EE342269683}"/>
    <cellStyle name="Comma 4 3 3 4 4" xfId="19856" xr:uid="{8C951BF6-C024-4439-942E-E8AEE501C53B}"/>
    <cellStyle name="Comma 4 3 3 4 5" xfId="28303" xr:uid="{E29E50E1-896F-453C-88D7-AA51D6794950}"/>
    <cellStyle name="Comma 4 3 3 4 6" xfId="36750" xr:uid="{DBB879E7-AD18-4E8A-9C09-21FBA82A80FA}"/>
    <cellStyle name="Comma 4 3 3 4 7" xfId="10556" xr:uid="{255CE45F-FD86-4AC0-9F28-DB110E641354}"/>
    <cellStyle name="Comma 4 3 3 5" xfId="1553" xr:uid="{00000000-0005-0000-0000-00008E090000}"/>
    <cellStyle name="Comma 4 3 3 5 2" xfId="3783" xr:uid="{00000000-0005-0000-0000-00008F090000}"/>
    <cellStyle name="Comma 4 3 3 5 2 2" xfId="8005" xr:uid="{00000000-0005-0000-0000-000090090000}"/>
    <cellStyle name="Comma 4 3 3 5 2 2 2" xfId="26631" xr:uid="{02BA4392-F04B-4AC1-B8CF-2167338BA2B8}"/>
    <cellStyle name="Comma 4 3 3 5 2 2 3" xfId="35078" xr:uid="{84A2F3CA-35EC-4B0D-994C-8F0B960C7C05}"/>
    <cellStyle name="Comma 4 3 3 5 2 2 4" xfId="43525" xr:uid="{EC6FED78-7896-46FB-A6B9-F1CFCE912D39}"/>
    <cellStyle name="Comma 4 3 3 5 2 2 5" xfId="17331" xr:uid="{7BD8ABF1-C18E-4DF2-BD6D-F8987C351256}"/>
    <cellStyle name="Comma 4 3 3 5 2 3" xfId="22414" xr:uid="{7E2523FB-C73B-4E86-87F1-8E190BADD1D7}"/>
    <cellStyle name="Comma 4 3 3 5 2 4" xfId="30861" xr:uid="{183372BF-A9EA-4DD8-8A41-C79841BC4877}"/>
    <cellStyle name="Comma 4 3 3 5 2 5" xfId="39308" xr:uid="{EFF7E887-CA71-4751-9610-3013D9FFB55C}"/>
    <cellStyle name="Comma 4 3 3 5 2 6" xfId="13114" xr:uid="{943AD641-C87D-4628-8A4D-11F0F5EF4C26}"/>
    <cellStyle name="Comma 4 3 3 5 3" xfId="5860" xr:uid="{00000000-0005-0000-0000-000091090000}"/>
    <cellStyle name="Comma 4 3 3 5 3 2" xfId="24486" xr:uid="{6FC90D77-65BD-400D-BF6A-D671ADF21B84}"/>
    <cellStyle name="Comma 4 3 3 5 3 3" xfId="32933" xr:uid="{C72A90B5-9355-473A-A39B-04454EC9E697}"/>
    <cellStyle name="Comma 4 3 3 5 3 4" xfId="41380" xr:uid="{5A65F074-337C-46C2-BF79-FEAA4A5EAB85}"/>
    <cellStyle name="Comma 4 3 3 5 3 5" xfId="15186" xr:uid="{39BAE9AB-BD6B-402E-BBF3-97325F99EC31}"/>
    <cellStyle name="Comma 4 3 3 5 4" xfId="20269" xr:uid="{1E2E7B00-416F-4C24-A096-C07DC5DDD4E3}"/>
    <cellStyle name="Comma 4 3 3 5 5" xfId="28716" xr:uid="{967968AF-0FF6-40F8-A8F8-305696725202}"/>
    <cellStyle name="Comma 4 3 3 5 6" xfId="37163" xr:uid="{923508F6-3E43-40EE-ABD2-86E946D788A7}"/>
    <cellStyle name="Comma 4 3 3 5 7" xfId="10969" xr:uid="{8EB9231D-B32A-4592-BA62-8BE0E3178469}"/>
    <cellStyle name="Comma 4 3 3 6" xfId="1967" xr:uid="{00000000-0005-0000-0000-000092090000}"/>
    <cellStyle name="Comma 4 3 3 6 2" xfId="4196" xr:uid="{00000000-0005-0000-0000-000093090000}"/>
    <cellStyle name="Comma 4 3 3 6 2 2" xfId="8418" xr:uid="{00000000-0005-0000-0000-000094090000}"/>
    <cellStyle name="Comma 4 3 3 6 2 2 2" xfId="27044" xr:uid="{31A828C5-C119-4CE9-86A9-502DE25BB6D0}"/>
    <cellStyle name="Comma 4 3 3 6 2 2 3" xfId="35491" xr:uid="{3A6765B6-A8CB-411A-8336-5526F850A15F}"/>
    <cellStyle name="Comma 4 3 3 6 2 2 4" xfId="43938" xr:uid="{E75CA5F9-9601-4AD2-B14F-787A6C4F47C2}"/>
    <cellStyle name="Comma 4 3 3 6 2 2 5" xfId="17744" xr:uid="{BF5AFD88-2AF0-4CE7-A92B-2973EC0A3AC9}"/>
    <cellStyle name="Comma 4 3 3 6 2 3" xfId="22827" xr:uid="{57F15ABE-1FAD-4427-B03A-A71578C782C0}"/>
    <cellStyle name="Comma 4 3 3 6 2 4" xfId="31274" xr:uid="{93F9A870-7639-4A37-BF9B-D95FF4E5E3FF}"/>
    <cellStyle name="Comma 4 3 3 6 2 5" xfId="39721" xr:uid="{0042B74E-DD18-41CD-B7B7-4024F30AE513}"/>
    <cellStyle name="Comma 4 3 3 6 2 6" xfId="13527" xr:uid="{72E4AFC0-23B4-4AC6-930F-F501B845A4B1}"/>
    <cellStyle name="Comma 4 3 3 6 3" xfId="6273" xr:uid="{00000000-0005-0000-0000-000095090000}"/>
    <cellStyle name="Comma 4 3 3 6 3 2" xfId="24899" xr:uid="{412405C0-41E5-4F70-929F-F633174BEC88}"/>
    <cellStyle name="Comma 4 3 3 6 3 3" xfId="33346" xr:uid="{FBB805E2-D005-49DE-8162-4AB2985AF2A1}"/>
    <cellStyle name="Comma 4 3 3 6 3 4" xfId="41793" xr:uid="{8318D021-1A0B-4775-93B7-90D1A71C2621}"/>
    <cellStyle name="Comma 4 3 3 6 3 5" xfId="15599" xr:uid="{0AC2BF64-11DF-4199-BA6F-385F79C60B39}"/>
    <cellStyle name="Comma 4 3 3 6 4" xfId="20682" xr:uid="{90625281-7A25-46FF-A323-D3D204E9A840}"/>
    <cellStyle name="Comma 4 3 3 6 5" xfId="29129" xr:uid="{2813BF3A-C9EA-4D90-9B88-D9D2EC967A68}"/>
    <cellStyle name="Comma 4 3 3 6 6" xfId="37576" xr:uid="{55504435-2270-458C-8A42-2EFF0F98BAC5}"/>
    <cellStyle name="Comma 4 3 3 6 7" xfId="11382" xr:uid="{9E110516-2589-4863-AE28-47FD1D8D5C0E}"/>
    <cellStyle name="Comma 4 3 3 7" xfId="2402" xr:uid="{00000000-0005-0000-0000-000096090000}"/>
    <cellStyle name="Comma 4 3 3 7 2" xfId="6686" xr:uid="{00000000-0005-0000-0000-000097090000}"/>
    <cellStyle name="Comma 4 3 3 7 2 2" xfId="25312" xr:uid="{7CD18259-E950-4E70-BC5C-28E0AE067BFC}"/>
    <cellStyle name="Comma 4 3 3 7 2 3" xfId="33759" xr:uid="{C6835792-8E97-4853-AF81-4CD9C27FE4B0}"/>
    <cellStyle name="Comma 4 3 3 7 2 4" xfId="42206" xr:uid="{3D663D05-54DB-4783-9AD3-54BB1F1CA149}"/>
    <cellStyle name="Comma 4 3 3 7 2 5" xfId="16012" xr:uid="{ED536820-2F9C-49D4-A914-45A0747F724C}"/>
    <cellStyle name="Comma 4 3 3 7 3" xfId="21095" xr:uid="{8D20F198-8425-4CE9-ADDA-C046254DCE54}"/>
    <cellStyle name="Comma 4 3 3 7 4" xfId="29542" xr:uid="{A565087C-C553-4F4A-8719-0E4DCBDB730D}"/>
    <cellStyle name="Comma 4 3 3 7 5" xfId="37989" xr:uid="{A30761A2-03A4-4E11-B33F-A13F80160122}"/>
    <cellStyle name="Comma 4 3 3 7 6" xfId="11795" xr:uid="{97BBBC20-729A-4B6B-8951-F26F95A73FED}"/>
    <cellStyle name="Comma 4 3 3 8" xfId="2361" xr:uid="{00000000-0005-0000-0000-000098090000}"/>
    <cellStyle name="Comma 4 3 3 9" xfId="2780" xr:uid="{00000000-0005-0000-0000-000099090000}"/>
    <cellStyle name="Comma 4 3 3 9 2" xfId="7003" xr:uid="{00000000-0005-0000-0000-00009A090000}"/>
    <cellStyle name="Comma 4 3 3 9 2 2" xfId="25629" xr:uid="{F75D84F9-F4CF-42B6-8819-79853AFBA54A}"/>
    <cellStyle name="Comma 4 3 3 9 2 3" xfId="34076" xr:uid="{F1F79708-6C6A-47FF-ADFD-07355A4D0F14}"/>
    <cellStyle name="Comma 4 3 3 9 2 4" xfId="42523" xr:uid="{A4B8F52C-8DE2-4478-8BA6-04E90A8E4CE4}"/>
    <cellStyle name="Comma 4 3 3 9 2 5" xfId="16329" xr:uid="{DCC67B0E-8147-43DD-A308-A8B9E47625BB}"/>
    <cellStyle name="Comma 4 3 3 9 3" xfId="21412" xr:uid="{E9F210C1-421D-43D5-A741-B6635EEBAF9F}"/>
    <cellStyle name="Comma 4 3 3 9 4" xfId="29859" xr:uid="{1F5801FE-E02D-4EC8-9C9E-C2091702EB95}"/>
    <cellStyle name="Comma 4 3 3 9 5" xfId="38306" xr:uid="{A76AA2CD-6F54-49AB-A10A-179E95FFE862}"/>
    <cellStyle name="Comma 4 3 3 9 6" xfId="12112" xr:uid="{69E0CDC8-29D9-47BB-9BE7-BFD783CD011B}"/>
    <cellStyle name="Comma 4 3 4" xfId="151" xr:uid="{00000000-0005-0000-0000-00009B090000}"/>
    <cellStyle name="Comma 4 3 4 10" xfId="8985" xr:uid="{E965CEC1-A932-4F91-9E18-794CBF7DC7FC}"/>
    <cellStyle name="Comma 4 3 4 10 2" xfId="18309" xr:uid="{0B7C4B7E-04B4-44C7-A72B-4002C94BBE43}"/>
    <cellStyle name="Comma 4 3 4 11" xfId="19031" xr:uid="{6F321A48-EFA1-4A97-9D27-9F882381D898}"/>
    <cellStyle name="Comma 4 3 4 12" xfId="27478" xr:uid="{436BE56A-681B-4686-AB9C-DEF7E53DCD97}"/>
    <cellStyle name="Comma 4 3 4 13" xfId="35925" xr:uid="{35074A1B-BB2F-4622-AFDF-312AFFEA643A}"/>
    <cellStyle name="Comma 4 3 4 14" xfId="9731" xr:uid="{5E5CCC63-8598-4657-943D-5634FF8976E0}"/>
    <cellStyle name="Comma 4 3 4 2" xfId="688" xr:uid="{00000000-0005-0000-0000-00009C090000}"/>
    <cellStyle name="Comma 4 3 4 2 2" xfId="2959" xr:uid="{00000000-0005-0000-0000-00009D090000}"/>
    <cellStyle name="Comma 4 3 4 2 2 2" xfId="7181" xr:uid="{00000000-0005-0000-0000-00009E090000}"/>
    <cellStyle name="Comma 4 3 4 2 2 2 2" xfId="25807" xr:uid="{6E8D2D0B-52B9-4DDD-922C-0C35B5DCC1CE}"/>
    <cellStyle name="Comma 4 3 4 2 2 2 3" xfId="34254" xr:uid="{A391FAEC-9FDB-4893-B43E-1BDB14D3DA1B}"/>
    <cellStyle name="Comma 4 3 4 2 2 2 4" xfId="42701" xr:uid="{FBD97842-1E6F-409C-A53A-01AF4F37278E}"/>
    <cellStyle name="Comma 4 3 4 2 2 2 5" xfId="16507" xr:uid="{8C22C653-2B45-4814-9522-582894A1A74B}"/>
    <cellStyle name="Comma 4 3 4 2 2 3" xfId="21590" xr:uid="{8F3D3B9D-2207-4B60-8973-29FFE98FC60A}"/>
    <cellStyle name="Comma 4 3 4 2 2 4" xfId="30037" xr:uid="{5953F1C1-2EB4-4C6B-A9EB-5BCBF649015A}"/>
    <cellStyle name="Comma 4 3 4 2 2 5" xfId="38484" xr:uid="{9B3366E4-5D1B-48A5-B69A-6C987104562C}"/>
    <cellStyle name="Comma 4 3 4 2 2 6" xfId="12290" xr:uid="{F6278847-8065-4786-8682-C1A6B33673DB}"/>
    <cellStyle name="Comma 4 3 4 2 3" xfId="5036" xr:uid="{00000000-0005-0000-0000-00009F090000}"/>
    <cellStyle name="Comma 4 3 4 2 3 2" xfId="23662" xr:uid="{C2A7DF73-F1E4-40C2-A016-562822AEBCEB}"/>
    <cellStyle name="Comma 4 3 4 2 3 3" xfId="32109" xr:uid="{88C29CFD-2FD7-41A8-853F-0265592314E2}"/>
    <cellStyle name="Comma 4 3 4 2 3 4" xfId="40556" xr:uid="{51E6B2A1-44BF-4B0F-98C9-00A6AE7BCF22}"/>
    <cellStyle name="Comma 4 3 4 2 3 5" xfId="14362" xr:uid="{2CAABEBC-47C6-4C53-8616-88BA8D122240}"/>
    <cellStyle name="Comma 4 3 4 2 4" xfId="9410" xr:uid="{54DEC146-6204-4AAF-A15F-BAC0A12B5984}"/>
    <cellStyle name="Comma 4 3 4 2 4 2" xfId="18726" xr:uid="{074DD323-DB14-4507-A6DC-443872C89450}"/>
    <cellStyle name="Comma 4 3 4 2 5" xfId="19445" xr:uid="{E4931FB2-CAED-41F4-8CE2-DCDB82D421F5}"/>
    <cellStyle name="Comma 4 3 4 2 6" xfId="27892" xr:uid="{D5D50E5E-49E0-48FE-AFD4-484BD36CA419}"/>
    <cellStyle name="Comma 4 3 4 2 7" xfId="36339" xr:uid="{7A9D08CB-4A58-45AC-B40E-F050E539A9EE}"/>
    <cellStyle name="Comma 4 3 4 2 8" xfId="10145" xr:uid="{7A5D13BB-B5A7-4C51-8DEC-A67EA142D610}"/>
    <cellStyle name="Comma 4 3 4 3" xfId="1141" xr:uid="{00000000-0005-0000-0000-0000A0090000}"/>
    <cellStyle name="Comma 4 3 4 3 2" xfId="3372" xr:uid="{00000000-0005-0000-0000-0000A1090000}"/>
    <cellStyle name="Comma 4 3 4 3 2 2" xfId="7594" xr:uid="{00000000-0005-0000-0000-0000A2090000}"/>
    <cellStyle name="Comma 4 3 4 3 2 2 2" xfId="26220" xr:uid="{36F3B431-0F7A-442F-8B05-5931F39827CE}"/>
    <cellStyle name="Comma 4 3 4 3 2 2 3" xfId="34667" xr:uid="{F521493E-C401-490B-AD47-B06BD85AB228}"/>
    <cellStyle name="Comma 4 3 4 3 2 2 4" xfId="43114" xr:uid="{61DB7942-25C1-441C-84BD-CB4E619394DC}"/>
    <cellStyle name="Comma 4 3 4 3 2 2 5" xfId="16920" xr:uid="{FF469319-F4FA-49F8-B8EE-623E6774F91C}"/>
    <cellStyle name="Comma 4 3 4 3 2 3" xfId="22003" xr:uid="{04756CBD-34F4-4589-B35D-2D94866B272E}"/>
    <cellStyle name="Comma 4 3 4 3 2 4" xfId="30450" xr:uid="{019909F8-FE90-4F47-BA0E-D05C13E01051}"/>
    <cellStyle name="Comma 4 3 4 3 2 5" xfId="38897" xr:uid="{5E986D2F-DC9B-447D-9617-EF13BF703BCB}"/>
    <cellStyle name="Comma 4 3 4 3 2 6" xfId="12703" xr:uid="{01FAB004-2B1A-4D4E-A405-B733F6DA3C04}"/>
    <cellStyle name="Comma 4 3 4 3 3" xfId="5449" xr:uid="{00000000-0005-0000-0000-0000A3090000}"/>
    <cellStyle name="Comma 4 3 4 3 3 2" xfId="24075" xr:uid="{AEFC6A51-340D-4D1E-9496-3C8EA75EB9BE}"/>
    <cellStyle name="Comma 4 3 4 3 3 3" xfId="32522" xr:uid="{758EB9C3-2A77-462E-814C-C051C7405453}"/>
    <cellStyle name="Comma 4 3 4 3 3 4" xfId="40969" xr:uid="{4B8F5649-C268-476E-999A-C0A9D178395C}"/>
    <cellStyle name="Comma 4 3 4 3 3 5" xfId="14775" xr:uid="{26CA1A26-717A-4E3E-B84D-242E9AE56214}"/>
    <cellStyle name="Comma 4 3 4 3 4" xfId="19858" xr:uid="{02A5104E-0ADB-4600-8F20-716098D7BF4D}"/>
    <cellStyle name="Comma 4 3 4 3 5" xfId="28305" xr:uid="{4DE0222B-07CF-4B7A-9EBA-7BB96F5D3F9D}"/>
    <cellStyle name="Comma 4 3 4 3 6" xfId="36752" xr:uid="{31FFF90E-6675-484B-B359-BB6C7B051016}"/>
    <cellStyle name="Comma 4 3 4 3 7" xfId="10558" xr:uid="{D9051F18-AA49-4B75-A398-5EBCA4AA3103}"/>
    <cellStyle name="Comma 4 3 4 4" xfId="1555" xr:uid="{00000000-0005-0000-0000-0000A4090000}"/>
    <cellStyle name="Comma 4 3 4 4 2" xfId="3785" xr:uid="{00000000-0005-0000-0000-0000A5090000}"/>
    <cellStyle name="Comma 4 3 4 4 2 2" xfId="8007" xr:uid="{00000000-0005-0000-0000-0000A6090000}"/>
    <cellStyle name="Comma 4 3 4 4 2 2 2" xfId="26633" xr:uid="{87FA7215-7FE1-43E8-AC43-EEBDC86C57B9}"/>
    <cellStyle name="Comma 4 3 4 4 2 2 3" xfId="35080" xr:uid="{C2305897-E201-4171-BE71-990D8A3EEE11}"/>
    <cellStyle name="Comma 4 3 4 4 2 2 4" xfId="43527" xr:uid="{551D198A-6629-4BCA-BC14-EE977541941F}"/>
    <cellStyle name="Comma 4 3 4 4 2 2 5" xfId="17333" xr:uid="{2B79FB23-A4B9-44C0-9D14-A09E7A5CF288}"/>
    <cellStyle name="Comma 4 3 4 4 2 3" xfId="22416" xr:uid="{0E435B47-614A-4AF5-BBFB-8130309FF841}"/>
    <cellStyle name="Comma 4 3 4 4 2 4" xfId="30863" xr:uid="{B8E91558-D141-40B0-9591-0F29029D2BD4}"/>
    <cellStyle name="Comma 4 3 4 4 2 5" xfId="39310" xr:uid="{F79A20F8-CE58-4CF4-9229-E76302963076}"/>
    <cellStyle name="Comma 4 3 4 4 2 6" xfId="13116" xr:uid="{ED37C464-3FF0-42E9-9680-7DB2D283387D}"/>
    <cellStyle name="Comma 4 3 4 4 3" xfId="5862" xr:uid="{00000000-0005-0000-0000-0000A7090000}"/>
    <cellStyle name="Comma 4 3 4 4 3 2" xfId="24488" xr:uid="{FC633889-440C-4B4D-81E5-796502DF9B48}"/>
    <cellStyle name="Comma 4 3 4 4 3 3" xfId="32935" xr:uid="{B85A1386-8714-4E8C-A57C-98CE395D2D0C}"/>
    <cellStyle name="Comma 4 3 4 4 3 4" xfId="41382" xr:uid="{0C1A8DFB-CA4A-4B56-BE05-7179A11D25F2}"/>
    <cellStyle name="Comma 4 3 4 4 3 5" xfId="15188" xr:uid="{7E594B31-ECAA-429F-B92C-9F29D0C72D62}"/>
    <cellStyle name="Comma 4 3 4 4 4" xfId="20271" xr:uid="{0D75FEC4-CC3C-4B64-BB28-ED520C989734}"/>
    <cellStyle name="Comma 4 3 4 4 5" xfId="28718" xr:uid="{3C8690A5-BDA4-45E8-9720-8C695145B914}"/>
    <cellStyle name="Comma 4 3 4 4 6" xfId="37165" xr:uid="{964F8751-E3A7-4285-99A4-74DA6813D402}"/>
    <cellStyle name="Comma 4 3 4 4 7" xfId="10971" xr:uid="{739141D6-CF8B-4916-B912-F5911A0123E5}"/>
    <cellStyle name="Comma 4 3 4 5" xfId="1969" xr:uid="{00000000-0005-0000-0000-0000A8090000}"/>
    <cellStyle name="Comma 4 3 4 5 2" xfId="4198" xr:uid="{00000000-0005-0000-0000-0000A9090000}"/>
    <cellStyle name="Comma 4 3 4 5 2 2" xfId="8420" xr:uid="{00000000-0005-0000-0000-0000AA090000}"/>
    <cellStyle name="Comma 4 3 4 5 2 2 2" xfId="27046" xr:uid="{9BC7C2AE-3D04-447B-BB3D-D6DD86D55D45}"/>
    <cellStyle name="Comma 4 3 4 5 2 2 3" xfId="35493" xr:uid="{706BD202-5DB0-446D-8038-A20B2EEDBD04}"/>
    <cellStyle name="Comma 4 3 4 5 2 2 4" xfId="43940" xr:uid="{DE0CD1C5-A1BD-4BBA-BFC6-66B278F7B8F0}"/>
    <cellStyle name="Comma 4 3 4 5 2 2 5" xfId="17746" xr:uid="{910D9CE1-3BB9-444B-9CC3-91825566319E}"/>
    <cellStyle name="Comma 4 3 4 5 2 3" xfId="22829" xr:uid="{8C71D287-61B6-4C0C-9DD0-B782F03B5B98}"/>
    <cellStyle name="Comma 4 3 4 5 2 4" xfId="31276" xr:uid="{E00E77D7-D5C3-43EC-9F3D-CA9D9B92A320}"/>
    <cellStyle name="Comma 4 3 4 5 2 5" xfId="39723" xr:uid="{594849A8-61E3-4C66-8915-6F222DA824FC}"/>
    <cellStyle name="Comma 4 3 4 5 2 6" xfId="13529" xr:uid="{4E8804AB-C205-4BAD-9D3F-D2748CF71548}"/>
    <cellStyle name="Comma 4 3 4 5 3" xfId="6275" xr:uid="{00000000-0005-0000-0000-0000AB090000}"/>
    <cellStyle name="Comma 4 3 4 5 3 2" xfId="24901" xr:uid="{6A946C71-75C3-41AA-9BE0-6C050F5E6836}"/>
    <cellStyle name="Comma 4 3 4 5 3 3" xfId="33348" xr:uid="{FCB21C0A-10A5-46D2-94F1-C3FE43F4B84F}"/>
    <cellStyle name="Comma 4 3 4 5 3 4" xfId="41795" xr:uid="{091B1726-9BDF-443A-A58A-B2FF0CED56A7}"/>
    <cellStyle name="Comma 4 3 4 5 3 5" xfId="15601" xr:uid="{B4838422-3761-4074-8240-3968971BDB23}"/>
    <cellStyle name="Comma 4 3 4 5 4" xfId="20684" xr:uid="{36497BCF-4162-4649-89A7-4CDDFA3716C3}"/>
    <cellStyle name="Comma 4 3 4 5 5" xfId="29131" xr:uid="{2E60CE39-DC1F-4786-8B61-D942BB76CAD9}"/>
    <cellStyle name="Comma 4 3 4 5 6" xfId="37578" xr:uid="{A10F0156-C7DC-46D4-916E-4E48FA9318D9}"/>
    <cellStyle name="Comma 4 3 4 5 7" xfId="11384" xr:uid="{CFFFDD61-B559-40CD-97D6-D2B39E0B4258}"/>
    <cellStyle name="Comma 4 3 4 6" xfId="2404" xr:uid="{00000000-0005-0000-0000-0000AC090000}"/>
    <cellStyle name="Comma 4 3 4 6 2" xfId="6688" xr:uid="{00000000-0005-0000-0000-0000AD090000}"/>
    <cellStyle name="Comma 4 3 4 6 2 2" xfId="25314" xr:uid="{72233288-A932-4C46-8150-CCD6908737F3}"/>
    <cellStyle name="Comma 4 3 4 6 2 3" xfId="33761" xr:uid="{A716208E-307B-49CE-B742-740847BF5C76}"/>
    <cellStyle name="Comma 4 3 4 6 2 4" xfId="42208" xr:uid="{FC3E87AB-F964-45A8-B946-A6EAAAF4312D}"/>
    <cellStyle name="Comma 4 3 4 6 2 5" xfId="16014" xr:uid="{17DD64A7-6096-41D5-B3CE-634A932B219B}"/>
    <cellStyle name="Comma 4 3 4 6 3" xfId="21097" xr:uid="{6C70712C-473F-4CE9-8ACD-6E003FCD89A9}"/>
    <cellStyle name="Comma 4 3 4 6 4" xfId="29544" xr:uid="{462EF81D-5BFC-4A03-976D-0B223274BB9F}"/>
    <cellStyle name="Comma 4 3 4 6 5" xfId="37991" xr:uid="{747D71E2-B7E9-409E-8FAF-8C8F159045F5}"/>
    <cellStyle name="Comma 4 3 4 6 6" xfId="11797" xr:uid="{F49C5524-A246-4DDE-9B6C-805E0D1A0E16}"/>
    <cellStyle name="Comma 4 3 4 7" xfId="2700" xr:uid="{00000000-0005-0000-0000-0000AE090000}"/>
    <cellStyle name="Comma 4 3 4 8" xfId="2782" xr:uid="{00000000-0005-0000-0000-0000AF090000}"/>
    <cellStyle name="Comma 4 3 4 8 2" xfId="7005" xr:uid="{00000000-0005-0000-0000-0000B0090000}"/>
    <cellStyle name="Comma 4 3 4 8 2 2" xfId="25631" xr:uid="{D1721999-DFA6-4262-9A86-AE1BD6CFE357}"/>
    <cellStyle name="Comma 4 3 4 8 2 3" xfId="34078" xr:uid="{E08DE602-5698-4A3D-8E3E-4D2AAA8AE25F}"/>
    <cellStyle name="Comma 4 3 4 8 2 4" xfId="42525" xr:uid="{98FAC4F2-EC72-426A-B7DA-065D45DED834}"/>
    <cellStyle name="Comma 4 3 4 8 2 5" xfId="16331" xr:uid="{CB60865B-83CD-4745-9F0F-8AE72A464F8C}"/>
    <cellStyle name="Comma 4 3 4 8 3" xfId="21414" xr:uid="{2A911428-368E-46B0-9C2A-71E5D312C804}"/>
    <cellStyle name="Comma 4 3 4 8 4" xfId="29861" xr:uid="{40FB769B-800F-433D-B2C2-31F68D5ADBC0}"/>
    <cellStyle name="Comma 4 3 4 8 5" xfId="38308" xr:uid="{2D8B65F3-68CA-4CA4-BA5B-759E8E69A4EF}"/>
    <cellStyle name="Comma 4 3 4 8 6" xfId="12114" xr:uid="{FD6ACA2E-8DE0-4D35-9F1D-1E33101172A8}"/>
    <cellStyle name="Comma 4 3 4 9" xfId="4622" xr:uid="{00000000-0005-0000-0000-0000B1090000}"/>
    <cellStyle name="Comma 4 3 4 9 2" xfId="23248" xr:uid="{147C2C9D-89A1-400B-999E-12E8AACDDCC1}"/>
    <cellStyle name="Comma 4 3 4 9 3" xfId="31695" xr:uid="{FD9BDB69-6CB3-4D43-8D6B-FCB97CDB8A9F}"/>
    <cellStyle name="Comma 4 3 4 9 4" xfId="40142" xr:uid="{C12807A8-B593-4A64-9F93-DCE3A8DC4088}"/>
    <cellStyle name="Comma 4 3 4 9 5" xfId="13948" xr:uid="{58965170-9A2D-48FF-8A96-34F0D1A1E564}"/>
    <cellStyle name="Comma 4 3 5" xfId="152" xr:uid="{00000000-0005-0000-0000-0000B2090000}"/>
    <cellStyle name="Comma 4 3 5 10" xfId="9202" xr:uid="{BF5456DA-E11C-47BD-8210-21F45D9E5F79}"/>
    <cellStyle name="Comma 4 3 5 10 2" xfId="18519" xr:uid="{ED59BB56-16CA-4F17-BD1B-0ADB1595ABD2}"/>
    <cellStyle name="Comma 4 3 5 11" xfId="19032" xr:uid="{3481E8CF-13B5-4E73-A722-EE94CCEBEEF7}"/>
    <cellStyle name="Comma 4 3 5 12" xfId="27479" xr:uid="{6CF4E606-9552-4EC3-AC40-0848576A7111}"/>
    <cellStyle name="Comma 4 3 5 13" xfId="35926" xr:uid="{F0F60645-B059-4FF8-992A-C0E6B2AD292C}"/>
    <cellStyle name="Comma 4 3 5 14" xfId="9732" xr:uid="{F737D1E9-7419-4837-9B76-2F636E6B48B3}"/>
    <cellStyle name="Comma 4 3 5 2" xfId="689" xr:uid="{00000000-0005-0000-0000-0000B3090000}"/>
    <cellStyle name="Comma 4 3 5 2 2" xfId="2960" xr:uid="{00000000-0005-0000-0000-0000B4090000}"/>
    <cellStyle name="Comma 4 3 5 2 2 2" xfId="7182" xr:uid="{00000000-0005-0000-0000-0000B5090000}"/>
    <cellStyle name="Comma 4 3 5 2 2 2 2" xfId="25808" xr:uid="{31352138-0402-4343-86F4-EB04E8102471}"/>
    <cellStyle name="Comma 4 3 5 2 2 2 3" xfId="34255" xr:uid="{75C1456F-E287-47D0-B4AB-58D8392D92F1}"/>
    <cellStyle name="Comma 4 3 5 2 2 2 4" xfId="42702" xr:uid="{D722E71F-FC94-4813-8D14-6D3D93040A4B}"/>
    <cellStyle name="Comma 4 3 5 2 2 2 5" xfId="16508" xr:uid="{68D64985-C43F-4666-A602-2B2B8AE11B4A}"/>
    <cellStyle name="Comma 4 3 5 2 2 3" xfId="21591" xr:uid="{7EAD8AFE-6A69-4AA3-B065-AC3DB377BAF3}"/>
    <cellStyle name="Comma 4 3 5 2 2 4" xfId="30038" xr:uid="{23EE8281-7EF9-4AD4-927B-48FCDC8D8DC7}"/>
    <cellStyle name="Comma 4 3 5 2 2 5" xfId="38485" xr:uid="{C6BDAE47-DF69-4094-AA34-066D20D1576A}"/>
    <cellStyle name="Comma 4 3 5 2 2 6" xfId="12291" xr:uid="{7725718A-A3E5-4198-B46D-18F16E0430D8}"/>
    <cellStyle name="Comma 4 3 5 2 3" xfId="5037" xr:uid="{00000000-0005-0000-0000-0000B6090000}"/>
    <cellStyle name="Comma 4 3 5 2 3 2" xfId="23663" xr:uid="{61F4F548-05EA-4D17-8E28-9E2DF65A26B8}"/>
    <cellStyle name="Comma 4 3 5 2 3 3" xfId="32110" xr:uid="{23A724AA-4FFA-46C7-A9B3-8D411BA10B7C}"/>
    <cellStyle name="Comma 4 3 5 2 3 4" xfId="40557" xr:uid="{FB7F71AE-A31F-466C-B0CE-C2D978E39B81}"/>
    <cellStyle name="Comma 4 3 5 2 3 5" xfId="14363" xr:uid="{D1852B4A-F45C-4122-B86D-D3DD2E270684}"/>
    <cellStyle name="Comma 4 3 5 2 4" xfId="9595" xr:uid="{3E6BF710-D2EA-4AFB-83F1-C6BF1C2192FF}"/>
    <cellStyle name="Comma 4 3 5 2 4 2" xfId="18900" xr:uid="{FA32175A-8B84-44AD-A4A7-0A0D513C9025}"/>
    <cellStyle name="Comma 4 3 5 2 5" xfId="19446" xr:uid="{0539A4C3-2BE4-4212-99AF-2E81C11A83E8}"/>
    <cellStyle name="Comma 4 3 5 2 6" xfId="27893" xr:uid="{9E52E494-A2FB-48AE-B047-02D5078096C9}"/>
    <cellStyle name="Comma 4 3 5 2 7" xfId="36340" xr:uid="{FBD4DA99-6123-42BA-A7DE-AA4F2B1C5EA7}"/>
    <cellStyle name="Comma 4 3 5 2 8" xfId="10146" xr:uid="{F2E46D33-F81E-422B-BD56-3284459837F3}"/>
    <cellStyle name="Comma 4 3 5 3" xfId="1142" xr:uid="{00000000-0005-0000-0000-0000B7090000}"/>
    <cellStyle name="Comma 4 3 5 3 2" xfId="3373" xr:uid="{00000000-0005-0000-0000-0000B8090000}"/>
    <cellStyle name="Comma 4 3 5 3 2 2" xfId="7595" xr:uid="{00000000-0005-0000-0000-0000B9090000}"/>
    <cellStyle name="Comma 4 3 5 3 2 2 2" xfId="26221" xr:uid="{290F8695-EA8B-447C-8029-5D8866CFB761}"/>
    <cellStyle name="Comma 4 3 5 3 2 2 3" xfId="34668" xr:uid="{FCB9605F-9619-4FB1-A179-2B7020BA0817}"/>
    <cellStyle name="Comma 4 3 5 3 2 2 4" xfId="43115" xr:uid="{6E7D4CC5-100E-43A2-A3C9-76D8A68921EF}"/>
    <cellStyle name="Comma 4 3 5 3 2 2 5" xfId="16921" xr:uid="{C6DF1FF0-52F2-43E5-9F31-A2DC82AD0A8B}"/>
    <cellStyle name="Comma 4 3 5 3 2 3" xfId="22004" xr:uid="{D9AE5C9D-3FB5-4B49-AB0B-259AE31FC9C2}"/>
    <cellStyle name="Comma 4 3 5 3 2 4" xfId="30451" xr:uid="{F24872CC-F850-4BB0-AC57-558080523E96}"/>
    <cellStyle name="Comma 4 3 5 3 2 5" xfId="38898" xr:uid="{31D62DCE-5CBE-4671-A2C4-77F5AAD66D35}"/>
    <cellStyle name="Comma 4 3 5 3 2 6" xfId="12704" xr:uid="{1F0C57E0-6C70-4BBB-9DBC-525552F7349D}"/>
    <cellStyle name="Comma 4 3 5 3 3" xfId="5450" xr:uid="{00000000-0005-0000-0000-0000BA090000}"/>
    <cellStyle name="Comma 4 3 5 3 3 2" xfId="24076" xr:uid="{AB5D70A7-915D-4123-B559-9A8ACB40BD89}"/>
    <cellStyle name="Comma 4 3 5 3 3 3" xfId="32523" xr:uid="{167E3AAD-B10C-479B-8373-CDD0E3EFE52C}"/>
    <cellStyle name="Comma 4 3 5 3 3 4" xfId="40970" xr:uid="{A4979A92-A054-4CB9-9575-71422A4ADCA1}"/>
    <cellStyle name="Comma 4 3 5 3 3 5" xfId="14776" xr:uid="{EA99A54F-6059-40A8-B9F3-6B5AB24D02EA}"/>
    <cellStyle name="Comma 4 3 5 3 4" xfId="19859" xr:uid="{D39022B2-36D6-4FFC-B7C8-B764303478FB}"/>
    <cellStyle name="Comma 4 3 5 3 5" xfId="28306" xr:uid="{4767CB70-3EE8-46A6-85C6-489FE780964C}"/>
    <cellStyle name="Comma 4 3 5 3 6" xfId="36753" xr:uid="{780AE14E-F041-418C-9282-229EC34A6CD1}"/>
    <cellStyle name="Comma 4 3 5 3 7" xfId="10559" xr:uid="{824A90E1-73E8-471E-8E7E-2EFC36E30096}"/>
    <cellStyle name="Comma 4 3 5 4" xfId="1556" xr:uid="{00000000-0005-0000-0000-0000BB090000}"/>
    <cellStyle name="Comma 4 3 5 4 2" xfId="3786" xr:uid="{00000000-0005-0000-0000-0000BC090000}"/>
    <cellStyle name="Comma 4 3 5 4 2 2" xfId="8008" xr:uid="{00000000-0005-0000-0000-0000BD090000}"/>
    <cellStyle name="Comma 4 3 5 4 2 2 2" xfId="26634" xr:uid="{8ED446D6-822D-43ED-A37D-EC7D27840BA4}"/>
    <cellStyle name="Comma 4 3 5 4 2 2 3" xfId="35081" xr:uid="{2C4FF80E-A431-4456-94D3-76832C6BEC29}"/>
    <cellStyle name="Comma 4 3 5 4 2 2 4" xfId="43528" xr:uid="{75D2C246-391F-4C1C-ADB0-89EC1A3E403F}"/>
    <cellStyle name="Comma 4 3 5 4 2 2 5" xfId="17334" xr:uid="{0275EBBF-7C00-4E9B-B0BB-0AAF734B66D9}"/>
    <cellStyle name="Comma 4 3 5 4 2 3" xfId="22417" xr:uid="{E7E22FA5-3BD3-43A6-A407-9C795F6361E1}"/>
    <cellStyle name="Comma 4 3 5 4 2 4" xfId="30864" xr:uid="{463F05EB-2D78-4FCF-8F58-3FC2CF3D2C50}"/>
    <cellStyle name="Comma 4 3 5 4 2 5" xfId="39311" xr:uid="{B40638C2-B090-451D-9424-7EDE813DFAB1}"/>
    <cellStyle name="Comma 4 3 5 4 2 6" xfId="13117" xr:uid="{5E72481E-8D31-4616-8DC7-2D4473ADF6D6}"/>
    <cellStyle name="Comma 4 3 5 4 3" xfId="5863" xr:uid="{00000000-0005-0000-0000-0000BE090000}"/>
    <cellStyle name="Comma 4 3 5 4 3 2" xfId="24489" xr:uid="{A1C8BEB4-5A6C-4C2A-B55F-51FAF1291176}"/>
    <cellStyle name="Comma 4 3 5 4 3 3" xfId="32936" xr:uid="{0343B872-6826-4468-A6F2-D41C9CE6D5C4}"/>
    <cellStyle name="Comma 4 3 5 4 3 4" xfId="41383" xr:uid="{60227802-2D5C-46DB-82E3-2F73D999A956}"/>
    <cellStyle name="Comma 4 3 5 4 3 5" xfId="15189" xr:uid="{64C40B0E-E1F6-4A90-A169-981F6822C373}"/>
    <cellStyle name="Comma 4 3 5 4 4" xfId="20272" xr:uid="{8DBC3D23-CE13-44C4-8360-F208FDF8D410}"/>
    <cellStyle name="Comma 4 3 5 4 5" xfId="28719" xr:uid="{A1B728CE-6424-4E57-AC97-370D38D4333C}"/>
    <cellStyle name="Comma 4 3 5 4 6" xfId="37166" xr:uid="{16A5EA9C-AB06-4BD8-A32F-E2D0D46FB9CE}"/>
    <cellStyle name="Comma 4 3 5 4 7" xfId="10972" xr:uid="{4A92A7E7-E24F-4FEC-8190-2CE06D72914A}"/>
    <cellStyle name="Comma 4 3 5 5" xfId="1970" xr:uid="{00000000-0005-0000-0000-0000BF090000}"/>
    <cellStyle name="Comma 4 3 5 5 2" xfId="4199" xr:uid="{00000000-0005-0000-0000-0000C0090000}"/>
    <cellStyle name="Comma 4 3 5 5 2 2" xfId="8421" xr:uid="{00000000-0005-0000-0000-0000C1090000}"/>
    <cellStyle name="Comma 4 3 5 5 2 2 2" xfId="27047" xr:uid="{D597EFFE-7B9D-4C2D-9CCD-ECA53437BC99}"/>
    <cellStyle name="Comma 4 3 5 5 2 2 3" xfId="35494" xr:uid="{2155D76B-379E-4A57-AEBC-18CE933A25A9}"/>
    <cellStyle name="Comma 4 3 5 5 2 2 4" xfId="43941" xr:uid="{032A4C3A-2B29-4628-BF36-E8A6FF48AB41}"/>
    <cellStyle name="Comma 4 3 5 5 2 2 5" xfId="17747" xr:uid="{67A39CD5-5550-4991-8471-C137CF99862D}"/>
    <cellStyle name="Comma 4 3 5 5 2 3" xfId="22830" xr:uid="{6E865C66-03EC-43D7-ACCC-011A00D6DB43}"/>
    <cellStyle name="Comma 4 3 5 5 2 4" xfId="31277" xr:uid="{895D38FE-EFDB-471C-BB9B-727E0E72F6E2}"/>
    <cellStyle name="Comma 4 3 5 5 2 5" xfId="39724" xr:uid="{80B77225-8CD1-4388-AC4F-6A3A7E606766}"/>
    <cellStyle name="Comma 4 3 5 5 2 6" xfId="13530" xr:uid="{6E513A97-B08B-4B03-BA49-FE21C33BA447}"/>
    <cellStyle name="Comma 4 3 5 5 3" xfId="6276" xr:uid="{00000000-0005-0000-0000-0000C2090000}"/>
    <cellStyle name="Comma 4 3 5 5 3 2" xfId="24902" xr:uid="{3DC23CD1-D745-447C-859D-ADCB3825FE3A}"/>
    <cellStyle name="Comma 4 3 5 5 3 3" xfId="33349" xr:uid="{74179932-5569-4866-B323-F2C032601DAD}"/>
    <cellStyle name="Comma 4 3 5 5 3 4" xfId="41796" xr:uid="{8F86D35E-0033-4C5B-942D-7CD8E45D0C99}"/>
    <cellStyle name="Comma 4 3 5 5 3 5" xfId="15602" xr:uid="{62E36B47-32AE-4827-ACFC-BB9D386996DD}"/>
    <cellStyle name="Comma 4 3 5 5 4" xfId="20685" xr:uid="{99FF9698-DCF9-43B5-AB42-7291983F023F}"/>
    <cellStyle name="Comma 4 3 5 5 5" xfId="29132" xr:uid="{8FA001D9-7B4E-4164-B874-572AB25A63F7}"/>
    <cellStyle name="Comma 4 3 5 5 6" xfId="37579" xr:uid="{406DD270-63B3-45EB-AE7F-2CFB0664F53D}"/>
    <cellStyle name="Comma 4 3 5 5 7" xfId="11385" xr:uid="{FBED0C2E-7675-4B8F-A74A-BB945B4F6FE1}"/>
    <cellStyle name="Comma 4 3 5 6" xfId="2405" xr:uid="{00000000-0005-0000-0000-0000C3090000}"/>
    <cellStyle name="Comma 4 3 5 6 2" xfId="6689" xr:uid="{00000000-0005-0000-0000-0000C4090000}"/>
    <cellStyle name="Comma 4 3 5 6 2 2" xfId="25315" xr:uid="{7E16B9FD-34D8-42C7-B895-A8C868A87AB7}"/>
    <cellStyle name="Comma 4 3 5 6 2 3" xfId="33762" xr:uid="{19EC7393-6EEB-457C-9A3C-D9E8395582BA}"/>
    <cellStyle name="Comma 4 3 5 6 2 4" xfId="42209" xr:uid="{548A245D-5AE2-4FD5-A8B8-DC601E3CCDB9}"/>
    <cellStyle name="Comma 4 3 5 6 2 5" xfId="16015" xr:uid="{701D0B2F-E9DC-4392-8543-570CF148A5B3}"/>
    <cellStyle name="Comma 4 3 5 6 3" xfId="21098" xr:uid="{06BAFFCE-CCBD-40F8-9124-6CAD6EE158DF}"/>
    <cellStyle name="Comma 4 3 5 6 4" xfId="29545" xr:uid="{91289E09-5A57-4E90-BD4B-8F925EBD8B98}"/>
    <cellStyle name="Comma 4 3 5 6 5" xfId="37992" xr:uid="{42F28276-F62B-412D-B52E-8E46B66387B4}"/>
    <cellStyle name="Comma 4 3 5 6 6" xfId="11798" xr:uid="{3E3F59D6-4159-47E6-A17D-58CE86981842}"/>
    <cellStyle name="Comma 4 3 5 7" xfId="2701" xr:uid="{00000000-0005-0000-0000-0000C5090000}"/>
    <cellStyle name="Comma 4 3 5 8" xfId="2783" xr:uid="{00000000-0005-0000-0000-0000C6090000}"/>
    <cellStyle name="Comma 4 3 5 8 2" xfId="7006" xr:uid="{00000000-0005-0000-0000-0000C7090000}"/>
    <cellStyle name="Comma 4 3 5 8 2 2" xfId="25632" xr:uid="{6BC492C8-FDCD-4732-9032-A7EA7FEC7679}"/>
    <cellStyle name="Comma 4 3 5 8 2 3" xfId="34079" xr:uid="{D2A25B08-CA9B-4975-A35E-98FE75DEE86A}"/>
    <cellStyle name="Comma 4 3 5 8 2 4" xfId="42526" xr:uid="{A0BBE140-8D01-4CBE-B58D-B8E20756533B}"/>
    <cellStyle name="Comma 4 3 5 8 2 5" xfId="16332" xr:uid="{CAC3F6D7-21DC-469B-88E4-7AC65517FFDA}"/>
    <cellStyle name="Comma 4 3 5 8 3" xfId="21415" xr:uid="{2AE3D4AB-422C-4634-8F6C-DC72C6F71E78}"/>
    <cellStyle name="Comma 4 3 5 8 4" xfId="29862" xr:uid="{0410B102-2130-49E9-BEA0-5BDE0138D5B5}"/>
    <cellStyle name="Comma 4 3 5 8 5" xfId="38309" xr:uid="{74234B18-DDB6-4DBD-B5D3-2AEDCD568B43}"/>
    <cellStyle name="Comma 4 3 5 8 6" xfId="12115" xr:uid="{941042DF-70C1-46B2-AA24-FA0FD70B7D30}"/>
    <cellStyle name="Comma 4 3 5 9" xfId="4623" xr:uid="{00000000-0005-0000-0000-0000C8090000}"/>
    <cellStyle name="Comma 4 3 5 9 2" xfId="23249" xr:uid="{5E9D0223-B4BE-463A-B064-B830189848BC}"/>
    <cellStyle name="Comma 4 3 5 9 3" xfId="31696" xr:uid="{C5ED458F-82D5-4261-820C-3DDFE367B599}"/>
    <cellStyle name="Comma 4 3 5 9 4" xfId="40143" xr:uid="{840E4004-1A47-4FA3-A018-FE5EC5559E75}"/>
    <cellStyle name="Comma 4 3 5 9 5" xfId="13949" xr:uid="{09422F60-6418-4477-A792-FF69924A0C6C}"/>
    <cellStyle name="Comma 4 3 6" xfId="9582" xr:uid="{F1B74700-6F25-44D3-B4B6-1EFC63A6078B}"/>
    <cellStyle name="Comma 4 3 7" xfId="8778" xr:uid="{01CB0168-3495-42C5-9A13-F25D4D0EF35E}"/>
    <cellStyle name="Comma 4 3 7 2" xfId="18102" xr:uid="{9108B803-CC6A-438C-8FA9-DFFE30A28565}"/>
    <cellStyle name="Comma 4 4" xfId="153" xr:uid="{00000000-0005-0000-0000-0000C9090000}"/>
    <cellStyle name="Comma 4 4 10" xfId="2784" xr:uid="{00000000-0005-0000-0000-0000CA090000}"/>
    <cellStyle name="Comma 4 4 10 2" xfId="7007" xr:uid="{00000000-0005-0000-0000-0000CB090000}"/>
    <cellStyle name="Comma 4 4 10 2 2" xfId="25633" xr:uid="{86AE4646-CEC8-4120-A46C-C24DC4307B3E}"/>
    <cellStyle name="Comma 4 4 10 2 3" xfId="34080" xr:uid="{D8688D0F-2DEF-4013-9A9B-21867115628F}"/>
    <cellStyle name="Comma 4 4 10 2 4" xfId="42527" xr:uid="{FBD2D3A6-A3D2-4990-9ED1-927AFBF325D3}"/>
    <cellStyle name="Comma 4 4 10 2 5" xfId="16333" xr:uid="{1079A291-E61D-47D6-BD95-D32245EAA888}"/>
    <cellStyle name="Comma 4 4 10 3" xfId="21416" xr:uid="{479FCB22-E5A4-4C60-97D2-1F789529080B}"/>
    <cellStyle name="Comma 4 4 10 4" xfId="29863" xr:uid="{20A2A05F-206C-4B40-AD7E-5BFA61E8E556}"/>
    <cellStyle name="Comma 4 4 10 5" xfId="38310" xr:uid="{67970999-AFA6-4AEF-9574-1092C215B0D7}"/>
    <cellStyle name="Comma 4 4 10 6" xfId="12116" xr:uid="{814C9224-4A49-4BAF-821B-5E4CD01AE8FD}"/>
    <cellStyle name="Comma 4 4 11" xfId="4624" xr:uid="{00000000-0005-0000-0000-0000CC090000}"/>
    <cellStyle name="Comma 4 4 11 2" xfId="23250" xr:uid="{AFE6A886-7941-4DC9-BA80-4F3C79500F2E}"/>
    <cellStyle name="Comma 4 4 11 3" xfId="31697" xr:uid="{7F6C09F4-E00A-41CC-83B8-CA336CA25548}"/>
    <cellStyle name="Comma 4 4 11 4" xfId="40144" xr:uid="{3531A059-8784-4972-9AAF-CF2FE11A32BB}"/>
    <cellStyle name="Comma 4 4 11 5" xfId="13950" xr:uid="{3690B355-84D7-4BDA-81B4-D0A94371024F}"/>
    <cellStyle name="Comma 4 4 12" xfId="8804" xr:uid="{A2BB6322-7771-45CD-845C-77E2FE03AC7A}"/>
    <cellStyle name="Comma 4 4 12 2" xfId="18128" xr:uid="{CD537F51-5425-4536-822A-8EEC492BA808}"/>
    <cellStyle name="Comma 4 4 13" xfId="19033" xr:uid="{41227248-0A7C-4D7F-B021-A6D3083AEFDC}"/>
    <cellStyle name="Comma 4 4 14" xfId="27480" xr:uid="{D57DC145-6EBC-4857-A45B-BFFE153BBE87}"/>
    <cellStyle name="Comma 4 4 15" xfId="35927" xr:uid="{DD598391-A8C5-422F-8446-BC1BC1A3FD67}"/>
    <cellStyle name="Comma 4 4 16" xfId="9733" xr:uid="{8FBBB4D4-48ED-491E-BE71-8D3D797039D0}"/>
    <cellStyle name="Comma 4 4 2" xfId="154" xr:uid="{00000000-0005-0000-0000-0000CD090000}"/>
    <cellStyle name="Comma 4 4 2 10" xfId="4625" xr:uid="{00000000-0005-0000-0000-0000CE090000}"/>
    <cellStyle name="Comma 4 4 2 10 2" xfId="23251" xr:uid="{2AD83162-D8C1-4F1D-85D0-2EB821D6BE1E}"/>
    <cellStyle name="Comma 4 4 2 10 3" xfId="31698" xr:uid="{7B24AC1F-FD4C-4278-9BBA-97B0F79C9105}"/>
    <cellStyle name="Comma 4 4 2 10 4" xfId="40145" xr:uid="{CAB417DE-A38C-4E81-9C9C-98C7FED91922}"/>
    <cellStyle name="Comma 4 4 2 10 5" xfId="13951" xr:uid="{1D8BB3A0-A6FD-40A3-89C8-37A00338BD6F}"/>
    <cellStyle name="Comma 4 4 2 11" xfId="8907" xr:uid="{F9F87618-3BA1-4211-A686-62CF5BBA5770}"/>
    <cellStyle name="Comma 4 4 2 11 2" xfId="18231" xr:uid="{5EE29030-582C-4D3A-B5C2-08499B59B345}"/>
    <cellStyle name="Comma 4 4 2 12" xfId="19034" xr:uid="{37C596E6-7098-4E7C-B9A4-4614DB71536D}"/>
    <cellStyle name="Comma 4 4 2 13" xfId="27481" xr:uid="{749A99FF-55AD-4458-AC58-6C039C48F22F}"/>
    <cellStyle name="Comma 4 4 2 14" xfId="35928" xr:uid="{AD388DA6-2860-4106-9C40-1C5DB24BEC2A}"/>
    <cellStyle name="Comma 4 4 2 15" xfId="9734" xr:uid="{7E6979A2-3BE0-447F-84C7-62445271EF05}"/>
    <cellStyle name="Comma 4 4 2 2" xfId="155" xr:uid="{00000000-0005-0000-0000-0000CF090000}"/>
    <cellStyle name="Comma 4 4 2 2 10" xfId="9114" xr:uid="{871FAC03-A44E-4C24-806C-3CC0605FD124}"/>
    <cellStyle name="Comma 4 4 2 2 10 2" xfId="18438" xr:uid="{55064DEF-0641-4465-82E0-B8B4A0E64B5C}"/>
    <cellStyle name="Comma 4 4 2 2 11" xfId="19035" xr:uid="{D894F8FA-FD94-4AE3-98E5-F05E81DA9D68}"/>
    <cellStyle name="Comma 4 4 2 2 12" xfId="27482" xr:uid="{0C5D2BDB-BFBB-473D-A7A7-561DE9C1CF2D}"/>
    <cellStyle name="Comma 4 4 2 2 13" xfId="35929" xr:uid="{9CC73162-7F28-462E-A0EE-0E2078F5ED01}"/>
    <cellStyle name="Comma 4 4 2 2 14" xfId="9735" xr:uid="{2D371E51-08C8-471E-A3AB-422690D15327}"/>
    <cellStyle name="Comma 4 4 2 2 2" xfId="692" xr:uid="{00000000-0005-0000-0000-0000D0090000}"/>
    <cellStyle name="Comma 4 4 2 2 2 2" xfId="2963" xr:uid="{00000000-0005-0000-0000-0000D1090000}"/>
    <cellStyle name="Comma 4 4 2 2 2 2 2" xfId="7185" xr:uid="{00000000-0005-0000-0000-0000D2090000}"/>
    <cellStyle name="Comma 4 4 2 2 2 2 2 2" xfId="25811" xr:uid="{5952E122-D28F-4013-932B-6B0E7169C373}"/>
    <cellStyle name="Comma 4 4 2 2 2 2 2 3" xfId="34258" xr:uid="{4BE0FB5A-C81D-48D1-8A4D-8D2A8164DBFD}"/>
    <cellStyle name="Comma 4 4 2 2 2 2 2 4" xfId="42705" xr:uid="{0AC1B59B-FBA7-4A9F-BF67-F67054F8951D}"/>
    <cellStyle name="Comma 4 4 2 2 2 2 2 5" xfId="16511" xr:uid="{97025D93-B356-47D0-A654-AEC185AF408E}"/>
    <cellStyle name="Comma 4 4 2 2 2 2 3" xfId="21594" xr:uid="{EBB37631-1DEA-445C-818F-3AD3D9CCEAC7}"/>
    <cellStyle name="Comma 4 4 2 2 2 2 4" xfId="30041" xr:uid="{97016502-DC49-41ED-8690-33912B403462}"/>
    <cellStyle name="Comma 4 4 2 2 2 2 5" xfId="38488" xr:uid="{8883A089-2243-43D8-8CC2-2C057A4C05B5}"/>
    <cellStyle name="Comma 4 4 2 2 2 2 6" xfId="12294" xr:uid="{A60F36E0-DD9F-4DC3-B75C-CAB2B0523132}"/>
    <cellStyle name="Comma 4 4 2 2 2 3" xfId="5040" xr:uid="{00000000-0005-0000-0000-0000D3090000}"/>
    <cellStyle name="Comma 4 4 2 2 2 3 2" xfId="23666" xr:uid="{B01CDBD3-F7E2-4299-A42A-F384A7328264}"/>
    <cellStyle name="Comma 4 4 2 2 2 3 3" xfId="32113" xr:uid="{79027A8D-4258-437E-BD4A-A6D98B8DA7F6}"/>
    <cellStyle name="Comma 4 4 2 2 2 3 4" xfId="40560" xr:uid="{03E3E7AA-6C36-4F40-A0A7-0BC858DC1F9D}"/>
    <cellStyle name="Comma 4 4 2 2 2 3 5" xfId="14366" xr:uid="{BA1F23A6-1BE4-45CF-ADCA-C1069E85230B}"/>
    <cellStyle name="Comma 4 4 2 2 2 4" xfId="9539" xr:uid="{6209A471-8158-46C6-9ADA-C828BB6621B2}"/>
    <cellStyle name="Comma 4 4 2 2 2 4 2" xfId="18855" xr:uid="{15CE5556-2A99-474B-B23D-786A3CA21476}"/>
    <cellStyle name="Comma 4 4 2 2 2 5" xfId="19449" xr:uid="{B626794C-C193-4B7B-8F66-C780B57CAE98}"/>
    <cellStyle name="Comma 4 4 2 2 2 6" xfId="27896" xr:uid="{7949AA44-4C61-49D4-9066-6474D7BFAA14}"/>
    <cellStyle name="Comma 4 4 2 2 2 7" xfId="36343" xr:uid="{8F893400-35E4-4036-9199-CCAA80891403}"/>
    <cellStyle name="Comma 4 4 2 2 2 8" xfId="10149" xr:uid="{40271176-2EC9-4634-8410-0F92981FD6ED}"/>
    <cellStyle name="Comma 4 4 2 2 3" xfId="1145" xr:uid="{00000000-0005-0000-0000-0000D4090000}"/>
    <cellStyle name="Comma 4 4 2 2 3 2" xfId="3376" xr:uid="{00000000-0005-0000-0000-0000D5090000}"/>
    <cellStyle name="Comma 4 4 2 2 3 2 2" xfId="7598" xr:uid="{00000000-0005-0000-0000-0000D6090000}"/>
    <cellStyle name="Comma 4 4 2 2 3 2 2 2" xfId="26224" xr:uid="{FF3AC68D-A065-4CA5-954C-E5F94E51E46A}"/>
    <cellStyle name="Comma 4 4 2 2 3 2 2 3" xfId="34671" xr:uid="{6B28BB6C-80B7-4436-A4C7-D635020F5446}"/>
    <cellStyle name="Comma 4 4 2 2 3 2 2 4" xfId="43118" xr:uid="{EBF65D88-51A3-471C-B931-1979372DA5E8}"/>
    <cellStyle name="Comma 4 4 2 2 3 2 2 5" xfId="16924" xr:uid="{7498C1E7-E603-4D40-A364-CB4D4F98D9A3}"/>
    <cellStyle name="Comma 4 4 2 2 3 2 3" xfId="22007" xr:uid="{6666D5B6-3C1E-475E-BA53-9CF7737C626B}"/>
    <cellStyle name="Comma 4 4 2 2 3 2 4" xfId="30454" xr:uid="{2B05F835-302E-4C40-8253-9838970B875C}"/>
    <cellStyle name="Comma 4 4 2 2 3 2 5" xfId="38901" xr:uid="{C887E2F1-0B41-4AC4-B4AC-090CF0A8F306}"/>
    <cellStyle name="Comma 4 4 2 2 3 2 6" xfId="12707" xr:uid="{86A54ABB-2D1F-415D-AB73-B0BD0F955AE7}"/>
    <cellStyle name="Comma 4 4 2 2 3 3" xfId="5453" xr:uid="{00000000-0005-0000-0000-0000D7090000}"/>
    <cellStyle name="Comma 4 4 2 2 3 3 2" xfId="24079" xr:uid="{E2495248-4B0A-4BAC-8614-354E89F8680F}"/>
    <cellStyle name="Comma 4 4 2 2 3 3 3" xfId="32526" xr:uid="{06FCB37A-220D-4C16-ADCB-90A4429C563A}"/>
    <cellStyle name="Comma 4 4 2 2 3 3 4" xfId="40973" xr:uid="{D4809DFE-5917-4928-8A83-EED288D8EF17}"/>
    <cellStyle name="Comma 4 4 2 2 3 3 5" xfId="14779" xr:uid="{834FED3A-7E5E-4F01-B7E9-43164477E2AB}"/>
    <cellStyle name="Comma 4 4 2 2 3 4" xfId="19862" xr:uid="{B0A2BB45-7313-48E4-BED5-94B134CE40CD}"/>
    <cellStyle name="Comma 4 4 2 2 3 5" xfId="28309" xr:uid="{77B3F3FD-C2DF-4C4E-8E0C-0E797D09C97B}"/>
    <cellStyle name="Comma 4 4 2 2 3 6" xfId="36756" xr:uid="{75CB6755-FBC3-43F9-B57B-F3A025690FAA}"/>
    <cellStyle name="Comma 4 4 2 2 3 7" xfId="10562" xr:uid="{A709F3EC-C81C-4C91-BCB0-E3A423191825}"/>
    <cellStyle name="Comma 4 4 2 2 4" xfId="1559" xr:uid="{00000000-0005-0000-0000-0000D8090000}"/>
    <cellStyle name="Comma 4 4 2 2 4 2" xfId="3789" xr:uid="{00000000-0005-0000-0000-0000D9090000}"/>
    <cellStyle name="Comma 4 4 2 2 4 2 2" xfId="8011" xr:uid="{00000000-0005-0000-0000-0000DA090000}"/>
    <cellStyle name="Comma 4 4 2 2 4 2 2 2" xfId="26637" xr:uid="{58CCA9E0-CC35-4FF8-B372-CDCE544CC4A2}"/>
    <cellStyle name="Comma 4 4 2 2 4 2 2 3" xfId="35084" xr:uid="{664D2385-C8C1-4EE3-8DB9-1A7EA21C9AEE}"/>
    <cellStyle name="Comma 4 4 2 2 4 2 2 4" xfId="43531" xr:uid="{D92CE84F-F186-4388-978F-10479DE496C5}"/>
    <cellStyle name="Comma 4 4 2 2 4 2 2 5" xfId="17337" xr:uid="{BBC020E9-9EAD-4821-BE99-8043998C0F06}"/>
    <cellStyle name="Comma 4 4 2 2 4 2 3" xfId="22420" xr:uid="{433254C2-6930-42AB-A568-CABA0CF5E8E0}"/>
    <cellStyle name="Comma 4 4 2 2 4 2 4" xfId="30867" xr:uid="{5F1D76A9-5A56-4555-90AD-F602BC8AD3D0}"/>
    <cellStyle name="Comma 4 4 2 2 4 2 5" xfId="39314" xr:uid="{F216E012-9053-4E80-B2E4-BE138615767A}"/>
    <cellStyle name="Comma 4 4 2 2 4 2 6" xfId="13120" xr:uid="{8BFAFA47-8046-4282-AACC-541103D46D84}"/>
    <cellStyle name="Comma 4 4 2 2 4 3" xfId="5866" xr:uid="{00000000-0005-0000-0000-0000DB090000}"/>
    <cellStyle name="Comma 4 4 2 2 4 3 2" xfId="24492" xr:uid="{CCC99C22-6773-4331-AF1F-AEC3D4DC1B22}"/>
    <cellStyle name="Comma 4 4 2 2 4 3 3" xfId="32939" xr:uid="{69560D80-E96E-4628-A5A7-E270B0CA1834}"/>
    <cellStyle name="Comma 4 4 2 2 4 3 4" xfId="41386" xr:uid="{ECCCE00A-F350-4AA4-9FB0-A6B60B000F3B}"/>
    <cellStyle name="Comma 4 4 2 2 4 3 5" xfId="15192" xr:uid="{7DB57F75-49A7-4F59-A491-AA26208B5B56}"/>
    <cellStyle name="Comma 4 4 2 2 4 4" xfId="20275" xr:uid="{B210B5A7-6AC0-4DCA-9FFD-13092A9A66B5}"/>
    <cellStyle name="Comma 4 4 2 2 4 5" xfId="28722" xr:uid="{EAA9258B-7BA4-4D8C-BCB2-13442896DE2C}"/>
    <cellStyle name="Comma 4 4 2 2 4 6" xfId="37169" xr:uid="{29973150-C9A9-4A7A-AEAA-C77AB84ACAC6}"/>
    <cellStyle name="Comma 4 4 2 2 4 7" xfId="10975" xr:uid="{7CBBB048-39A3-4BC9-B68A-2D861187E65F}"/>
    <cellStyle name="Comma 4 4 2 2 5" xfId="1973" xr:uid="{00000000-0005-0000-0000-0000DC090000}"/>
    <cellStyle name="Comma 4 4 2 2 5 2" xfId="4202" xr:uid="{00000000-0005-0000-0000-0000DD090000}"/>
    <cellStyle name="Comma 4 4 2 2 5 2 2" xfId="8424" xr:uid="{00000000-0005-0000-0000-0000DE090000}"/>
    <cellStyle name="Comma 4 4 2 2 5 2 2 2" xfId="27050" xr:uid="{BDF68A90-D61C-4799-A424-27E0E2D9F44F}"/>
    <cellStyle name="Comma 4 4 2 2 5 2 2 3" xfId="35497" xr:uid="{7E148B4A-170E-4242-9261-7BD55F6FA0A4}"/>
    <cellStyle name="Comma 4 4 2 2 5 2 2 4" xfId="43944" xr:uid="{632FD67D-9ED6-47A0-B06B-49D63F15EAF2}"/>
    <cellStyle name="Comma 4 4 2 2 5 2 2 5" xfId="17750" xr:uid="{2AC5D7B5-101F-487D-B454-16A391E76C9B}"/>
    <cellStyle name="Comma 4 4 2 2 5 2 3" xfId="22833" xr:uid="{956356DA-AAC5-43A5-96F9-7C3033C3107B}"/>
    <cellStyle name="Comma 4 4 2 2 5 2 4" xfId="31280" xr:uid="{4585830B-27D7-4883-86ED-F06BCEB391C7}"/>
    <cellStyle name="Comma 4 4 2 2 5 2 5" xfId="39727" xr:uid="{76998281-4D3E-4E0E-A077-9D4FC022BD85}"/>
    <cellStyle name="Comma 4 4 2 2 5 2 6" xfId="13533" xr:uid="{A715F351-7829-4CCB-9127-4270B4EEF4D7}"/>
    <cellStyle name="Comma 4 4 2 2 5 3" xfId="6279" xr:uid="{00000000-0005-0000-0000-0000DF090000}"/>
    <cellStyle name="Comma 4 4 2 2 5 3 2" xfId="24905" xr:uid="{9C4C5519-2062-4331-BDCB-BB46BDE3184F}"/>
    <cellStyle name="Comma 4 4 2 2 5 3 3" xfId="33352" xr:uid="{8C36FBFE-E519-43B4-BC17-E983B34D08F6}"/>
    <cellStyle name="Comma 4 4 2 2 5 3 4" xfId="41799" xr:uid="{EBFE56E6-47C5-469E-A444-96EF83E4B0F8}"/>
    <cellStyle name="Comma 4 4 2 2 5 3 5" xfId="15605" xr:uid="{8B4F34FA-DB52-497B-B553-DF4F429B0E77}"/>
    <cellStyle name="Comma 4 4 2 2 5 4" xfId="20688" xr:uid="{E62E4DAD-6F87-42C0-BC34-3F67A3B19FD1}"/>
    <cellStyle name="Comma 4 4 2 2 5 5" xfId="29135" xr:uid="{CF0BB6CF-D854-44DB-9288-FE1D4BD1EA99}"/>
    <cellStyle name="Comma 4 4 2 2 5 6" xfId="37582" xr:uid="{2B0972BE-1A46-453A-AE16-AC971EA751C2}"/>
    <cellStyle name="Comma 4 4 2 2 5 7" xfId="11388" xr:uid="{37FE7641-7165-4E19-B42D-F33CCDD283A2}"/>
    <cellStyle name="Comma 4 4 2 2 6" xfId="2408" xr:uid="{00000000-0005-0000-0000-0000E0090000}"/>
    <cellStyle name="Comma 4 4 2 2 6 2" xfId="6692" xr:uid="{00000000-0005-0000-0000-0000E1090000}"/>
    <cellStyle name="Comma 4 4 2 2 6 2 2" xfId="25318" xr:uid="{85DCA28C-BC2B-4A17-AAE1-457819F7E573}"/>
    <cellStyle name="Comma 4 4 2 2 6 2 3" xfId="33765" xr:uid="{9A1B1D31-AA61-4F61-956D-801542737AC4}"/>
    <cellStyle name="Comma 4 4 2 2 6 2 4" xfId="42212" xr:uid="{F6F846E7-A106-407B-B8CD-37DE74B03122}"/>
    <cellStyle name="Comma 4 4 2 2 6 2 5" xfId="16018" xr:uid="{9B784E0C-F9AC-4746-8AC8-A1B2F749662D}"/>
    <cellStyle name="Comma 4 4 2 2 6 3" xfId="21101" xr:uid="{884A779F-A78A-48F8-B880-02CFA7782290}"/>
    <cellStyle name="Comma 4 4 2 2 6 4" xfId="29548" xr:uid="{0A29D371-7008-4F0F-A4C3-EC17777DDE19}"/>
    <cellStyle name="Comma 4 4 2 2 6 5" xfId="37995" xr:uid="{BCF9BD67-6336-4B2D-80F1-C1B3CD9FEB44}"/>
    <cellStyle name="Comma 4 4 2 2 6 6" xfId="11801" xr:uid="{8BB1F7AE-724F-4B97-8DC4-4129BFEDFB1C}"/>
    <cellStyle name="Comma 4 4 2 2 7" xfId="2704" xr:uid="{00000000-0005-0000-0000-0000E2090000}"/>
    <cellStyle name="Comma 4 4 2 2 8" xfId="2786" xr:uid="{00000000-0005-0000-0000-0000E3090000}"/>
    <cellStyle name="Comma 4 4 2 2 8 2" xfId="7009" xr:uid="{00000000-0005-0000-0000-0000E4090000}"/>
    <cellStyle name="Comma 4 4 2 2 8 2 2" xfId="25635" xr:uid="{D955902C-4479-45EC-B7CF-545D3E1D5AF5}"/>
    <cellStyle name="Comma 4 4 2 2 8 2 3" xfId="34082" xr:uid="{B8358060-0B12-4DD2-A5E2-FFF881F79C64}"/>
    <cellStyle name="Comma 4 4 2 2 8 2 4" xfId="42529" xr:uid="{975211EA-6A0C-44A7-A8C2-9DC8553657D8}"/>
    <cellStyle name="Comma 4 4 2 2 8 2 5" xfId="16335" xr:uid="{24096414-7876-41B9-8DE2-965837EEAD84}"/>
    <cellStyle name="Comma 4 4 2 2 8 3" xfId="21418" xr:uid="{D4B38CB1-4559-4E1E-9EDA-6D172FAB1503}"/>
    <cellStyle name="Comma 4 4 2 2 8 4" xfId="29865" xr:uid="{6DF9F429-2515-4A1F-B566-5B578CD9B1D1}"/>
    <cellStyle name="Comma 4 4 2 2 8 5" xfId="38312" xr:uid="{9C1F9FBC-4DBE-4112-9F7C-B0302A7F72F5}"/>
    <cellStyle name="Comma 4 4 2 2 8 6" xfId="12118" xr:uid="{55C4E30C-D14C-486B-B1CA-2797B2C0A61F}"/>
    <cellStyle name="Comma 4 4 2 2 9" xfId="4626" xr:uid="{00000000-0005-0000-0000-0000E5090000}"/>
    <cellStyle name="Comma 4 4 2 2 9 2" xfId="23252" xr:uid="{99B22A38-9A14-4A70-AB5C-24B2B7E88D90}"/>
    <cellStyle name="Comma 4 4 2 2 9 3" xfId="31699" xr:uid="{98F5CFF1-9EEE-4DB0-A269-429AA75228D7}"/>
    <cellStyle name="Comma 4 4 2 2 9 4" xfId="40146" xr:uid="{D89C5ED9-95A8-41FC-9F76-1C476DB422D3}"/>
    <cellStyle name="Comma 4 4 2 2 9 5" xfId="13952" xr:uid="{4B951DBC-7880-4B11-86FB-53C02A94C61C}"/>
    <cellStyle name="Comma 4 4 2 3" xfId="691" xr:uid="{00000000-0005-0000-0000-0000E6090000}"/>
    <cellStyle name="Comma 4 4 2 3 2" xfId="2962" xr:uid="{00000000-0005-0000-0000-0000E7090000}"/>
    <cellStyle name="Comma 4 4 2 3 2 2" xfId="7184" xr:uid="{00000000-0005-0000-0000-0000E8090000}"/>
    <cellStyle name="Comma 4 4 2 3 2 2 2" xfId="25810" xr:uid="{4BF26139-5546-4641-B1F1-F5388807125C}"/>
    <cellStyle name="Comma 4 4 2 3 2 2 3" xfId="34257" xr:uid="{44052E2C-B928-4C37-81CD-4039EAD2A80A}"/>
    <cellStyle name="Comma 4 4 2 3 2 2 4" xfId="42704" xr:uid="{2CFB7CA6-B28E-42CD-AFC5-6F9A082772B9}"/>
    <cellStyle name="Comma 4 4 2 3 2 2 5" xfId="16510" xr:uid="{CB62A480-E96C-4C4E-8073-EBE020401489}"/>
    <cellStyle name="Comma 4 4 2 3 2 3" xfId="21593" xr:uid="{6F2E6BE5-A0D9-4856-BC08-41B55ECEC328}"/>
    <cellStyle name="Comma 4 4 2 3 2 4" xfId="30040" xr:uid="{EEA0F8A5-D1C5-4354-93DD-FF1BFF265157}"/>
    <cellStyle name="Comma 4 4 2 3 2 5" xfId="38487" xr:uid="{B73991AC-9E8B-4737-8457-BE0F6E661CDA}"/>
    <cellStyle name="Comma 4 4 2 3 2 6" xfId="12293" xr:uid="{69023DD0-2BC2-4569-8917-26FE9B2CD31E}"/>
    <cellStyle name="Comma 4 4 2 3 3" xfId="5039" xr:uid="{00000000-0005-0000-0000-0000E9090000}"/>
    <cellStyle name="Comma 4 4 2 3 3 2" xfId="23665" xr:uid="{D88DFAF5-F99B-47EC-9887-0FAC31E23862}"/>
    <cellStyle name="Comma 4 4 2 3 3 3" xfId="32112" xr:uid="{7B2AB381-DB5B-47D3-B708-C1E694FCD410}"/>
    <cellStyle name="Comma 4 4 2 3 3 4" xfId="40559" xr:uid="{9C97DA49-97E7-45B1-947D-5221EE60E3CC}"/>
    <cellStyle name="Comma 4 4 2 3 3 5" xfId="14365" xr:uid="{F2421819-1D3D-41E3-A764-43F4246A2095}"/>
    <cellStyle name="Comma 4 4 2 3 4" xfId="9332" xr:uid="{00F59ECD-64D7-476B-90FD-CD86F054AE4D}"/>
    <cellStyle name="Comma 4 4 2 3 4 2" xfId="18648" xr:uid="{E497D2A2-BA8A-4DA6-9612-82CBF63BBAD8}"/>
    <cellStyle name="Comma 4 4 2 3 5" xfId="19448" xr:uid="{F465EE65-F8E7-42C5-B76A-892EAD492F17}"/>
    <cellStyle name="Comma 4 4 2 3 6" xfId="27895" xr:uid="{2911061E-1534-4115-8D37-16D47DA83138}"/>
    <cellStyle name="Comma 4 4 2 3 7" xfId="36342" xr:uid="{2ECC6C16-9DAF-4776-A47D-F0DD22662B44}"/>
    <cellStyle name="Comma 4 4 2 3 8" xfId="10148" xr:uid="{3104EA4E-BB03-4ACD-8D8D-5B9B5FE6310D}"/>
    <cellStyle name="Comma 4 4 2 4" xfId="1144" xr:uid="{00000000-0005-0000-0000-0000EA090000}"/>
    <cellStyle name="Comma 4 4 2 4 2" xfId="3375" xr:uid="{00000000-0005-0000-0000-0000EB090000}"/>
    <cellStyle name="Comma 4 4 2 4 2 2" xfId="7597" xr:uid="{00000000-0005-0000-0000-0000EC090000}"/>
    <cellStyle name="Comma 4 4 2 4 2 2 2" xfId="26223" xr:uid="{94D1EA70-7618-4D04-B87C-E86C2F751861}"/>
    <cellStyle name="Comma 4 4 2 4 2 2 3" xfId="34670" xr:uid="{B8BA2B86-E2BA-4C76-98DE-147B3BF99DBD}"/>
    <cellStyle name="Comma 4 4 2 4 2 2 4" xfId="43117" xr:uid="{5A30F08C-C49B-49E8-B253-9758BB4FF062}"/>
    <cellStyle name="Comma 4 4 2 4 2 2 5" xfId="16923" xr:uid="{60919234-2221-41A4-8866-AAA7DB295A99}"/>
    <cellStyle name="Comma 4 4 2 4 2 3" xfId="22006" xr:uid="{955FE6BC-562E-429C-86CE-643DD052F53C}"/>
    <cellStyle name="Comma 4 4 2 4 2 4" xfId="30453" xr:uid="{4285D1AC-09C1-495A-98AF-B044BE08C455}"/>
    <cellStyle name="Comma 4 4 2 4 2 5" xfId="38900" xr:uid="{5DEB84B5-BE1B-414C-9913-ED9273C68DF5}"/>
    <cellStyle name="Comma 4 4 2 4 2 6" xfId="12706" xr:uid="{F9276F9F-5307-4D95-8716-96892BEF0CEB}"/>
    <cellStyle name="Comma 4 4 2 4 3" xfId="5452" xr:uid="{00000000-0005-0000-0000-0000ED090000}"/>
    <cellStyle name="Comma 4 4 2 4 3 2" xfId="24078" xr:uid="{F82B9C90-E251-4690-A5D5-F507C55BD1DF}"/>
    <cellStyle name="Comma 4 4 2 4 3 3" xfId="32525" xr:uid="{FA67CE95-619E-4649-99BD-4116DDBC7362}"/>
    <cellStyle name="Comma 4 4 2 4 3 4" xfId="40972" xr:uid="{23FA7E76-BDEC-4DF1-B393-C94E982B1883}"/>
    <cellStyle name="Comma 4 4 2 4 3 5" xfId="14778" xr:uid="{E11FC8D8-65E7-484F-83BA-422634D67565}"/>
    <cellStyle name="Comma 4 4 2 4 4" xfId="19861" xr:uid="{144A626C-16EC-4C0B-965C-47F6098938E7}"/>
    <cellStyle name="Comma 4 4 2 4 5" xfId="28308" xr:uid="{C72E3641-9005-4544-A051-5A55D081DB5F}"/>
    <cellStyle name="Comma 4 4 2 4 6" xfId="36755" xr:uid="{4EA4B2BE-A078-4E3C-A542-13CE6C95475C}"/>
    <cellStyle name="Comma 4 4 2 4 7" xfId="10561" xr:uid="{4837D6FE-CFBD-4064-8206-B9EE4B7CDF4C}"/>
    <cellStyle name="Comma 4 4 2 5" xfId="1558" xr:uid="{00000000-0005-0000-0000-0000EE090000}"/>
    <cellStyle name="Comma 4 4 2 5 2" xfId="3788" xr:uid="{00000000-0005-0000-0000-0000EF090000}"/>
    <cellStyle name="Comma 4 4 2 5 2 2" xfId="8010" xr:uid="{00000000-0005-0000-0000-0000F0090000}"/>
    <cellStyle name="Comma 4 4 2 5 2 2 2" xfId="26636" xr:uid="{316D6B85-3904-4116-A164-51F15A8C6AF9}"/>
    <cellStyle name="Comma 4 4 2 5 2 2 3" xfId="35083" xr:uid="{7CA75C46-7897-4FAF-8DA0-A012F426184C}"/>
    <cellStyle name="Comma 4 4 2 5 2 2 4" xfId="43530" xr:uid="{B40B84C7-1019-4B41-86E7-E278585C5ADC}"/>
    <cellStyle name="Comma 4 4 2 5 2 2 5" xfId="17336" xr:uid="{6CC98879-A2A3-4163-B1CB-4CE19EB9E9A6}"/>
    <cellStyle name="Comma 4 4 2 5 2 3" xfId="22419" xr:uid="{426CC3A4-D2A4-4878-9A27-5BBFCED448ED}"/>
    <cellStyle name="Comma 4 4 2 5 2 4" xfId="30866" xr:uid="{C453A483-4C0F-43E4-ACC0-2018C0107892}"/>
    <cellStyle name="Comma 4 4 2 5 2 5" xfId="39313" xr:uid="{AF6E3EBE-FDFE-421A-BDA0-3013EA7E3689}"/>
    <cellStyle name="Comma 4 4 2 5 2 6" xfId="13119" xr:uid="{B37A86E8-6E01-4915-8A76-C492A0A94AC6}"/>
    <cellStyle name="Comma 4 4 2 5 3" xfId="5865" xr:uid="{00000000-0005-0000-0000-0000F1090000}"/>
    <cellStyle name="Comma 4 4 2 5 3 2" xfId="24491" xr:uid="{116FD104-1C89-4D9C-BE7F-19DD0B63B120}"/>
    <cellStyle name="Comma 4 4 2 5 3 3" xfId="32938" xr:uid="{86DD743B-A44C-420D-A667-6F183B14F47C}"/>
    <cellStyle name="Comma 4 4 2 5 3 4" xfId="41385" xr:uid="{2F2C6C2A-74EF-4AEB-9D7E-5885EFC9FD5C}"/>
    <cellStyle name="Comma 4 4 2 5 3 5" xfId="15191" xr:uid="{CE1A9130-80F4-4783-A23E-47E693E91881}"/>
    <cellStyle name="Comma 4 4 2 5 4" xfId="20274" xr:uid="{F3E01B3D-E88F-4977-A6A4-08675F616B85}"/>
    <cellStyle name="Comma 4 4 2 5 5" xfId="28721" xr:uid="{4BE7EC0B-3D77-4F77-8335-5A02CAE7E9BD}"/>
    <cellStyle name="Comma 4 4 2 5 6" xfId="37168" xr:uid="{EBBB07EB-D8EB-4D29-BC5B-ACE17E4991A0}"/>
    <cellStyle name="Comma 4 4 2 5 7" xfId="10974" xr:uid="{C6F5EB54-62C2-42DD-BFBA-5E5145FE35BA}"/>
    <cellStyle name="Comma 4 4 2 6" xfId="1972" xr:uid="{00000000-0005-0000-0000-0000F2090000}"/>
    <cellStyle name="Comma 4 4 2 6 2" xfId="4201" xr:uid="{00000000-0005-0000-0000-0000F3090000}"/>
    <cellStyle name="Comma 4 4 2 6 2 2" xfId="8423" xr:uid="{00000000-0005-0000-0000-0000F4090000}"/>
    <cellStyle name="Comma 4 4 2 6 2 2 2" xfId="27049" xr:uid="{4AFA2CC8-CA1E-4440-AB74-D16361C277A1}"/>
    <cellStyle name="Comma 4 4 2 6 2 2 3" xfId="35496" xr:uid="{23701D93-5495-494C-B62E-B9FF49ED8839}"/>
    <cellStyle name="Comma 4 4 2 6 2 2 4" xfId="43943" xr:uid="{E914C3D8-8B9A-41A8-AA18-CEA310341DA6}"/>
    <cellStyle name="Comma 4 4 2 6 2 2 5" xfId="17749" xr:uid="{A11924A2-0D70-40D4-AB1E-40BF0D7F0CCE}"/>
    <cellStyle name="Comma 4 4 2 6 2 3" xfId="22832" xr:uid="{BEEEC8B6-5167-4C4E-9042-A5495E67A5F9}"/>
    <cellStyle name="Comma 4 4 2 6 2 4" xfId="31279" xr:uid="{CFB41482-2153-4CF7-915C-B36443263090}"/>
    <cellStyle name="Comma 4 4 2 6 2 5" xfId="39726" xr:uid="{8612F6A7-9491-4297-9A67-C217856FED17}"/>
    <cellStyle name="Comma 4 4 2 6 2 6" xfId="13532" xr:uid="{382CDE61-8FEA-4E5F-8CF4-F82E6697E539}"/>
    <cellStyle name="Comma 4 4 2 6 3" xfId="6278" xr:uid="{00000000-0005-0000-0000-0000F5090000}"/>
    <cellStyle name="Comma 4 4 2 6 3 2" xfId="24904" xr:uid="{EA9C887D-46DD-4E49-B6AC-91FBAB4BCE62}"/>
    <cellStyle name="Comma 4 4 2 6 3 3" xfId="33351" xr:uid="{571B5014-2083-4D74-9DAA-3BA46BEB7176}"/>
    <cellStyle name="Comma 4 4 2 6 3 4" xfId="41798" xr:uid="{9F96454B-1E76-4704-ADD2-276C093A11A3}"/>
    <cellStyle name="Comma 4 4 2 6 3 5" xfId="15604" xr:uid="{92C89F9A-15AB-4853-949F-8BB1BAAE9191}"/>
    <cellStyle name="Comma 4 4 2 6 4" xfId="20687" xr:uid="{09FC0A33-2FBC-45CB-8B13-CE2CA32E47B2}"/>
    <cellStyle name="Comma 4 4 2 6 5" xfId="29134" xr:uid="{A8CFE559-48BC-4CBA-BA53-D0FB2C2E39C9}"/>
    <cellStyle name="Comma 4 4 2 6 6" xfId="37581" xr:uid="{538BF285-AD71-44A8-A28B-7182EFA83C7B}"/>
    <cellStyle name="Comma 4 4 2 6 7" xfId="11387" xr:uid="{7F9DF234-150C-4B17-9FA5-A1C9F1721249}"/>
    <cellStyle name="Comma 4 4 2 7" xfId="2407" xr:uid="{00000000-0005-0000-0000-0000F6090000}"/>
    <cellStyle name="Comma 4 4 2 7 2" xfId="6691" xr:uid="{00000000-0005-0000-0000-0000F7090000}"/>
    <cellStyle name="Comma 4 4 2 7 2 2" xfId="25317" xr:uid="{1CA07058-B8B8-4BFB-9D40-487B97AFCD16}"/>
    <cellStyle name="Comma 4 4 2 7 2 3" xfId="33764" xr:uid="{CBCAFE3F-396A-4B6D-8454-64C6B724B255}"/>
    <cellStyle name="Comma 4 4 2 7 2 4" xfId="42211" xr:uid="{8D189B58-66C9-4588-AE79-66777C57F808}"/>
    <cellStyle name="Comma 4 4 2 7 2 5" xfId="16017" xr:uid="{0CC05C86-6113-463E-A16E-0106A532E64B}"/>
    <cellStyle name="Comma 4 4 2 7 3" xfId="21100" xr:uid="{ED02984B-D0E7-478E-90C9-834AF761C78A}"/>
    <cellStyle name="Comma 4 4 2 7 4" xfId="29547" xr:uid="{3FB7D558-D07E-4F00-A88D-471AC586079B}"/>
    <cellStyle name="Comma 4 4 2 7 5" xfId="37994" xr:uid="{6D57EF59-88F1-42D1-BFC0-2A166526780C}"/>
    <cellStyle name="Comma 4 4 2 7 6" xfId="11800" xr:uid="{9B8B5509-1354-4242-A2FA-4AF374651E3B}"/>
    <cellStyle name="Comma 4 4 2 8" xfId="2703" xr:uid="{00000000-0005-0000-0000-0000F8090000}"/>
    <cellStyle name="Comma 4 4 2 9" xfId="2785" xr:uid="{00000000-0005-0000-0000-0000F9090000}"/>
    <cellStyle name="Comma 4 4 2 9 2" xfId="7008" xr:uid="{00000000-0005-0000-0000-0000FA090000}"/>
    <cellStyle name="Comma 4 4 2 9 2 2" xfId="25634" xr:uid="{DE1C7F9A-34CC-4612-94AB-9AB786DC4532}"/>
    <cellStyle name="Comma 4 4 2 9 2 3" xfId="34081" xr:uid="{3D2ACE45-D74A-48CB-ADEC-000922954F79}"/>
    <cellStyle name="Comma 4 4 2 9 2 4" xfId="42528" xr:uid="{F45779EE-62A9-4002-BB46-2F5C54AD5333}"/>
    <cellStyle name="Comma 4 4 2 9 2 5" xfId="16334" xr:uid="{EF021B0A-508C-4CDE-BB20-E2CA925C5A39}"/>
    <cellStyle name="Comma 4 4 2 9 3" xfId="21417" xr:uid="{92637862-7356-4725-A890-2FDC78C36C48}"/>
    <cellStyle name="Comma 4 4 2 9 4" xfId="29864" xr:uid="{8BA0BE1E-AA88-4E0F-9916-15ABA2F52325}"/>
    <cellStyle name="Comma 4 4 2 9 5" xfId="38311" xr:uid="{86317102-8397-46DB-9A40-ECB734F8826D}"/>
    <cellStyle name="Comma 4 4 2 9 6" xfId="12117" xr:uid="{2F90CFB6-3931-4819-9AC7-25E826874F30}"/>
    <cellStyle name="Comma 4 4 3" xfId="156" xr:uid="{00000000-0005-0000-0000-0000FB090000}"/>
    <cellStyle name="Comma 4 4 3 10" xfId="9011" xr:uid="{31ED03AD-AB12-49AF-9AD4-B783F0BF7322}"/>
    <cellStyle name="Comma 4 4 3 10 2" xfId="18335" xr:uid="{607C133F-ECFD-40A2-9EA1-FDEEDC2F4240}"/>
    <cellStyle name="Comma 4 4 3 11" xfId="19036" xr:uid="{006FAEA4-8A50-488B-97F8-50E258D0B0C0}"/>
    <cellStyle name="Comma 4 4 3 12" xfId="27483" xr:uid="{ABB82573-286E-473A-8F59-9DD648FCF411}"/>
    <cellStyle name="Comma 4 4 3 13" xfId="35930" xr:uid="{74E4D6C8-5541-420C-A3CB-0B5B140545DD}"/>
    <cellStyle name="Comma 4 4 3 14" xfId="9736" xr:uid="{DB61C85F-B9D0-4AB2-B5FE-E1504A62094C}"/>
    <cellStyle name="Comma 4 4 3 2" xfId="693" xr:uid="{00000000-0005-0000-0000-0000FC090000}"/>
    <cellStyle name="Comma 4 4 3 2 2" xfId="2964" xr:uid="{00000000-0005-0000-0000-0000FD090000}"/>
    <cellStyle name="Comma 4 4 3 2 2 2" xfId="7186" xr:uid="{00000000-0005-0000-0000-0000FE090000}"/>
    <cellStyle name="Comma 4 4 3 2 2 2 2" xfId="25812" xr:uid="{2186736E-613C-4333-B054-DD754A71EBE5}"/>
    <cellStyle name="Comma 4 4 3 2 2 2 3" xfId="34259" xr:uid="{9CD03D8B-19E1-4436-BC12-A8B82E364E70}"/>
    <cellStyle name="Comma 4 4 3 2 2 2 4" xfId="42706" xr:uid="{967E09F1-D995-4F45-B118-3D09B4A8CD87}"/>
    <cellStyle name="Comma 4 4 3 2 2 2 5" xfId="16512" xr:uid="{FA6A113B-DFDC-43F5-BDF3-090DB5D7D75B}"/>
    <cellStyle name="Comma 4 4 3 2 2 3" xfId="21595" xr:uid="{A33BDE9A-7E77-48DB-AA4F-6A4FE3B16F0B}"/>
    <cellStyle name="Comma 4 4 3 2 2 4" xfId="30042" xr:uid="{03778510-C685-4129-BCEC-AE1B1A196E75}"/>
    <cellStyle name="Comma 4 4 3 2 2 5" xfId="38489" xr:uid="{BAEF3B21-8555-48B3-98C0-70491BF3FA13}"/>
    <cellStyle name="Comma 4 4 3 2 2 6" xfId="12295" xr:uid="{B52AEAA6-080B-4F91-9DFF-BD7C8A15A5BF}"/>
    <cellStyle name="Comma 4 4 3 2 3" xfId="5041" xr:uid="{00000000-0005-0000-0000-0000FF090000}"/>
    <cellStyle name="Comma 4 4 3 2 3 2" xfId="23667" xr:uid="{BC90E37D-C031-4EF1-A2B8-7F11ADCC38FB}"/>
    <cellStyle name="Comma 4 4 3 2 3 3" xfId="32114" xr:uid="{06860954-D739-4BAD-9DF6-6AA512149A74}"/>
    <cellStyle name="Comma 4 4 3 2 3 4" xfId="40561" xr:uid="{5B379CC5-B856-4784-A97B-30AEB32FC31C}"/>
    <cellStyle name="Comma 4 4 3 2 3 5" xfId="14367" xr:uid="{9ABB16DE-D2AB-415F-ACF8-FE3BA655B956}"/>
    <cellStyle name="Comma 4 4 3 2 4" xfId="9436" xr:uid="{5B7DDC25-9095-4E8E-BD31-668F46BBD33F}"/>
    <cellStyle name="Comma 4 4 3 2 4 2" xfId="18752" xr:uid="{AE90B168-197D-43C4-A606-0EC17EAD73DA}"/>
    <cellStyle name="Comma 4 4 3 2 5" xfId="19450" xr:uid="{2E1D9733-1509-4D21-89E3-B8EC164CCE1D}"/>
    <cellStyle name="Comma 4 4 3 2 6" xfId="27897" xr:uid="{2B4A2BD9-3ABA-4D8F-B4DC-D16422CD3109}"/>
    <cellStyle name="Comma 4 4 3 2 7" xfId="36344" xr:uid="{91323052-D59A-45A2-9092-B93B464A86E3}"/>
    <cellStyle name="Comma 4 4 3 2 8" xfId="10150" xr:uid="{9C42925D-469C-4BA1-8CCF-892998E50A80}"/>
    <cellStyle name="Comma 4 4 3 3" xfId="1146" xr:uid="{00000000-0005-0000-0000-0000000A0000}"/>
    <cellStyle name="Comma 4 4 3 3 2" xfId="3377" xr:uid="{00000000-0005-0000-0000-0000010A0000}"/>
    <cellStyle name="Comma 4 4 3 3 2 2" xfId="7599" xr:uid="{00000000-0005-0000-0000-0000020A0000}"/>
    <cellStyle name="Comma 4 4 3 3 2 2 2" xfId="26225" xr:uid="{55C83B88-A6F5-4C25-80E0-0D0044F83880}"/>
    <cellStyle name="Comma 4 4 3 3 2 2 3" xfId="34672" xr:uid="{D9BDA47F-A916-4F67-A9A3-7A733512A870}"/>
    <cellStyle name="Comma 4 4 3 3 2 2 4" xfId="43119" xr:uid="{0B338061-A3F0-4EB9-B271-3CB5600AA7A7}"/>
    <cellStyle name="Comma 4 4 3 3 2 2 5" xfId="16925" xr:uid="{80CECFEC-7F78-4409-9E0F-3DAFC34CD37F}"/>
    <cellStyle name="Comma 4 4 3 3 2 3" xfId="22008" xr:uid="{319AACB6-9C65-4078-9385-86724975F307}"/>
    <cellStyle name="Comma 4 4 3 3 2 4" xfId="30455" xr:uid="{5FC9C51D-0863-43BE-819D-2AB1980E8D06}"/>
    <cellStyle name="Comma 4 4 3 3 2 5" xfId="38902" xr:uid="{FA8D6D24-5350-468A-84DA-85E960D3F460}"/>
    <cellStyle name="Comma 4 4 3 3 2 6" xfId="12708" xr:uid="{F5FFFD24-9575-44CC-827C-0381FE418DCA}"/>
    <cellStyle name="Comma 4 4 3 3 3" xfId="5454" xr:uid="{00000000-0005-0000-0000-0000030A0000}"/>
    <cellStyle name="Comma 4 4 3 3 3 2" xfId="24080" xr:uid="{37C6B551-0BD7-4850-AD1D-7C623D589B14}"/>
    <cellStyle name="Comma 4 4 3 3 3 3" xfId="32527" xr:uid="{FF9E2539-9A10-4AA8-98EA-FF32A2765441}"/>
    <cellStyle name="Comma 4 4 3 3 3 4" xfId="40974" xr:uid="{65A0B376-4246-4E21-9A1A-11343E0E375A}"/>
    <cellStyle name="Comma 4 4 3 3 3 5" xfId="14780" xr:uid="{804B963F-9E31-40EA-A84F-6D60AE9714FA}"/>
    <cellStyle name="Comma 4 4 3 3 4" xfId="19863" xr:uid="{A1ED0B9A-67C4-4662-B9A0-21B6E09F40A6}"/>
    <cellStyle name="Comma 4 4 3 3 5" xfId="28310" xr:uid="{89A074F7-921B-4B74-B325-F6C2EBC26ED5}"/>
    <cellStyle name="Comma 4 4 3 3 6" xfId="36757" xr:uid="{FC25AD28-BBA2-47A2-B904-452A2840ADAF}"/>
    <cellStyle name="Comma 4 4 3 3 7" xfId="10563" xr:uid="{E7DE3E95-BA72-4EDD-A8E8-1F9C88C32882}"/>
    <cellStyle name="Comma 4 4 3 4" xfId="1560" xr:uid="{00000000-0005-0000-0000-0000040A0000}"/>
    <cellStyle name="Comma 4 4 3 4 2" xfId="3790" xr:uid="{00000000-0005-0000-0000-0000050A0000}"/>
    <cellStyle name="Comma 4 4 3 4 2 2" xfId="8012" xr:uid="{00000000-0005-0000-0000-0000060A0000}"/>
    <cellStyle name="Comma 4 4 3 4 2 2 2" xfId="26638" xr:uid="{C1167F4C-4367-4420-9A0F-26D50042F3C6}"/>
    <cellStyle name="Comma 4 4 3 4 2 2 3" xfId="35085" xr:uid="{C255707D-3D02-4C8F-A368-5AFB7B438B51}"/>
    <cellStyle name="Comma 4 4 3 4 2 2 4" xfId="43532" xr:uid="{4F064B8D-7F4A-4B85-B39A-49A67A7FFF74}"/>
    <cellStyle name="Comma 4 4 3 4 2 2 5" xfId="17338" xr:uid="{36FB11D1-003C-4008-BADC-0C2929F95E50}"/>
    <cellStyle name="Comma 4 4 3 4 2 3" xfId="22421" xr:uid="{0F6A7AF4-3397-4908-9893-9CADC9992289}"/>
    <cellStyle name="Comma 4 4 3 4 2 4" xfId="30868" xr:uid="{8A3D6D08-4979-4806-A36E-67CE6443BABB}"/>
    <cellStyle name="Comma 4 4 3 4 2 5" xfId="39315" xr:uid="{385B7870-34C8-44BC-9358-12DA9D4AD0DC}"/>
    <cellStyle name="Comma 4 4 3 4 2 6" xfId="13121" xr:uid="{9ED7D80E-457B-4F2D-986C-147AAC8BA248}"/>
    <cellStyle name="Comma 4 4 3 4 3" xfId="5867" xr:uid="{00000000-0005-0000-0000-0000070A0000}"/>
    <cellStyle name="Comma 4 4 3 4 3 2" xfId="24493" xr:uid="{06605D89-61E5-47D9-97F6-A063AECAB1A3}"/>
    <cellStyle name="Comma 4 4 3 4 3 3" xfId="32940" xr:uid="{0C5476EA-09B9-4204-88F9-5365C02EAE9F}"/>
    <cellStyle name="Comma 4 4 3 4 3 4" xfId="41387" xr:uid="{FD908707-6F8C-486D-A8B7-A5FF35273C18}"/>
    <cellStyle name="Comma 4 4 3 4 3 5" xfId="15193" xr:uid="{350CCA5A-65D2-49B2-8788-9CA42387D92F}"/>
    <cellStyle name="Comma 4 4 3 4 4" xfId="20276" xr:uid="{9387F0A5-85FE-4D0C-8F02-87135CEDA5C4}"/>
    <cellStyle name="Comma 4 4 3 4 5" xfId="28723" xr:uid="{F372C3D0-9085-4704-AC5D-E2BD457A3614}"/>
    <cellStyle name="Comma 4 4 3 4 6" xfId="37170" xr:uid="{3B3B9F92-33D0-4A4F-B30F-69D4B8C87813}"/>
    <cellStyle name="Comma 4 4 3 4 7" xfId="10976" xr:uid="{E9C4B417-8013-46F9-AF2B-9B0B6A9B101D}"/>
    <cellStyle name="Comma 4 4 3 5" xfId="1974" xr:uid="{00000000-0005-0000-0000-0000080A0000}"/>
    <cellStyle name="Comma 4 4 3 5 2" xfId="4203" xr:uid="{00000000-0005-0000-0000-0000090A0000}"/>
    <cellStyle name="Comma 4 4 3 5 2 2" xfId="8425" xr:uid="{00000000-0005-0000-0000-00000A0A0000}"/>
    <cellStyle name="Comma 4 4 3 5 2 2 2" xfId="27051" xr:uid="{B3F8CB05-DB97-41AD-9C68-893E769A7E52}"/>
    <cellStyle name="Comma 4 4 3 5 2 2 3" xfId="35498" xr:uid="{621B43ED-181B-4BE0-A529-7BE6631CE40C}"/>
    <cellStyle name="Comma 4 4 3 5 2 2 4" xfId="43945" xr:uid="{E559E24A-F10D-4B2D-B19F-B14EBA068A6F}"/>
    <cellStyle name="Comma 4 4 3 5 2 2 5" xfId="17751" xr:uid="{90D40F23-562A-4BAC-B05D-D1AE5FC6737E}"/>
    <cellStyle name="Comma 4 4 3 5 2 3" xfId="22834" xr:uid="{6B46DD7C-FCCB-4460-98E9-86F591DCFABB}"/>
    <cellStyle name="Comma 4 4 3 5 2 4" xfId="31281" xr:uid="{41720545-5921-4774-BCF7-182F2104BBBA}"/>
    <cellStyle name="Comma 4 4 3 5 2 5" xfId="39728" xr:uid="{F6BC4975-F7B9-492B-BD1F-EF0CDF4D6298}"/>
    <cellStyle name="Comma 4 4 3 5 2 6" xfId="13534" xr:uid="{49DB0EE6-5737-4AB7-887C-E2A33A30FBFC}"/>
    <cellStyle name="Comma 4 4 3 5 3" xfId="6280" xr:uid="{00000000-0005-0000-0000-00000B0A0000}"/>
    <cellStyle name="Comma 4 4 3 5 3 2" xfId="24906" xr:uid="{6F261941-7FD1-4FC2-A901-E457A256051B}"/>
    <cellStyle name="Comma 4 4 3 5 3 3" xfId="33353" xr:uid="{80852B88-2B5C-46DF-A026-332C8E92B781}"/>
    <cellStyle name="Comma 4 4 3 5 3 4" xfId="41800" xr:uid="{CDD35D6B-20BA-4660-9B82-1286EF099C72}"/>
    <cellStyle name="Comma 4 4 3 5 3 5" xfId="15606" xr:uid="{08297C0C-80F3-47F7-ADC9-30466B78A5CC}"/>
    <cellStyle name="Comma 4 4 3 5 4" xfId="20689" xr:uid="{D0974220-87E7-4A3A-B819-98EFD19D10DC}"/>
    <cellStyle name="Comma 4 4 3 5 5" xfId="29136" xr:uid="{2E7D2517-7869-4700-A2CB-29B064FED138}"/>
    <cellStyle name="Comma 4 4 3 5 6" xfId="37583" xr:uid="{E8EC3A71-66D1-442D-BF54-2042833E6CCF}"/>
    <cellStyle name="Comma 4 4 3 5 7" xfId="11389" xr:uid="{DE3A5CCB-862E-4980-AD28-138329313DA4}"/>
    <cellStyle name="Comma 4 4 3 6" xfId="2409" xr:uid="{00000000-0005-0000-0000-00000C0A0000}"/>
    <cellStyle name="Comma 4 4 3 6 2" xfId="6693" xr:uid="{00000000-0005-0000-0000-00000D0A0000}"/>
    <cellStyle name="Comma 4 4 3 6 2 2" xfId="25319" xr:uid="{D7C2AE39-7D68-4DEB-8CF0-3185E1074927}"/>
    <cellStyle name="Comma 4 4 3 6 2 3" xfId="33766" xr:uid="{22A18130-8440-45F8-88FF-D4803A842E69}"/>
    <cellStyle name="Comma 4 4 3 6 2 4" xfId="42213" xr:uid="{BD625C1E-495A-45AC-8B1B-F769C9F01AD5}"/>
    <cellStyle name="Comma 4 4 3 6 2 5" xfId="16019" xr:uid="{7F0A264D-9159-494D-B896-AE4C34078333}"/>
    <cellStyle name="Comma 4 4 3 6 3" xfId="21102" xr:uid="{DDC61F6D-CD59-465F-B27E-BC2045301541}"/>
    <cellStyle name="Comma 4 4 3 6 4" xfId="29549" xr:uid="{A27B1BFF-5BED-4EFF-9406-5936D9AF9D59}"/>
    <cellStyle name="Comma 4 4 3 6 5" xfId="37996" xr:uid="{32FB5A70-88A9-417F-902F-E3AB56F1596A}"/>
    <cellStyle name="Comma 4 4 3 6 6" xfId="11802" xr:uid="{D75C4B12-D430-43E4-9472-7FDF8286C0C8}"/>
    <cellStyle name="Comma 4 4 3 7" xfId="2705" xr:uid="{00000000-0005-0000-0000-00000E0A0000}"/>
    <cellStyle name="Comma 4 4 3 8" xfId="2787" xr:uid="{00000000-0005-0000-0000-00000F0A0000}"/>
    <cellStyle name="Comma 4 4 3 8 2" xfId="7010" xr:uid="{00000000-0005-0000-0000-0000100A0000}"/>
    <cellStyle name="Comma 4 4 3 8 2 2" xfId="25636" xr:uid="{0AB49C3B-81A1-45D7-B551-24D6BA0A7FE3}"/>
    <cellStyle name="Comma 4 4 3 8 2 3" xfId="34083" xr:uid="{E04832E5-3DDF-48DF-852E-041EE0CA8772}"/>
    <cellStyle name="Comma 4 4 3 8 2 4" xfId="42530" xr:uid="{3AE1296E-4109-4A1D-BD83-263BA4FB672E}"/>
    <cellStyle name="Comma 4 4 3 8 2 5" xfId="16336" xr:uid="{1C68B249-4B9E-48CF-B687-7F27F46C2E8E}"/>
    <cellStyle name="Comma 4 4 3 8 3" xfId="21419" xr:uid="{AE5CFD82-8753-4F76-878D-9F4C337A1359}"/>
    <cellStyle name="Comma 4 4 3 8 4" xfId="29866" xr:uid="{0B4F6F1C-EBB3-4F68-8F11-188F48F6B65D}"/>
    <cellStyle name="Comma 4 4 3 8 5" xfId="38313" xr:uid="{664A402F-BD7C-4835-AA61-244CA5A72BA0}"/>
    <cellStyle name="Comma 4 4 3 8 6" xfId="12119" xr:uid="{A9258914-6CA3-4CA8-913D-715E334F47D2}"/>
    <cellStyle name="Comma 4 4 3 9" xfId="4627" xr:uid="{00000000-0005-0000-0000-0000110A0000}"/>
    <cellStyle name="Comma 4 4 3 9 2" xfId="23253" xr:uid="{CE73A453-8585-4EB5-AE73-DBA5642A4B05}"/>
    <cellStyle name="Comma 4 4 3 9 3" xfId="31700" xr:uid="{4B46BF83-78B9-4A66-90B7-5A808F5F0DD3}"/>
    <cellStyle name="Comma 4 4 3 9 4" xfId="40147" xr:uid="{8249CC82-AF2F-409E-BD06-99717F9944DD}"/>
    <cellStyle name="Comma 4 4 3 9 5" xfId="13953" xr:uid="{D739F86D-0A5B-4571-98EF-E58B66F7638B}"/>
    <cellStyle name="Comma 4 4 4" xfId="690" xr:uid="{00000000-0005-0000-0000-0000120A0000}"/>
    <cellStyle name="Comma 4 4 4 2" xfId="2961" xr:uid="{00000000-0005-0000-0000-0000130A0000}"/>
    <cellStyle name="Comma 4 4 4 2 2" xfId="7183" xr:uid="{00000000-0005-0000-0000-0000140A0000}"/>
    <cellStyle name="Comma 4 4 4 2 2 2" xfId="25809" xr:uid="{C73C43C6-89D1-4A3E-9BB2-F97005806519}"/>
    <cellStyle name="Comma 4 4 4 2 2 3" xfId="34256" xr:uid="{938F8DB6-72AF-4FAB-855F-44204774F7ED}"/>
    <cellStyle name="Comma 4 4 4 2 2 4" xfId="42703" xr:uid="{9F03F517-B637-45E4-8D18-2BE5B281AC20}"/>
    <cellStyle name="Comma 4 4 4 2 2 5" xfId="16509" xr:uid="{0DEC184F-5066-456F-B94D-2C1401DC2940}"/>
    <cellStyle name="Comma 4 4 4 2 3" xfId="21592" xr:uid="{A128D03A-8CB0-4382-8131-0EEA86334CAF}"/>
    <cellStyle name="Comma 4 4 4 2 4" xfId="30039" xr:uid="{0E597487-5E85-4ED4-887E-D35E916C99B9}"/>
    <cellStyle name="Comma 4 4 4 2 5" xfId="38486" xr:uid="{DBA3295D-6E31-47D4-AC7B-8307D9677B9D}"/>
    <cellStyle name="Comma 4 4 4 2 6" xfId="12292" xr:uid="{374923F3-2083-4CE0-910E-0F01580C79CE}"/>
    <cellStyle name="Comma 4 4 4 3" xfId="5038" xr:uid="{00000000-0005-0000-0000-0000150A0000}"/>
    <cellStyle name="Comma 4 4 4 3 2" xfId="23664" xr:uid="{B03ABD4E-3611-4281-9863-88B977F31B12}"/>
    <cellStyle name="Comma 4 4 4 3 3" xfId="32111" xr:uid="{5334C20D-8718-45BC-ACF3-C71F67A842B8}"/>
    <cellStyle name="Comma 4 4 4 3 4" xfId="40558" xr:uid="{BE24B9FF-BD0C-459E-9AF4-C51EB8D68F1D}"/>
    <cellStyle name="Comma 4 4 4 3 5" xfId="14364" xr:uid="{9DE9CFF7-AC01-4D2B-ADC1-018D49CC4F49}"/>
    <cellStyle name="Comma 4 4 4 4" xfId="9229" xr:uid="{5D655A80-2199-4116-9BF2-7327D5827395}"/>
    <cellStyle name="Comma 4 4 4 4 2" xfId="18545" xr:uid="{5C145670-76D3-4EE7-9061-2957D1F9F495}"/>
    <cellStyle name="Comma 4 4 4 5" xfId="19447" xr:uid="{4BA67709-B770-4403-A387-67A8E0A80B1B}"/>
    <cellStyle name="Comma 4 4 4 6" xfId="27894" xr:uid="{2329BD29-09F3-4C63-B45A-2E38D97539CB}"/>
    <cellStyle name="Comma 4 4 4 7" xfId="36341" xr:uid="{EAC7FB46-73D0-4D87-BE30-15D109BE38E4}"/>
    <cellStyle name="Comma 4 4 4 8" xfId="10147" xr:uid="{9B9B0B4C-8327-4509-9AA1-1CAD77D01FA3}"/>
    <cellStyle name="Comma 4 4 5" xfId="1143" xr:uid="{00000000-0005-0000-0000-0000160A0000}"/>
    <cellStyle name="Comma 4 4 5 2" xfId="3374" xr:uid="{00000000-0005-0000-0000-0000170A0000}"/>
    <cellStyle name="Comma 4 4 5 2 2" xfId="7596" xr:uid="{00000000-0005-0000-0000-0000180A0000}"/>
    <cellStyle name="Comma 4 4 5 2 2 2" xfId="26222" xr:uid="{87BFE1E2-EE55-40DA-A5E1-6CCBBFDA117E}"/>
    <cellStyle name="Comma 4 4 5 2 2 3" xfId="34669" xr:uid="{948204E5-89DA-4EE9-A6CD-385F8ED3CFD3}"/>
    <cellStyle name="Comma 4 4 5 2 2 4" xfId="43116" xr:uid="{3160701C-DDAC-40A9-9742-A5A3888B5B1D}"/>
    <cellStyle name="Comma 4 4 5 2 2 5" xfId="16922" xr:uid="{EDEEEB70-FA79-4FE5-B07D-57E768FF3AA3}"/>
    <cellStyle name="Comma 4 4 5 2 3" xfId="22005" xr:uid="{63F1265A-ADC1-4CC8-8A88-72C347B53B3E}"/>
    <cellStyle name="Comma 4 4 5 2 4" xfId="30452" xr:uid="{F1BED69B-A46D-4A90-9097-EE1B74F066FF}"/>
    <cellStyle name="Comma 4 4 5 2 5" xfId="38899" xr:uid="{0FC11781-EFFD-4123-BF65-E4218F567601}"/>
    <cellStyle name="Comma 4 4 5 2 6" xfId="12705" xr:uid="{88122892-E74B-4F57-8C5C-C404AD22664A}"/>
    <cellStyle name="Comma 4 4 5 3" xfId="5451" xr:uid="{00000000-0005-0000-0000-0000190A0000}"/>
    <cellStyle name="Comma 4 4 5 3 2" xfId="24077" xr:uid="{E057EA68-F7BC-4F5B-8D3E-F2CDC287EB73}"/>
    <cellStyle name="Comma 4 4 5 3 3" xfId="32524" xr:uid="{989CC148-9294-4CD0-8AE3-01AFCE7CA987}"/>
    <cellStyle name="Comma 4 4 5 3 4" xfId="40971" xr:uid="{AC36F831-CD54-4F96-A1CC-EF44E37353F1}"/>
    <cellStyle name="Comma 4 4 5 3 5" xfId="14777" xr:uid="{AEDF8F0C-FDAC-41EC-99AE-0B5F2449ECEE}"/>
    <cellStyle name="Comma 4 4 5 4" xfId="19860" xr:uid="{D3C43385-FC27-4041-A2B2-85FDFD77551A}"/>
    <cellStyle name="Comma 4 4 5 5" xfId="28307" xr:uid="{9DA095A0-0A79-4393-905F-BF6247745B8D}"/>
    <cellStyle name="Comma 4 4 5 6" xfId="36754" xr:uid="{76980F0D-3097-4B12-8786-D277DB92FF40}"/>
    <cellStyle name="Comma 4 4 5 7" xfId="10560" xr:uid="{6AAC33B4-2F9D-48CB-A042-C36B72BACE3F}"/>
    <cellStyle name="Comma 4 4 6" xfId="1557" xr:uid="{00000000-0005-0000-0000-00001A0A0000}"/>
    <cellStyle name="Comma 4 4 6 2" xfId="3787" xr:uid="{00000000-0005-0000-0000-00001B0A0000}"/>
    <cellStyle name="Comma 4 4 6 2 2" xfId="8009" xr:uid="{00000000-0005-0000-0000-00001C0A0000}"/>
    <cellStyle name="Comma 4 4 6 2 2 2" xfId="26635" xr:uid="{62F5D710-176E-44E7-ABE4-F7AAFDE3A0AD}"/>
    <cellStyle name="Comma 4 4 6 2 2 3" xfId="35082" xr:uid="{5A637FEE-606B-4B6D-B342-29A4EA6B9454}"/>
    <cellStyle name="Comma 4 4 6 2 2 4" xfId="43529" xr:uid="{9D347B54-FB39-4474-8BE5-0225C0617686}"/>
    <cellStyle name="Comma 4 4 6 2 2 5" xfId="17335" xr:uid="{0EC77C5F-190C-4E17-BD33-191F4FAA7969}"/>
    <cellStyle name="Comma 4 4 6 2 3" xfId="22418" xr:uid="{BA4825FD-352B-4CFC-84D5-06AE25C53D13}"/>
    <cellStyle name="Comma 4 4 6 2 4" xfId="30865" xr:uid="{0E192EA2-E228-40A0-8CE8-C2FD1DF64F2B}"/>
    <cellStyle name="Comma 4 4 6 2 5" xfId="39312" xr:uid="{C78C1C10-3242-4613-95C3-42F2A8AFCDE4}"/>
    <cellStyle name="Comma 4 4 6 2 6" xfId="13118" xr:uid="{25ABA892-6ED3-4637-9A02-8184CAEEE462}"/>
    <cellStyle name="Comma 4 4 6 3" xfId="5864" xr:uid="{00000000-0005-0000-0000-00001D0A0000}"/>
    <cellStyle name="Comma 4 4 6 3 2" xfId="24490" xr:uid="{0310754D-53E0-4F1B-AA7B-3BCBE57C8555}"/>
    <cellStyle name="Comma 4 4 6 3 3" xfId="32937" xr:uid="{7DAFD9FA-9BE3-4840-8D0C-9C864D5A2B34}"/>
    <cellStyle name="Comma 4 4 6 3 4" xfId="41384" xr:uid="{B44ACF54-48AA-433E-9058-6E8477F669D2}"/>
    <cellStyle name="Comma 4 4 6 3 5" xfId="15190" xr:uid="{38B650A4-03C2-4B0D-9CCE-EB74F2F8E21C}"/>
    <cellStyle name="Comma 4 4 6 4" xfId="20273" xr:uid="{E5BBD661-12CD-47C5-8B2A-1F1006BAFA9A}"/>
    <cellStyle name="Comma 4 4 6 5" xfId="28720" xr:uid="{7FF15422-83E5-48E9-97FB-0574B22D4114}"/>
    <cellStyle name="Comma 4 4 6 6" xfId="37167" xr:uid="{A8C444DA-4280-4474-B5F1-0CA758CE16FE}"/>
    <cellStyle name="Comma 4 4 6 7" xfId="10973" xr:uid="{FAE31AF9-8DF4-49F7-9A0B-1FB97F2824EA}"/>
    <cellStyle name="Comma 4 4 7" xfId="1971" xr:uid="{00000000-0005-0000-0000-00001E0A0000}"/>
    <cellStyle name="Comma 4 4 7 2" xfId="4200" xr:uid="{00000000-0005-0000-0000-00001F0A0000}"/>
    <cellStyle name="Comma 4 4 7 2 2" xfId="8422" xr:uid="{00000000-0005-0000-0000-0000200A0000}"/>
    <cellStyle name="Comma 4 4 7 2 2 2" xfId="27048" xr:uid="{896C48CF-282B-45BF-AA3F-8F0DB43267D2}"/>
    <cellStyle name="Comma 4 4 7 2 2 3" xfId="35495" xr:uid="{330B444C-367D-434F-A871-2C98DEFD5620}"/>
    <cellStyle name="Comma 4 4 7 2 2 4" xfId="43942" xr:uid="{3E4A5689-EEDE-46C3-A223-A743683D6FFE}"/>
    <cellStyle name="Comma 4 4 7 2 2 5" xfId="17748" xr:uid="{399ED2DB-3C18-4941-9B8F-D7A28AF93B90}"/>
    <cellStyle name="Comma 4 4 7 2 3" xfId="22831" xr:uid="{A6B3C651-BA2C-4566-B678-2430BF3C2C4B}"/>
    <cellStyle name="Comma 4 4 7 2 4" xfId="31278" xr:uid="{26145DEF-9CF6-44A7-A6C3-9AC03743B59E}"/>
    <cellStyle name="Comma 4 4 7 2 5" xfId="39725" xr:uid="{17686E25-C06F-4932-BAD0-68D4C43A69F4}"/>
    <cellStyle name="Comma 4 4 7 2 6" xfId="13531" xr:uid="{22CF7D53-902B-4C32-B68D-983CF348068D}"/>
    <cellStyle name="Comma 4 4 7 3" xfId="6277" xr:uid="{00000000-0005-0000-0000-0000210A0000}"/>
    <cellStyle name="Comma 4 4 7 3 2" xfId="24903" xr:uid="{C035816B-F08A-4454-854C-8534686B9BC8}"/>
    <cellStyle name="Comma 4 4 7 3 3" xfId="33350" xr:uid="{51AB3B97-75FA-443B-9A36-40242584E451}"/>
    <cellStyle name="Comma 4 4 7 3 4" xfId="41797" xr:uid="{61494573-AB59-4496-BFC2-7065B047349E}"/>
    <cellStyle name="Comma 4 4 7 3 5" xfId="15603" xr:uid="{61D5EE20-E9A9-4BF3-B310-BFF3ACCCA8A7}"/>
    <cellStyle name="Comma 4 4 7 4" xfId="20686" xr:uid="{517695B0-421B-42AA-938E-33B26F5B3D5B}"/>
    <cellStyle name="Comma 4 4 7 5" xfId="29133" xr:uid="{6BC46B93-4A92-4300-99E2-A0269480F07A}"/>
    <cellStyle name="Comma 4 4 7 6" xfId="37580" xr:uid="{0C2C57F6-E091-4125-B08B-29E8500C98C4}"/>
    <cellStyle name="Comma 4 4 7 7" xfId="11386" xr:uid="{F16D3930-AEE5-4094-95AE-9117AE61188E}"/>
    <cellStyle name="Comma 4 4 8" xfId="2406" xr:uid="{00000000-0005-0000-0000-0000220A0000}"/>
    <cellStyle name="Comma 4 4 8 2" xfId="6690" xr:uid="{00000000-0005-0000-0000-0000230A0000}"/>
    <cellStyle name="Comma 4 4 8 2 2" xfId="25316" xr:uid="{86D18BFA-9ECF-4235-BB85-8B63845D1414}"/>
    <cellStyle name="Comma 4 4 8 2 3" xfId="33763" xr:uid="{FDA3EA88-DFA6-4EBA-A33B-7B1CEDAA1CD1}"/>
    <cellStyle name="Comma 4 4 8 2 4" xfId="42210" xr:uid="{9DF6E16E-1BE3-44C3-A7F3-DFF438A587CE}"/>
    <cellStyle name="Comma 4 4 8 2 5" xfId="16016" xr:uid="{6B686A98-B4D6-40C7-B2AC-DBBF41FC6AAB}"/>
    <cellStyle name="Comma 4 4 8 3" xfId="21099" xr:uid="{043FDDBD-CF65-46DE-B696-EA881E5A8ACC}"/>
    <cellStyle name="Comma 4 4 8 4" xfId="29546" xr:uid="{B97A3A72-EDAE-4D2F-A045-630562785871}"/>
    <cellStyle name="Comma 4 4 8 5" xfId="37993" xr:uid="{564760A7-AE0A-46D8-A661-2FBF9A2050D1}"/>
    <cellStyle name="Comma 4 4 8 6" xfId="11799" xr:uid="{2E81D79B-8567-47AB-B353-49E5CD9B885F}"/>
    <cellStyle name="Comma 4 4 9" xfId="2702" xr:uid="{00000000-0005-0000-0000-0000240A0000}"/>
    <cellStyle name="Comma 4 5" xfId="157" xr:uid="{00000000-0005-0000-0000-0000250A0000}"/>
    <cellStyle name="Comma 4 5 10" xfId="4628" xr:uid="{00000000-0005-0000-0000-0000260A0000}"/>
    <cellStyle name="Comma 4 5 10 2" xfId="23254" xr:uid="{B7D89927-C347-45A2-91EF-D5E892B7ACEB}"/>
    <cellStyle name="Comma 4 5 10 3" xfId="31701" xr:uid="{FFDB734C-45FC-4A5E-868F-59B693F79A26}"/>
    <cellStyle name="Comma 4 5 10 4" xfId="40148" xr:uid="{26A75B3F-4090-4831-8911-C63E726F3FC5}"/>
    <cellStyle name="Comma 4 5 10 5" xfId="13954" xr:uid="{E26015AB-937D-415E-AFB6-02E06B14FE65}"/>
    <cellStyle name="Comma 4 5 11" xfId="8849" xr:uid="{344CCE08-63E3-41E8-B38A-00347480820F}"/>
    <cellStyle name="Comma 4 5 11 2" xfId="18173" xr:uid="{4F8A5C34-E1BE-4814-8A6E-74C774F7159C}"/>
    <cellStyle name="Comma 4 5 12" xfId="19037" xr:uid="{7ED744E2-D54A-4B66-9237-0CEF41D8C995}"/>
    <cellStyle name="Comma 4 5 13" xfId="27484" xr:uid="{982BE552-4DCC-40AC-8024-8E934E0F8730}"/>
    <cellStyle name="Comma 4 5 14" xfId="35931" xr:uid="{4C5150ED-3699-4070-87EE-6CA7F54AE6E0}"/>
    <cellStyle name="Comma 4 5 15" xfId="9737" xr:uid="{B503771C-E4FE-4EF4-8F68-0A14C4A6F289}"/>
    <cellStyle name="Comma 4 5 2" xfId="158" xr:uid="{00000000-0005-0000-0000-0000270A0000}"/>
    <cellStyle name="Comma 4 5 2 10" xfId="9056" xr:uid="{C7C2153B-7EAA-4A13-9C28-1151ACD100A8}"/>
    <cellStyle name="Comma 4 5 2 10 2" xfId="18380" xr:uid="{8A86E771-E98A-4576-8809-F7B3CA5B567A}"/>
    <cellStyle name="Comma 4 5 2 11" xfId="19038" xr:uid="{A09C423E-E4D5-437B-AA1E-D58E0BA56DBD}"/>
    <cellStyle name="Comma 4 5 2 12" xfId="27485" xr:uid="{373CE9B5-0F03-4901-8200-F01578DAFF0E}"/>
    <cellStyle name="Comma 4 5 2 13" xfId="35932" xr:uid="{C1E9E033-088D-438D-8A49-863BE6CB24D8}"/>
    <cellStyle name="Comma 4 5 2 14" xfId="9738" xr:uid="{05774DF4-9D66-4A1F-87B1-553BCAA2EE13}"/>
    <cellStyle name="Comma 4 5 2 2" xfId="695" xr:uid="{00000000-0005-0000-0000-0000280A0000}"/>
    <cellStyle name="Comma 4 5 2 2 2" xfId="2966" xr:uid="{00000000-0005-0000-0000-0000290A0000}"/>
    <cellStyle name="Comma 4 5 2 2 2 2" xfId="7188" xr:uid="{00000000-0005-0000-0000-00002A0A0000}"/>
    <cellStyle name="Comma 4 5 2 2 2 2 2" xfId="25814" xr:uid="{6D50D39B-D378-4D4F-A6C7-28F7534E55BD}"/>
    <cellStyle name="Comma 4 5 2 2 2 2 3" xfId="34261" xr:uid="{8E970651-53F9-4F2C-B3FF-012929864E0B}"/>
    <cellStyle name="Comma 4 5 2 2 2 2 4" xfId="42708" xr:uid="{442260C8-565D-4DFD-888F-81342CAE755C}"/>
    <cellStyle name="Comma 4 5 2 2 2 2 5" xfId="16514" xr:uid="{18C05D6C-682E-4BB3-BA1C-5AD6BEA69758}"/>
    <cellStyle name="Comma 4 5 2 2 2 3" xfId="21597" xr:uid="{5B2080E2-D3F2-49D4-A561-C62600F8A8E4}"/>
    <cellStyle name="Comma 4 5 2 2 2 4" xfId="30044" xr:uid="{FF42E845-753F-423C-AA3F-F04BA98483DD}"/>
    <cellStyle name="Comma 4 5 2 2 2 5" xfId="38491" xr:uid="{F048704A-B2C5-45FF-A784-17A56F38D5C7}"/>
    <cellStyle name="Comma 4 5 2 2 2 6" xfId="12297" xr:uid="{D3B79FB6-E971-42A8-BFB3-A93BE5BEE4A2}"/>
    <cellStyle name="Comma 4 5 2 2 3" xfId="5043" xr:uid="{00000000-0005-0000-0000-00002B0A0000}"/>
    <cellStyle name="Comma 4 5 2 2 3 2" xfId="23669" xr:uid="{C9A25C6D-9558-49D7-9F30-EA8F0EB49DFA}"/>
    <cellStyle name="Comma 4 5 2 2 3 3" xfId="32116" xr:uid="{DE006F87-B6DE-4F60-BB5F-240B4649D00B}"/>
    <cellStyle name="Comma 4 5 2 2 3 4" xfId="40563" xr:uid="{77E97B10-D435-42FA-B411-65F3B62B3124}"/>
    <cellStyle name="Comma 4 5 2 2 3 5" xfId="14369" xr:uid="{EE8EF312-DE8B-4E63-B8D5-F136F0C7AD00}"/>
    <cellStyle name="Comma 4 5 2 2 4" xfId="9481" xr:uid="{47C88F6D-21B1-4457-908C-FFAB8FF83BD1}"/>
    <cellStyle name="Comma 4 5 2 2 4 2" xfId="18797" xr:uid="{E112968E-F041-460D-8E3A-3E349911CA6B}"/>
    <cellStyle name="Comma 4 5 2 2 5" xfId="19452" xr:uid="{514ED4F9-E1D7-44C1-B698-DF68D10AF24D}"/>
    <cellStyle name="Comma 4 5 2 2 6" xfId="27899" xr:uid="{8AB6E15F-5BC7-4E20-A7E7-EA0CE4ADF851}"/>
    <cellStyle name="Comma 4 5 2 2 7" xfId="36346" xr:uid="{75DA3171-2BB7-47F6-BAF9-EDE8F6EF0A27}"/>
    <cellStyle name="Comma 4 5 2 2 8" xfId="10152" xr:uid="{E52EBC4D-025C-44E9-A12D-D9B2C4DA489B}"/>
    <cellStyle name="Comma 4 5 2 3" xfId="1148" xr:uid="{00000000-0005-0000-0000-00002C0A0000}"/>
    <cellStyle name="Comma 4 5 2 3 2" xfId="3379" xr:uid="{00000000-0005-0000-0000-00002D0A0000}"/>
    <cellStyle name="Comma 4 5 2 3 2 2" xfId="7601" xr:uid="{00000000-0005-0000-0000-00002E0A0000}"/>
    <cellStyle name="Comma 4 5 2 3 2 2 2" xfId="26227" xr:uid="{536AF432-4EE2-41D2-A784-8DFD075A397C}"/>
    <cellStyle name="Comma 4 5 2 3 2 2 3" xfId="34674" xr:uid="{1F64EEE3-AF92-4B48-AC5E-3C685DD5840B}"/>
    <cellStyle name="Comma 4 5 2 3 2 2 4" xfId="43121" xr:uid="{DB150E42-E2DE-4B78-9171-F19ECD4E2218}"/>
    <cellStyle name="Comma 4 5 2 3 2 2 5" xfId="16927" xr:uid="{8425BFA5-4EB8-4879-B5D6-EC217E6A33BC}"/>
    <cellStyle name="Comma 4 5 2 3 2 3" xfId="22010" xr:uid="{43460D74-65AC-4339-8C46-3A66A213ACF0}"/>
    <cellStyle name="Comma 4 5 2 3 2 4" xfId="30457" xr:uid="{033EABAA-B642-4C33-B878-943235DAEB3F}"/>
    <cellStyle name="Comma 4 5 2 3 2 5" xfId="38904" xr:uid="{ADA706C5-5DCC-4D30-B5D1-4C72D330A7C5}"/>
    <cellStyle name="Comma 4 5 2 3 2 6" xfId="12710" xr:uid="{3731CBEC-7318-4EB7-9D6E-7FA15B115179}"/>
    <cellStyle name="Comma 4 5 2 3 3" xfId="5456" xr:uid="{00000000-0005-0000-0000-00002F0A0000}"/>
    <cellStyle name="Comma 4 5 2 3 3 2" xfId="24082" xr:uid="{CCB1A461-1CDF-4D3D-8015-1828A78EC1CC}"/>
    <cellStyle name="Comma 4 5 2 3 3 3" xfId="32529" xr:uid="{8B5072B3-CC5C-4C4F-97D8-ED74BCC557DB}"/>
    <cellStyle name="Comma 4 5 2 3 3 4" xfId="40976" xr:uid="{C6BE46E6-1CD0-47C2-A217-B2D16C2047FB}"/>
    <cellStyle name="Comma 4 5 2 3 3 5" xfId="14782" xr:uid="{1BA5DB96-3481-4ED0-996A-9CAA22BDFFDD}"/>
    <cellStyle name="Comma 4 5 2 3 4" xfId="19865" xr:uid="{D2938338-F699-4497-8563-C868F6C0C06D}"/>
    <cellStyle name="Comma 4 5 2 3 5" xfId="28312" xr:uid="{E190B6F6-A6EF-43E3-B1B9-E59297AC274C}"/>
    <cellStyle name="Comma 4 5 2 3 6" xfId="36759" xr:uid="{F5F54E53-2CE0-45F9-82DE-366441664BB7}"/>
    <cellStyle name="Comma 4 5 2 3 7" xfId="10565" xr:uid="{3D25128A-8D7A-4C7B-91E1-1880EE93BF47}"/>
    <cellStyle name="Comma 4 5 2 4" xfId="1562" xr:uid="{00000000-0005-0000-0000-0000300A0000}"/>
    <cellStyle name="Comma 4 5 2 4 2" xfId="3792" xr:uid="{00000000-0005-0000-0000-0000310A0000}"/>
    <cellStyle name="Comma 4 5 2 4 2 2" xfId="8014" xr:uid="{00000000-0005-0000-0000-0000320A0000}"/>
    <cellStyle name="Comma 4 5 2 4 2 2 2" xfId="26640" xr:uid="{6DF7C5CC-CFF8-4BE5-A5BE-4303206097DB}"/>
    <cellStyle name="Comma 4 5 2 4 2 2 3" xfId="35087" xr:uid="{B221F7B4-D54D-408A-84D2-636D8D9CF9A6}"/>
    <cellStyle name="Comma 4 5 2 4 2 2 4" xfId="43534" xr:uid="{2D102DAA-881A-475F-B574-8178B3A60B41}"/>
    <cellStyle name="Comma 4 5 2 4 2 2 5" xfId="17340" xr:uid="{BB754898-A182-444F-AA23-3F2064AD8589}"/>
    <cellStyle name="Comma 4 5 2 4 2 3" xfId="22423" xr:uid="{81E0F9B6-7D7E-4932-884C-351F3EDA0BAD}"/>
    <cellStyle name="Comma 4 5 2 4 2 4" xfId="30870" xr:uid="{9E730DA0-13B2-4544-A035-B7F340CAE33A}"/>
    <cellStyle name="Comma 4 5 2 4 2 5" xfId="39317" xr:uid="{C315E8BA-5D5E-4599-9B8A-A7E5F77B94AA}"/>
    <cellStyle name="Comma 4 5 2 4 2 6" xfId="13123" xr:uid="{3B486FAA-0385-4494-9679-E4CA2086B78A}"/>
    <cellStyle name="Comma 4 5 2 4 3" xfId="5869" xr:uid="{00000000-0005-0000-0000-0000330A0000}"/>
    <cellStyle name="Comma 4 5 2 4 3 2" xfId="24495" xr:uid="{01EFC541-523D-4409-9E9A-0E709DE7465D}"/>
    <cellStyle name="Comma 4 5 2 4 3 3" xfId="32942" xr:uid="{485D68EA-F555-4024-80A2-F6F13E92F6D0}"/>
    <cellStyle name="Comma 4 5 2 4 3 4" xfId="41389" xr:uid="{C4792E5F-E7DF-47FC-9CE0-338387B0BE48}"/>
    <cellStyle name="Comma 4 5 2 4 3 5" xfId="15195" xr:uid="{86927F0D-9B24-4BEA-961A-CFBD524B6869}"/>
    <cellStyle name="Comma 4 5 2 4 4" xfId="20278" xr:uid="{41FCB1ED-9F02-46EB-95D7-B131279F9F1A}"/>
    <cellStyle name="Comma 4 5 2 4 5" xfId="28725" xr:uid="{461F811C-F04C-43BA-B4A1-A2627B84937B}"/>
    <cellStyle name="Comma 4 5 2 4 6" xfId="37172" xr:uid="{156D1318-A279-4C7D-9279-2F09550B2F29}"/>
    <cellStyle name="Comma 4 5 2 4 7" xfId="10978" xr:uid="{96930B6E-C604-4063-88FB-A38260E5CBCB}"/>
    <cellStyle name="Comma 4 5 2 5" xfId="1976" xr:uid="{00000000-0005-0000-0000-0000340A0000}"/>
    <cellStyle name="Comma 4 5 2 5 2" xfId="4205" xr:uid="{00000000-0005-0000-0000-0000350A0000}"/>
    <cellStyle name="Comma 4 5 2 5 2 2" xfId="8427" xr:uid="{00000000-0005-0000-0000-0000360A0000}"/>
    <cellStyle name="Comma 4 5 2 5 2 2 2" xfId="27053" xr:uid="{5BC01FC7-2CB3-46EB-A57D-A6D3C5749A7E}"/>
    <cellStyle name="Comma 4 5 2 5 2 2 3" xfId="35500" xr:uid="{247D1A2C-3277-4BF6-934C-B48B63C46C1F}"/>
    <cellStyle name="Comma 4 5 2 5 2 2 4" xfId="43947" xr:uid="{2FF9800D-5C6D-4C86-A6C9-1367C9E1678C}"/>
    <cellStyle name="Comma 4 5 2 5 2 2 5" xfId="17753" xr:uid="{FA17E0DE-870B-4E3F-9CB3-E0C81A8833D3}"/>
    <cellStyle name="Comma 4 5 2 5 2 3" xfId="22836" xr:uid="{CFA7A725-FA3C-4E75-B724-E943421BB922}"/>
    <cellStyle name="Comma 4 5 2 5 2 4" xfId="31283" xr:uid="{132DFC25-6EAD-43FB-99EE-CDCF56C0220E}"/>
    <cellStyle name="Comma 4 5 2 5 2 5" xfId="39730" xr:uid="{FD5ED160-950A-453A-BD87-3BF2FEDED242}"/>
    <cellStyle name="Comma 4 5 2 5 2 6" xfId="13536" xr:uid="{3673AB31-4592-438E-8997-8BE751376168}"/>
    <cellStyle name="Comma 4 5 2 5 3" xfId="6282" xr:uid="{00000000-0005-0000-0000-0000370A0000}"/>
    <cellStyle name="Comma 4 5 2 5 3 2" xfId="24908" xr:uid="{6F33892D-CA26-4363-9383-737D5DAC298A}"/>
    <cellStyle name="Comma 4 5 2 5 3 3" xfId="33355" xr:uid="{628293F4-914C-43E7-829A-7AC1DB025268}"/>
    <cellStyle name="Comma 4 5 2 5 3 4" xfId="41802" xr:uid="{32B14146-58D3-4FF3-8C52-D722A9F974C2}"/>
    <cellStyle name="Comma 4 5 2 5 3 5" xfId="15608" xr:uid="{57FEBC87-2FDD-47CF-B441-FBA9144F0944}"/>
    <cellStyle name="Comma 4 5 2 5 4" xfId="20691" xr:uid="{4696107D-8EAB-4947-A439-F5AC1AB0BBF6}"/>
    <cellStyle name="Comma 4 5 2 5 5" xfId="29138" xr:uid="{3D5EBC1A-3289-441F-AE62-180A1E0ED6E7}"/>
    <cellStyle name="Comma 4 5 2 5 6" xfId="37585" xr:uid="{A608DF34-92B3-47C2-A181-17CF8561B641}"/>
    <cellStyle name="Comma 4 5 2 5 7" xfId="11391" xr:uid="{5B9D39EB-909A-43D7-BF93-5C1801380E47}"/>
    <cellStyle name="Comma 4 5 2 6" xfId="2411" xr:uid="{00000000-0005-0000-0000-0000380A0000}"/>
    <cellStyle name="Comma 4 5 2 6 2" xfId="6695" xr:uid="{00000000-0005-0000-0000-0000390A0000}"/>
    <cellStyle name="Comma 4 5 2 6 2 2" xfId="25321" xr:uid="{2A35E928-DE49-488E-9A56-EAC38AA408F3}"/>
    <cellStyle name="Comma 4 5 2 6 2 3" xfId="33768" xr:uid="{6091A1BF-1808-469D-8D14-5F61FB26714C}"/>
    <cellStyle name="Comma 4 5 2 6 2 4" xfId="42215" xr:uid="{F45C9FD1-C149-4148-8642-BEDCF7E137E8}"/>
    <cellStyle name="Comma 4 5 2 6 2 5" xfId="16021" xr:uid="{0D0B4B2A-BCD2-41B4-BEAD-539E56D5B413}"/>
    <cellStyle name="Comma 4 5 2 6 3" xfId="21104" xr:uid="{51C62AF8-9584-416A-B4CA-1057E69B7297}"/>
    <cellStyle name="Comma 4 5 2 6 4" xfId="29551" xr:uid="{F8F9F125-B52C-4001-91A3-19FA4F7E3B4D}"/>
    <cellStyle name="Comma 4 5 2 6 5" xfId="37998" xr:uid="{9B643B8E-6D6B-4F22-8550-BD2D2D8C0EBD}"/>
    <cellStyle name="Comma 4 5 2 6 6" xfId="11804" xr:uid="{3C29E130-6386-43FC-869F-B88E2BA23EF2}"/>
    <cellStyle name="Comma 4 5 2 7" xfId="2707" xr:uid="{00000000-0005-0000-0000-00003A0A0000}"/>
    <cellStyle name="Comma 4 5 2 8" xfId="2789" xr:uid="{00000000-0005-0000-0000-00003B0A0000}"/>
    <cellStyle name="Comma 4 5 2 8 2" xfId="7012" xr:uid="{00000000-0005-0000-0000-00003C0A0000}"/>
    <cellStyle name="Comma 4 5 2 8 2 2" xfId="25638" xr:uid="{7B629FB3-5A45-404E-B141-5229D12288EF}"/>
    <cellStyle name="Comma 4 5 2 8 2 3" xfId="34085" xr:uid="{F30E38B8-2FBD-4BB1-8EA4-F5743BEECDFB}"/>
    <cellStyle name="Comma 4 5 2 8 2 4" xfId="42532" xr:uid="{D045AF9A-0CB3-4261-AE6C-D1DC36BAA29D}"/>
    <cellStyle name="Comma 4 5 2 8 2 5" xfId="16338" xr:uid="{F1EBCB58-BA34-49C0-B7FD-72D61D9340AD}"/>
    <cellStyle name="Comma 4 5 2 8 3" xfId="21421" xr:uid="{C02521BB-F078-4D4F-B609-9073CF8992CD}"/>
    <cellStyle name="Comma 4 5 2 8 4" xfId="29868" xr:uid="{C8B3BEEA-BD3F-4D46-B39B-7DD0ACFA90AA}"/>
    <cellStyle name="Comma 4 5 2 8 5" xfId="38315" xr:uid="{8A1A7EE1-CFDD-4FA2-A0BE-DD11360CE565}"/>
    <cellStyle name="Comma 4 5 2 8 6" xfId="12121" xr:uid="{47C27B92-2A44-490B-B950-31482B9300BB}"/>
    <cellStyle name="Comma 4 5 2 9" xfId="4629" xr:uid="{00000000-0005-0000-0000-00003D0A0000}"/>
    <cellStyle name="Comma 4 5 2 9 2" xfId="23255" xr:uid="{E9A7050E-12EF-4058-8FE2-A2D9B961BF43}"/>
    <cellStyle name="Comma 4 5 2 9 3" xfId="31702" xr:uid="{4E075DDE-DAAA-4DA8-B27C-075D7870DA88}"/>
    <cellStyle name="Comma 4 5 2 9 4" xfId="40149" xr:uid="{AA38880D-5120-4102-9C98-7B7CF56A5DF2}"/>
    <cellStyle name="Comma 4 5 2 9 5" xfId="13955" xr:uid="{E483AAFB-01EA-4112-96FF-120FED0081DC}"/>
    <cellStyle name="Comma 4 5 3" xfId="694" xr:uid="{00000000-0005-0000-0000-00003E0A0000}"/>
    <cellStyle name="Comma 4 5 3 2" xfId="2965" xr:uid="{00000000-0005-0000-0000-00003F0A0000}"/>
    <cellStyle name="Comma 4 5 3 2 2" xfId="7187" xr:uid="{00000000-0005-0000-0000-0000400A0000}"/>
    <cellStyle name="Comma 4 5 3 2 2 2" xfId="25813" xr:uid="{3F0C8AE4-A276-49A4-A9F1-3979E76085B4}"/>
    <cellStyle name="Comma 4 5 3 2 2 3" xfId="34260" xr:uid="{79909846-15A3-462F-B2E6-CE35B400F248}"/>
    <cellStyle name="Comma 4 5 3 2 2 4" xfId="42707" xr:uid="{32ADB4E2-1D6F-4DB4-BD9B-D73A175506CC}"/>
    <cellStyle name="Comma 4 5 3 2 2 5" xfId="16513" xr:uid="{6A14C286-7A3D-4CDA-97B5-694144E06D16}"/>
    <cellStyle name="Comma 4 5 3 2 3" xfId="21596" xr:uid="{5AE66F98-1E8E-455F-8F25-2ED3C63ECAC5}"/>
    <cellStyle name="Comma 4 5 3 2 4" xfId="30043" xr:uid="{8C498693-9FBE-46F7-97EE-13670E69591B}"/>
    <cellStyle name="Comma 4 5 3 2 5" xfId="38490" xr:uid="{43514CB6-B2BD-49F0-81B8-B71CAF2FFA36}"/>
    <cellStyle name="Comma 4 5 3 2 6" xfId="12296" xr:uid="{B77795C7-7051-4C02-88B9-46F430A728EF}"/>
    <cellStyle name="Comma 4 5 3 3" xfId="5042" xr:uid="{00000000-0005-0000-0000-0000410A0000}"/>
    <cellStyle name="Comma 4 5 3 3 2" xfId="23668" xr:uid="{216F0CC5-40AD-4226-9976-6A60308F501B}"/>
    <cellStyle name="Comma 4 5 3 3 3" xfId="32115" xr:uid="{8DA3A018-07AE-421C-8E5E-E5A5246FBC65}"/>
    <cellStyle name="Comma 4 5 3 3 4" xfId="40562" xr:uid="{0910ABEA-786A-4D50-B06C-037ABC9FF863}"/>
    <cellStyle name="Comma 4 5 3 3 5" xfId="14368" xr:uid="{A5984E83-C339-4D5B-BD08-EA3BD2643707}"/>
    <cellStyle name="Comma 4 5 3 4" xfId="9274" xr:uid="{04AC3EF2-4A78-4DC5-BAB4-87936023C7E5}"/>
    <cellStyle name="Comma 4 5 3 4 2" xfId="18590" xr:uid="{15ACD384-4C09-4686-BF29-3767D9565CE0}"/>
    <cellStyle name="Comma 4 5 3 5" xfId="19451" xr:uid="{50ED1746-888F-447B-A59B-2E300C97BFC7}"/>
    <cellStyle name="Comma 4 5 3 6" xfId="27898" xr:uid="{7344FB4A-97D8-461F-AF5E-5E68899E0CF9}"/>
    <cellStyle name="Comma 4 5 3 7" xfId="36345" xr:uid="{383AEE5E-4EC4-40D3-A53F-76CDD47E773D}"/>
    <cellStyle name="Comma 4 5 3 8" xfId="10151" xr:uid="{CA77E923-6313-47E6-85EF-F542A3BC3893}"/>
    <cellStyle name="Comma 4 5 4" xfId="1147" xr:uid="{00000000-0005-0000-0000-0000420A0000}"/>
    <cellStyle name="Comma 4 5 4 2" xfId="3378" xr:uid="{00000000-0005-0000-0000-0000430A0000}"/>
    <cellStyle name="Comma 4 5 4 2 2" xfId="7600" xr:uid="{00000000-0005-0000-0000-0000440A0000}"/>
    <cellStyle name="Comma 4 5 4 2 2 2" xfId="26226" xr:uid="{8B34602B-12A7-4606-895A-E85E903321EC}"/>
    <cellStyle name="Comma 4 5 4 2 2 3" xfId="34673" xr:uid="{7663D299-2D2B-452E-A908-CCFB92CC98AF}"/>
    <cellStyle name="Comma 4 5 4 2 2 4" xfId="43120" xr:uid="{751524A7-D1B0-40E2-8485-D7E6891B8657}"/>
    <cellStyle name="Comma 4 5 4 2 2 5" xfId="16926" xr:uid="{E7BAC962-736E-4803-8999-F6AC1E98DA89}"/>
    <cellStyle name="Comma 4 5 4 2 3" xfId="22009" xr:uid="{7DAE9781-3BDF-424E-9CEC-168F9BF732CB}"/>
    <cellStyle name="Comma 4 5 4 2 4" xfId="30456" xr:uid="{733B5843-9B90-4902-A0B5-A8716A63E2A6}"/>
    <cellStyle name="Comma 4 5 4 2 5" xfId="38903" xr:uid="{589A42EC-CE87-41F9-9BD9-E78F4A352AFE}"/>
    <cellStyle name="Comma 4 5 4 2 6" xfId="12709" xr:uid="{DDDA5EE5-7510-4B13-B4A9-89E7AFA9D7BD}"/>
    <cellStyle name="Comma 4 5 4 3" xfId="5455" xr:uid="{00000000-0005-0000-0000-0000450A0000}"/>
    <cellStyle name="Comma 4 5 4 3 2" xfId="24081" xr:uid="{3C251EFB-AE6F-49F5-8F8D-1E4772B22850}"/>
    <cellStyle name="Comma 4 5 4 3 3" xfId="32528" xr:uid="{C4C8001C-A9BF-48E3-A295-0B57DADA2DFE}"/>
    <cellStyle name="Comma 4 5 4 3 4" xfId="40975" xr:uid="{B1796AD8-99B4-4A73-8A34-456E4C344EFB}"/>
    <cellStyle name="Comma 4 5 4 3 5" xfId="14781" xr:uid="{141A7AA1-4E80-44CD-B382-EA34DDCD8C37}"/>
    <cellStyle name="Comma 4 5 4 4" xfId="19864" xr:uid="{EB2377D0-6DD1-4FEA-AFC1-E1A339B948AF}"/>
    <cellStyle name="Comma 4 5 4 5" xfId="28311" xr:uid="{F9631C6B-5704-4E9F-9EA0-BE51A29E1611}"/>
    <cellStyle name="Comma 4 5 4 6" xfId="36758" xr:uid="{981F0CBA-3105-44F9-85AD-7B705FC47FB0}"/>
    <cellStyle name="Comma 4 5 4 7" xfId="10564" xr:uid="{45B827A6-758C-4E3D-9E98-43C0AF2498E7}"/>
    <cellStyle name="Comma 4 5 5" xfId="1561" xr:uid="{00000000-0005-0000-0000-0000460A0000}"/>
    <cellStyle name="Comma 4 5 5 2" xfId="3791" xr:uid="{00000000-0005-0000-0000-0000470A0000}"/>
    <cellStyle name="Comma 4 5 5 2 2" xfId="8013" xr:uid="{00000000-0005-0000-0000-0000480A0000}"/>
    <cellStyle name="Comma 4 5 5 2 2 2" xfId="26639" xr:uid="{9C269BAB-342F-45C2-BDB0-45DBD8190202}"/>
    <cellStyle name="Comma 4 5 5 2 2 3" xfId="35086" xr:uid="{FA2B75ED-35EB-489D-BF6A-0A252BAEAAE2}"/>
    <cellStyle name="Comma 4 5 5 2 2 4" xfId="43533" xr:uid="{2E685F2C-69B0-4FD4-884E-E5E71566C6CC}"/>
    <cellStyle name="Comma 4 5 5 2 2 5" xfId="17339" xr:uid="{E18AA0D4-237E-4C61-9BFC-6C66EE967A39}"/>
    <cellStyle name="Comma 4 5 5 2 3" xfId="22422" xr:uid="{B4A2D4C1-C08B-4844-849C-8978ADFC9AD6}"/>
    <cellStyle name="Comma 4 5 5 2 4" xfId="30869" xr:uid="{851BC7DB-64E8-4567-A660-428AF97D9804}"/>
    <cellStyle name="Comma 4 5 5 2 5" xfId="39316" xr:uid="{9057BCE1-BD94-40D8-954B-3BFFE9A56791}"/>
    <cellStyle name="Comma 4 5 5 2 6" xfId="13122" xr:uid="{58AD4373-72E7-40E9-B101-59D818D44FEC}"/>
    <cellStyle name="Comma 4 5 5 3" xfId="5868" xr:uid="{00000000-0005-0000-0000-0000490A0000}"/>
    <cellStyle name="Comma 4 5 5 3 2" xfId="24494" xr:uid="{A1A4FB4D-9892-45C2-BF70-165C2744F28C}"/>
    <cellStyle name="Comma 4 5 5 3 3" xfId="32941" xr:uid="{160A8209-B631-463E-BA25-1CBB73EF43C0}"/>
    <cellStyle name="Comma 4 5 5 3 4" xfId="41388" xr:uid="{69AD62A6-E28F-4FBF-976A-0D55889BBB51}"/>
    <cellStyle name="Comma 4 5 5 3 5" xfId="15194" xr:uid="{FB0C62CD-F7AC-4EFE-971F-744622F8DDF1}"/>
    <cellStyle name="Comma 4 5 5 4" xfId="20277" xr:uid="{41ED31F3-B15C-40FF-92DC-1C2EF635D366}"/>
    <cellStyle name="Comma 4 5 5 5" xfId="28724" xr:uid="{FF7A1905-64F4-43EB-9FD1-81AB001F2C5D}"/>
    <cellStyle name="Comma 4 5 5 6" xfId="37171" xr:uid="{885AFDEF-7D34-48E6-9A74-2EFC979A0D2F}"/>
    <cellStyle name="Comma 4 5 5 7" xfId="10977" xr:uid="{A35C5CFE-95C3-496F-93B5-324F1DFCA675}"/>
    <cellStyle name="Comma 4 5 6" xfId="1975" xr:uid="{00000000-0005-0000-0000-00004A0A0000}"/>
    <cellStyle name="Comma 4 5 6 2" xfId="4204" xr:uid="{00000000-0005-0000-0000-00004B0A0000}"/>
    <cellStyle name="Comma 4 5 6 2 2" xfId="8426" xr:uid="{00000000-0005-0000-0000-00004C0A0000}"/>
    <cellStyle name="Comma 4 5 6 2 2 2" xfId="27052" xr:uid="{AF933D89-F295-4B1C-910D-146A7AB4BDD8}"/>
    <cellStyle name="Comma 4 5 6 2 2 3" xfId="35499" xr:uid="{F86486FA-EE6E-429C-B1F8-9107B2CD8079}"/>
    <cellStyle name="Comma 4 5 6 2 2 4" xfId="43946" xr:uid="{9F12539E-0053-406A-9474-67F0BD4CD1F6}"/>
    <cellStyle name="Comma 4 5 6 2 2 5" xfId="17752" xr:uid="{7748129A-9B3B-452C-8503-53E061734A00}"/>
    <cellStyle name="Comma 4 5 6 2 3" xfId="22835" xr:uid="{12FDB221-8E87-417F-816E-B7B684330AF4}"/>
    <cellStyle name="Comma 4 5 6 2 4" xfId="31282" xr:uid="{BF974B24-91F0-4C65-AFC5-82F37BF04EBD}"/>
    <cellStyle name="Comma 4 5 6 2 5" xfId="39729" xr:uid="{98EDB0B1-56CE-4942-85AC-A3F08BB9B1EB}"/>
    <cellStyle name="Comma 4 5 6 2 6" xfId="13535" xr:uid="{56ED98FA-A4F5-4452-B11C-8B4E5463A9B1}"/>
    <cellStyle name="Comma 4 5 6 3" xfId="6281" xr:uid="{00000000-0005-0000-0000-00004D0A0000}"/>
    <cellStyle name="Comma 4 5 6 3 2" xfId="24907" xr:uid="{556EFF58-71B9-4A7F-A5F3-14229F4DABD7}"/>
    <cellStyle name="Comma 4 5 6 3 3" xfId="33354" xr:uid="{ED0928F0-2667-425E-9824-D00653D90CDB}"/>
    <cellStyle name="Comma 4 5 6 3 4" xfId="41801" xr:uid="{62AB29A2-9591-4421-B62C-3CCE65D985A8}"/>
    <cellStyle name="Comma 4 5 6 3 5" xfId="15607" xr:uid="{7325567A-8DE0-4558-B5E4-2CD69CDBAE61}"/>
    <cellStyle name="Comma 4 5 6 4" xfId="20690" xr:uid="{19620E14-FDE0-44B5-BF05-0D5A3CB67DAE}"/>
    <cellStyle name="Comma 4 5 6 5" xfId="29137" xr:uid="{986323F1-8153-4191-8914-EC1B26A76062}"/>
    <cellStyle name="Comma 4 5 6 6" xfId="37584" xr:uid="{0AEA4EEA-3AC5-4703-A988-0F60AD75E0C6}"/>
    <cellStyle name="Comma 4 5 6 7" xfId="11390" xr:uid="{69781D27-B905-427B-B05D-A764B3D84240}"/>
    <cellStyle name="Comma 4 5 7" xfId="2410" xr:uid="{00000000-0005-0000-0000-00004E0A0000}"/>
    <cellStyle name="Comma 4 5 7 2" xfId="6694" xr:uid="{00000000-0005-0000-0000-00004F0A0000}"/>
    <cellStyle name="Comma 4 5 7 2 2" xfId="25320" xr:uid="{169A5450-AEB5-4D5D-A637-745532D05B1D}"/>
    <cellStyle name="Comma 4 5 7 2 3" xfId="33767" xr:uid="{45F069C8-7A7D-4645-B670-CFED1EB02E90}"/>
    <cellStyle name="Comma 4 5 7 2 4" xfId="42214" xr:uid="{45A8629C-85E2-4C28-8E7B-E74956383782}"/>
    <cellStyle name="Comma 4 5 7 2 5" xfId="16020" xr:uid="{F208B0BC-306A-4C4D-B9F9-5C34D756FF7D}"/>
    <cellStyle name="Comma 4 5 7 3" xfId="21103" xr:uid="{93D6CC68-0F6F-4AA4-B73F-4C21734EEC98}"/>
    <cellStyle name="Comma 4 5 7 4" xfId="29550" xr:uid="{61246397-3174-42D6-AC52-07B749DFAD28}"/>
    <cellStyle name="Comma 4 5 7 5" xfId="37997" xr:uid="{1644A34C-A569-4219-81B2-E85EB5F165B0}"/>
    <cellStyle name="Comma 4 5 7 6" xfId="11803" xr:uid="{B0E53F5B-9FE7-4230-A24D-27FB241BBCD6}"/>
    <cellStyle name="Comma 4 5 8" xfId="2706" xr:uid="{00000000-0005-0000-0000-0000500A0000}"/>
    <cellStyle name="Comma 4 5 9" xfId="2788" xr:uid="{00000000-0005-0000-0000-0000510A0000}"/>
    <cellStyle name="Comma 4 5 9 2" xfId="7011" xr:uid="{00000000-0005-0000-0000-0000520A0000}"/>
    <cellStyle name="Comma 4 5 9 2 2" xfId="25637" xr:uid="{39C27344-428B-4432-B7C3-75EE829A2743}"/>
    <cellStyle name="Comma 4 5 9 2 3" xfId="34084" xr:uid="{B121C9CC-2EC6-4559-88DE-15FEA8A1FA69}"/>
    <cellStyle name="Comma 4 5 9 2 4" xfId="42531" xr:uid="{9D6D8335-44D9-472B-993C-68E79C8D8408}"/>
    <cellStyle name="Comma 4 5 9 2 5" xfId="16337" xr:uid="{E0BC0774-79A5-4FBB-8A52-3677403AE894}"/>
    <cellStyle name="Comma 4 5 9 3" xfId="21420" xr:uid="{D04F33ED-03E7-4534-9F0B-05A602EB60E7}"/>
    <cellStyle name="Comma 4 5 9 4" xfId="29867" xr:uid="{FB29D5B1-B835-4833-91B9-8EDE2031399E}"/>
    <cellStyle name="Comma 4 5 9 5" xfId="38314" xr:uid="{45361208-D4C1-4005-932D-8B5761BF52B2}"/>
    <cellStyle name="Comma 4 5 9 6" xfId="12120" xr:uid="{1897FD38-F0B9-4090-96D4-A5F89BF64C07}"/>
    <cellStyle name="Comma 4 6" xfId="159" xr:uid="{00000000-0005-0000-0000-0000530A0000}"/>
    <cellStyle name="Comma 4 6 10" xfId="8965" xr:uid="{FDA33E7D-96B8-46F2-87D8-5CB6C30A4CC6}"/>
    <cellStyle name="Comma 4 6 10 2" xfId="18289" xr:uid="{EB1CB750-1771-4595-96A5-48772372C9B8}"/>
    <cellStyle name="Comma 4 6 11" xfId="19039" xr:uid="{1328291A-24AF-4CAF-84F7-7A1E8E4FC0E2}"/>
    <cellStyle name="Comma 4 6 12" xfId="27486" xr:uid="{28543B40-B7A0-4AE1-A1CA-2C6948F05C09}"/>
    <cellStyle name="Comma 4 6 13" xfId="35933" xr:uid="{C18EA85E-24CC-42B8-8614-D9B6FFFADB61}"/>
    <cellStyle name="Comma 4 6 14" xfId="9739" xr:uid="{5A4DCB03-4D16-4861-A73D-6C27E54E4C6E}"/>
    <cellStyle name="Comma 4 6 2" xfId="696" xr:uid="{00000000-0005-0000-0000-0000540A0000}"/>
    <cellStyle name="Comma 4 6 2 2" xfId="2967" xr:uid="{00000000-0005-0000-0000-0000550A0000}"/>
    <cellStyle name="Comma 4 6 2 2 2" xfId="7189" xr:uid="{00000000-0005-0000-0000-0000560A0000}"/>
    <cellStyle name="Comma 4 6 2 2 2 2" xfId="25815" xr:uid="{D5C16D4D-3E06-4C94-B490-D687FB5447C8}"/>
    <cellStyle name="Comma 4 6 2 2 2 3" xfId="34262" xr:uid="{D5848F5D-B51B-45E8-BE24-C288DABC82A4}"/>
    <cellStyle name="Comma 4 6 2 2 2 4" xfId="42709" xr:uid="{1F8A1336-1025-4FF5-8B7F-0A5DCBF43CB1}"/>
    <cellStyle name="Comma 4 6 2 2 2 5" xfId="16515" xr:uid="{81FCB8AE-185D-4D21-BCC4-35BAD17FF89D}"/>
    <cellStyle name="Comma 4 6 2 2 3" xfId="21598" xr:uid="{54B8167B-D59A-4A2F-86AB-7A675F5A1CFB}"/>
    <cellStyle name="Comma 4 6 2 2 4" xfId="30045" xr:uid="{FB6E402D-7BA5-42C8-A7AC-3F669E5450DA}"/>
    <cellStyle name="Comma 4 6 2 2 5" xfId="38492" xr:uid="{59717EB3-79EC-469E-A94D-65A29E698CEB}"/>
    <cellStyle name="Comma 4 6 2 2 6" xfId="12298" xr:uid="{129618B2-98B6-4AA7-A7C4-D84944DC560E}"/>
    <cellStyle name="Comma 4 6 2 3" xfId="5044" xr:uid="{00000000-0005-0000-0000-0000570A0000}"/>
    <cellStyle name="Comma 4 6 2 3 2" xfId="23670" xr:uid="{B63DCE87-EC76-43A1-86CA-3470BBC7D571}"/>
    <cellStyle name="Comma 4 6 2 3 3" xfId="32117" xr:uid="{AD8EDF22-2015-46C4-B25D-42BBEFF7777C}"/>
    <cellStyle name="Comma 4 6 2 3 4" xfId="40564" xr:uid="{0D558EC5-7870-4D4E-B800-4EBD2C473583}"/>
    <cellStyle name="Comma 4 6 2 3 5" xfId="14370" xr:uid="{BCF6026F-79A1-4EB7-8375-895F662D15E2}"/>
    <cellStyle name="Comma 4 6 2 4" xfId="9390" xr:uid="{F8012948-A58F-476A-B4CF-A63C8F36D5B6}"/>
    <cellStyle name="Comma 4 6 2 4 2" xfId="18706" xr:uid="{475BF115-D0A9-484F-9347-EEE0E1C99D89}"/>
    <cellStyle name="Comma 4 6 2 5" xfId="19453" xr:uid="{3FC05520-9398-4C09-AC60-1705D83AFE1C}"/>
    <cellStyle name="Comma 4 6 2 6" xfId="27900" xr:uid="{D6A25EF5-597A-4B27-A2A4-AB861F99A58C}"/>
    <cellStyle name="Comma 4 6 2 7" xfId="36347" xr:uid="{A68AFE3A-AA9E-4D2C-AF0F-275B7512FBE3}"/>
    <cellStyle name="Comma 4 6 2 8" xfId="10153" xr:uid="{CB7662D5-B14B-4731-A210-DFDBF390B040}"/>
    <cellStyle name="Comma 4 6 3" xfId="1149" xr:uid="{00000000-0005-0000-0000-0000580A0000}"/>
    <cellStyle name="Comma 4 6 3 2" xfId="3380" xr:uid="{00000000-0005-0000-0000-0000590A0000}"/>
    <cellStyle name="Comma 4 6 3 2 2" xfId="7602" xr:uid="{00000000-0005-0000-0000-00005A0A0000}"/>
    <cellStyle name="Comma 4 6 3 2 2 2" xfId="26228" xr:uid="{1F630304-A7E5-43C6-9079-AB0073E84C13}"/>
    <cellStyle name="Comma 4 6 3 2 2 3" xfId="34675" xr:uid="{47E23B16-5456-42B0-8117-2490F99EE8B1}"/>
    <cellStyle name="Comma 4 6 3 2 2 4" xfId="43122" xr:uid="{B121DB11-C89B-4958-AF93-30D99F95A242}"/>
    <cellStyle name="Comma 4 6 3 2 2 5" xfId="16928" xr:uid="{C37191A2-4342-4049-87AC-93C3759E3BE5}"/>
    <cellStyle name="Comma 4 6 3 2 3" xfId="22011" xr:uid="{A44D5ED7-D324-42E7-8DB0-DCDFF930FD87}"/>
    <cellStyle name="Comma 4 6 3 2 4" xfId="30458" xr:uid="{BD6ADD77-7353-4FA5-B356-DDD88C8D2014}"/>
    <cellStyle name="Comma 4 6 3 2 5" xfId="38905" xr:uid="{892FADC1-321F-48CC-807B-D978C7C3E072}"/>
    <cellStyle name="Comma 4 6 3 2 6" xfId="12711" xr:uid="{DADE60A9-2F3D-4E57-BA1B-C6A7B88BEE87}"/>
    <cellStyle name="Comma 4 6 3 3" xfId="5457" xr:uid="{00000000-0005-0000-0000-00005B0A0000}"/>
    <cellStyle name="Comma 4 6 3 3 2" xfId="24083" xr:uid="{19FF0F72-D29E-4007-9820-C5DA2A143F47}"/>
    <cellStyle name="Comma 4 6 3 3 3" xfId="32530" xr:uid="{2F943F52-EFCA-4B99-A658-9B511DBEE678}"/>
    <cellStyle name="Comma 4 6 3 3 4" xfId="40977" xr:uid="{0DFEA568-4C8C-4963-8FAD-9337CBABF0D9}"/>
    <cellStyle name="Comma 4 6 3 3 5" xfId="14783" xr:uid="{A88B854D-DDBA-4A6B-B700-C7150CDA158F}"/>
    <cellStyle name="Comma 4 6 3 4" xfId="19866" xr:uid="{F30D41AD-AC6E-4952-8E0C-DFB181022E62}"/>
    <cellStyle name="Comma 4 6 3 5" xfId="28313" xr:uid="{DF63A120-2D87-4A8D-A7BF-59E63B957BF2}"/>
    <cellStyle name="Comma 4 6 3 6" xfId="36760" xr:uid="{6D093E48-A8E5-4D44-BAD2-76B84DEA52A0}"/>
    <cellStyle name="Comma 4 6 3 7" xfId="10566" xr:uid="{76B7A85D-0F26-48BC-8B72-6636E460E720}"/>
    <cellStyle name="Comma 4 6 4" xfId="1563" xr:uid="{00000000-0005-0000-0000-00005C0A0000}"/>
    <cellStyle name="Comma 4 6 4 2" xfId="3793" xr:uid="{00000000-0005-0000-0000-00005D0A0000}"/>
    <cellStyle name="Comma 4 6 4 2 2" xfId="8015" xr:uid="{00000000-0005-0000-0000-00005E0A0000}"/>
    <cellStyle name="Comma 4 6 4 2 2 2" xfId="26641" xr:uid="{546F76D0-BBF8-42F7-915F-AE9C4B7BF2B6}"/>
    <cellStyle name="Comma 4 6 4 2 2 3" xfId="35088" xr:uid="{D2873FE4-88F3-49B6-A143-E56362AA2DD2}"/>
    <cellStyle name="Comma 4 6 4 2 2 4" xfId="43535" xr:uid="{5CA6F938-90B8-4F9B-9E71-93170533C616}"/>
    <cellStyle name="Comma 4 6 4 2 2 5" xfId="17341" xr:uid="{EA1EC539-BBC6-4D6F-A665-36E7987AE000}"/>
    <cellStyle name="Comma 4 6 4 2 3" xfId="22424" xr:uid="{4537E89E-C145-4F01-BA78-E3421E049D4F}"/>
    <cellStyle name="Comma 4 6 4 2 4" xfId="30871" xr:uid="{9F899AD4-B69D-4A72-8411-A6AA3F6FD541}"/>
    <cellStyle name="Comma 4 6 4 2 5" xfId="39318" xr:uid="{0FFBCFA1-B2E7-4551-9BF4-F748EFC0A4A9}"/>
    <cellStyle name="Comma 4 6 4 2 6" xfId="13124" xr:uid="{49CA3CFB-854C-4A7A-AEEA-CD4451B844C9}"/>
    <cellStyle name="Comma 4 6 4 3" xfId="5870" xr:uid="{00000000-0005-0000-0000-00005F0A0000}"/>
    <cellStyle name="Comma 4 6 4 3 2" xfId="24496" xr:uid="{F1BEE07C-38A0-4C9F-B329-65BA6CC70EC4}"/>
    <cellStyle name="Comma 4 6 4 3 3" xfId="32943" xr:uid="{16C57808-7897-4B5A-A767-2B1594742F95}"/>
    <cellStyle name="Comma 4 6 4 3 4" xfId="41390" xr:uid="{3140D8EE-6864-4FF6-9C09-36C5E3D44171}"/>
    <cellStyle name="Comma 4 6 4 3 5" xfId="15196" xr:uid="{CAEBE6DE-E44A-4198-A5CC-A84040B3C78C}"/>
    <cellStyle name="Comma 4 6 4 4" xfId="20279" xr:uid="{FA6CD5FA-98AF-4E0E-A718-A573024B43E6}"/>
    <cellStyle name="Comma 4 6 4 5" xfId="28726" xr:uid="{681A1E1B-DC2B-4B4A-8864-05F0D65EC030}"/>
    <cellStyle name="Comma 4 6 4 6" xfId="37173" xr:uid="{D3F296D0-C44D-4439-9E58-C2AE212777FD}"/>
    <cellStyle name="Comma 4 6 4 7" xfId="10979" xr:uid="{FF479156-1E9B-4053-BBC6-F012EC316BC2}"/>
    <cellStyle name="Comma 4 6 5" xfId="1977" xr:uid="{00000000-0005-0000-0000-0000600A0000}"/>
    <cellStyle name="Comma 4 6 5 2" xfId="4206" xr:uid="{00000000-0005-0000-0000-0000610A0000}"/>
    <cellStyle name="Comma 4 6 5 2 2" xfId="8428" xr:uid="{00000000-0005-0000-0000-0000620A0000}"/>
    <cellStyle name="Comma 4 6 5 2 2 2" xfId="27054" xr:uid="{1E6A3318-8C9E-44BA-9DE3-B2E9CCBF9AE1}"/>
    <cellStyle name="Comma 4 6 5 2 2 3" xfId="35501" xr:uid="{1D87F753-041F-4045-A6B6-E9FFFD562780}"/>
    <cellStyle name="Comma 4 6 5 2 2 4" xfId="43948" xr:uid="{8CBA0FF2-57E6-4BAC-9758-3B665801ABA4}"/>
    <cellStyle name="Comma 4 6 5 2 2 5" xfId="17754" xr:uid="{1C3A5AAF-FFC5-4005-A17C-C213BAD0E4C1}"/>
    <cellStyle name="Comma 4 6 5 2 3" xfId="22837" xr:uid="{A4F1FA6B-0BA3-402B-9750-6E9E69813B20}"/>
    <cellStyle name="Comma 4 6 5 2 4" xfId="31284" xr:uid="{9AA952A4-86CD-4C45-B368-D64B2E77EF0F}"/>
    <cellStyle name="Comma 4 6 5 2 5" xfId="39731" xr:uid="{D49E13A2-63A7-4FB7-B5D7-6F3A6586CCA2}"/>
    <cellStyle name="Comma 4 6 5 2 6" xfId="13537" xr:uid="{3B0FA9CE-9A66-44EE-A8DE-A3156487C4BC}"/>
    <cellStyle name="Comma 4 6 5 3" xfId="6283" xr:uid="{00000000-0005-0000-0000-0000630A0000}"/>
    <cellStyle name="Comma 4 6 5 3 2" xfId="24909" xr:uid="{8CBE6399-43E3-4895-83AE-5E8A017C5707}"/>
    <cellStyle name="Comma 4 6 5 3 3" xfId="33356" xr:uid="{6B1DA6BA-BBC5-45B5-9B5C-737716C88B0B}"/>
    <cellStyle name="Comma 4 6 5 3 4" xfId="41803" xr:uid="{5585F669-4D60-4DA4-8CFA-893DB11209F0}"/>
    <cellStyle name="Comma 4 6 5 3 5" xfId="15609" xr:uid="{0C1DCBEE-FAF0-4797-888E-8AA43F7FF4E9}"/>
    <cellStyle name="Comma 4 6 5 4" xfId="20692" xr:uid="{47F5F02D-6CAA-4BDC-9EF2-72DEBE5B6A9A}"/>
    <cellStyle name="Comma 4 6 5 5" xfId="29139" xr:uid="{74CE73A1-12BE-4046-A972-73D272612ED7}"/>
    <cellStyle name="Comma 4 6 5 6" xfId="37586" xr:uid="{D50D0D3F-042B-43F9-AFA9-A9E521F43E8D}"/>
    <cellStyle name="Comma 4 6 5 7" xfId="11392" xr:uid="{D89821C6-FA50-42DB-9ACD-958E034F1F76}"/>
    <cellStyle name="Comma 4 6 6" xfId="2412" xr:uid="{00000000-0005-0000-0000-0000640A0000}"/>
    <cellStyle name="Comma 4 6 6 2" xfId="6696" xr:uid="{00000000-0005-0000-0000-0000650A0000}"/>
    <cellStyle name="Comma 4 6 6 2 2" xfId="25322" xr:uid="{B1579D6E-A00B-4006-9819-1FDDE2F1E834}"/>
    <cellStyle name="Comma 4 6 6 2 3" xfId="33769" xr:uid="{25E77498-429B-4256-B1E0-2905590353F6}"/>
    <cellStyle name="Comma 4 6 6 2 4" xfId="42216" xr:uid="{D195B750-DC13-4BDA-9B71-4F15824E7D2C}"/>
    <cellStyle name="Comma 4 6 6 2 5" xfId="16022" xr:uid="{24DAAAE6-D685-4443-A27D-48734FE1DE59}"/>
    <cellStyle name="Comma 4 6 6 3" xfId="21105" xr:uid="{62CC3824-46D6-4F09-AC4C-250086B7288F}"/>
    <cellStyle name="Comma 4 6 6 4" xfId="29552" xr:uid="{6534D270-72BC-41CC-92AF-7FE1943B2833}"/>
    <cellStyle name="Comma 4 6 6 5" xfId="37999" xr:uid="{BF68C2BC-DBEF-4636-8F81-3E79DC3E9729}"/>
    <cellStyle name="Comma 4 6 6 6" xfId="11805" xr:uid="{1253C376-8899-4D85-97A0-EC4B6F54391A}"/>
    <cellStyle name="Comma 4 6 7" xfId="2708" xr:uid="{00000000-0005-0000-0000-0000660A0000}"/>
    <cellStyle name="Comma 4 6 8" xfId="2790" xr:uid="{00000000-0005-0000-0000-0000670A0000}"/>
    <cellStyle name="Comma 4 6 8 2" xfId="7013" xr:uid="{00000000-0005-0000-0000-0000680A0000}"/>
    <cellStyle name="Comma 4 6 8 2 2" xfId="25639" xr:uid="{54653458-CF9C-45B4-9F0F-304233C2C354}"/>
    <cellStyle name="Comma 4 6 8 2 3" xfId="34086" xr:uid="{3C4DE26D-6832-48C8-88B2-E5DF28F72C2D}"/>
    <cellStyle name="Comma 4 6 8 2 4" xfId="42533" xr:uid="{48F2CFBB-016D-4516-9256-2087778ACDCE}"/>
    <cellStyle name="Comma 4 6 8 2 5" xfId="16339" xr:uid="{27FF0006-3F20-40C3-91C2-FF272EE04FF4}"/>
    <cellStyle name="Comma 4 6 8 3" xfId="21422" xr:uid="{0603FFA9-E436-49D0-9748-7991F9E631A0}"/>
    <cellStyle name="Comma 4 6 8 4" xfId="29869" xr:uid="{2E78F324-151D-42E6-993B-8C348AF64419}"/>
    <cellStyle name="Comma 4 6 8 5" xfId="38316" xr:uid="{6D89E462-5039-4C24-80C5-61A56F3702CC}"/>
    <cellStyle name="Comma 4 6 8 6" xfId="12122" xr:uid="{7CF52600-49C8-454F-986E-0BB3CAA34AA9}"/>
    <cellStyle name="Comma 4 6 9" xfId="4630" xr:uid="{00000000-0005-0000-0000-0000690A0000}"/>
    <cellStyle name="Comma 4 6 9 2" xfId="23256" xr:uid="{F27E10CA-B6E4-475C-B2AA-1D90DC2DA1A6}"/>
    <cellStyle name="Comma 4 6 9 3" xfId="31703" xr:uid="{5394FFDC-74EB-4A4C-ABCB-558E825B229C}"/>
    <cellStyle name="Comma 4 6 9 4" xfId="40150" xr:uid="{CBB4D435-517D-44AB-9031-0D32D912133D}"/>
    <cellStyle name="Comma 4 6 9 5" xfId="13956" xr:uid="{4116F3B3-BBA6-4AC1-A25D-B2B1FD6F87E8}"/>
    <cellStyle name="Comma 4 7" xfId="160" xr:uid="{00000000-0005-0000-0000-00006A0A0000}"/>
    <cellStyle name="Comma 4 7 10" xfId="9168" xr:uid="{C5EF0C72-87BD-43A9-8A23-92F9D9423F50}"/>
    <cellStyle name="Comma 4 7 10 2" xfId="18487" xr:uid="{98B6B66C-5766-459E-9F61-F0EEB74FD997}"/>
    <cellStyle name="Comma 4 7 11" xfId="19040" xr:uid="{C7FC562C-2578-4C48-929F-31E53131826C}"/>
    <cellStyle name="Comma 4 7 12" xfId="27487" xr:uid="{8111B96D-6E55-47A4-8C8C-9EA49774A108}"/>
    <cellStyle name="Comma 4 7 13" xfId="35934" xr:uid="{3DE0F6D3-87A3-47B8-81AB-6556F51B0E16}"/>
    <cellStyle name="Comma 4 7 14" xfId="9740" xr:uid="{CB361A9D-8D2A-4F76-BCD7-936F2D82ED6D}"/>
    <cellStyle name="Comma 4 7 2" xfId="697" xr:uid="{00000000-0005-0000-0000-00006B0A0000}"/>
    <cellStyle name="Comma 4 7 2 2" xfId="2968" xr:uid="{00000000-0005-0000-0000-00006C0A0000}"/>
    <cellStyle name="Comma 4 7 2 2 2" xfId="7190" xr:uid="{00000000-0005-0000-0000-00006D0A0000}"/>
    <cellStyle name="Comma 4 7 2 2 2 2" xfId="25816" xr:uid="{7A0FCB6B-06CA-4B4E-8474-C2288E13D9E7}"/>
    <cellStyle name="Comma 4 7 2 2 2 3" xfId="34263" xr:uid="{B8FD2095-1463-4380-9936-A2FCD8371AD7}"/>
    <cellStyle name="Comma 4 7 2 2 2 4" xfId="42710" xr:uid="{158F7AF7-B80F-4526-9071-BE658353B836}"/>
    <cellStyle name="Comma 4 7 2 2 2 5" xfId="16516" xr:uid="{C0F3E737-C2D4-402D-883B-CD1F4C158DA0}"/>
    <cellStyle name="Comma 4 7 2 2 3" xfId="21599" xr:uid="{4DD42586-8D29-4800-BA64-35B6B16E88F7}"/>
    <cellStyle name="Comma 4 7 2 2 4" xfId="30046" xr:uid="{6474E55B-C6F2-4992-B7A8-83D9CB6461BD}"/>
    <cellStyle name="Comma 4 7 2 2 5" xfId="38493" xr:uid="{81307720-047C-4803-BEF3-AA70ECEF196A}"/>
    <cellStyle name="Comma 4 7 2 2 6" xfId="12299" xr:uid="{2046C840-1131-4C15-8E7F-05A07FB459DB}"/>
    <cellStyle name="Comma 4 7 2 3" xfId="5045" xr:uid="{00000000-0005-0000-0000-00006E0A0000}"/>
    <cellStyle name="Comma 4 7 2 3 2" xfId="23671" xr:uid="{058253C4-47F4-4B19-B41C-4099D33555B1}"/>
    <cellStyle name="Comma 4 7 2 3 3" xfId="32118" xr:uid="{F91C2A0A-7F12-4DF8-B988-EE6C9076B2E1}"/>
    <cellStyle name="Comma 4 7 2 3 4" xfId="40565" xr:uid="{FDF2FCB9-D85C-40CB-997C-192A8E62C059}"/>
    <cellStyle name="Comma 4 7 2 3 5" xfId="14371" xr:uid="{415B6A81-E30D-421B-A9CB-FBB67AFC5FF1}"/>
    <cellStyle name="Comma 4 7 2 4" xfId="9596" xr:uid="{F4A1C070-02C1-4F2A-89F2-15465D9BEBB2}"/>
    <cellStyle name="Comma 4 7 2 4 2" xfId="18901" xr:uid="{A19D8C1B-48AD-41CB-97B7-E53C78B37261}"/>
    <cellStyle name="Comma 4 7 2 5" xfId="19454" xr:uid="{E1046EDE-F41B-4746-9C63-97FCD4E95938}"/>
    <cellStyle name="Comma 4 7 2 6" xfId="27901" xr:uid="{321AB29A-EFC9-4002-8E97-2C35C8DF33D2}"/>
    <cellStyle name="Comma 4 7 2 7" xfId="36348" xr:uid="{C17803DE-84D8-4328-8FFC-B4B9797BE30D}"/>
    <cellStyle name="Comma 4 7 2 8" xfId="10154" xr:uid="{7F0B6D72-9F84-4D8E-BA87-EEB8D01F201C}"/>
    <cellStyle name="Comma 4 7 3" xfId="1150" xr:uid="{00000000-0005-0000-0000-00006F0A0000}"/>
    <cellStyle name="Comma 4 7 3 2" xfId="3381" xr:uid="{00000000-0005-0000-0000-0000700A0000}"/>
    <cellStyle name="Comma 4 7 3 2 2" xfId="7603" xr:uid="{00000000-0005-0000-0000-0000710A0000}"/>
    <cellStyle name="Comma 4 7 3 2 2 2" xfId="26229" xr:uid="{60B7904D-A992-4FB6-9691-C9C0618D2771}"/>
    <cellStyle name="Comma 4 7 3 2 2 3" xfId="34676" xr:uid="{E60E894A-EF9B-4B30-A1C2-F0B28C655384}"/>
    <cellStyle name="Comma 4 7 3 2 2 4" xfId="43123" xr:uid="{60B9C4E1-F579-42D2-9C8A-93B126A1AD16}"/>
    <cellStyle name="Comma 4 7 3 2 2 5" xfId="16929" xr:uid="{D971D0AB-4B9C-418A-9813-B41665834D63}"/>
    <cellStyle name="Comma 4 7 3 2 3" xfId="22012" xr:uid="{D9697CB5-9D7E-47A8-80CF-C094F13BCA88}"/>
    <cellStyle name="Comma 4 7 3 2 4" xfId="30459" xr:uid="{37A04311-2FA3-49C2-9033-D4072A1C7B9E}"/>
    <cellStyle name="Comma 4 7 3 2 5" xfId="38906" xr:uid="{F0FF5E0F-9B35-4D0C-B309-3D0FE1304791}"/>
    <cellStyle name="Comma 4 7 3 2 6" xfId="12712" xr:uid="{01453FD2-641C-4F2E-9224-7CDAF272EA3B}"/>
    <cellStyle name="Comma 4 7 3 3" xfId="5458" xr:uid="{00000000-0005-0000-0000-0000720A0000}"/>
    <cellStyle name="Comma 4 7 3 3 2" xfId="24084" xr:uid="{2F7B346B-D778-4299-A9E1-DE84C17CA897}"/>
    <cellStyle name="Comma 4 7 3 3 3" xfId="32531" xr:uid="{FB67F701-A088-4041-8031-8AABE9BCC72C}"/>
    <cellStyle name="Comma 4 7 3 3 4" xfId="40978" xr:uid="{55412B4F-9D95-48DB-B98A-45D858D23D0F}"/>
    <cellStyle name="Comma 4 7 3 3 5" xfId="14784" xr:uid="{909FC8B5-71D6-4C87-9E5F-65D55A5C3CE7}"/>
    <cellStyle name="Comma 4 7 3 4" xfId="19867" xr:uid="{850D9D20-62E0-4935-B1B1-976DC80A711A}"/>
    <cellStyle name="Comma 4 7 3 5" xfId="28314" xr:uid="{00D8E008-109C-45C5-BBF7-239CCD814748}"/>
    <cellStyle name="Comma 4 7 3 6" xfId="36761" xr:uid="{26C93476-06EF-402A-A7E0-8095E623C5AF}"/>
    <cellStyle name="Comma 4 7 3 7" xfId="10567" xr:uid="{49E529BF-5445-4C19-9B5B-B2381D5B08A0}"/>
    <cellStyle name="Comma 4 7 4" xfId="1564" xr:uid="{00000000-0005-0000-0000-0000730A0000}"/>
    <cellStyle name="Comma 4 7 4 2" xfId="3794" xr:uid="{00000000-0005-0000-0000-0000740A0000}"/>
    <cellStyle name="Comma 4 7 4 2 2" xfId="8016" xr:uid="{00000000-0005-0000-0000-0000750A0000}"/>
    <cellStyle name="Comma 4 7 4 2 2 2" xfId="26642" xr:uid="{578A41A6-8A55-41F4-AC79-4CDB5BF99946}"/>
    <cellStyle name="Comma 4 7 4 2 2 3" xfId="35089" xr:uid="{A8137BCA-9464-4539-A750-D6D3A9441074}"/>
    <cellStyle name="Comma 4 7 4 2 2 4" xfId="43536" xr:uid="{06866443-D71B-483D-A60F-DE961336AE41}"/>
    <cellStyle name="Comma 4 7 4 2 2 5" xfId="17342" xr:uid="{6B84FC41-EBDA-47D7-821F-F763420D828C}"/>
    <cellStyle name="Comma 4 7 4 2 3" xfId="22425" xr:uid="{F51B634F-2C59-460E-9053-6886EAEF756A}"/>
    <cellStyle name="Comma 4 7 4 2 4" xfId="30872" xr:uid="{B9FBB584-6EFA-4316-A772-B62CD06D3E70}"/>
    <cellStyle name="Comma 4 7 4 2 5" xfId="39319" xr:uid="{E38FCBFA-8AAB-4600-9EFF-C1D7649C6C90}"/>
    <cellStyle name="Comma 4 7 4 2 6" xfId="13125" xr:uid="{5AB796D9-F540-4836-97BF-C9F054192777}"/>
    <cellStyle name="Comma 4 7 4 3" xfId="5871" xr:uid="{00000000-0005-0000-0000-0000760A0000}"/>
    <cellStyle name="Comma 4 7 4 3 2" xfId="24497" xr:uid="{D6E8C803-ABFC-442D-93CD-C31F39944026}"/>
    <cellStyle name="Comma 4 7 4 3 3" xfId="32944" xr:uid="{51EF3F7B-CEBB-4129-A690-1C9483110340}"/>
    <cellStyle name="Comma 4 7 4 3 4" xfId="41391" xr:uid="{EEE19CAF-8587-4686-AD71-A86CAFBDE28F}"/>
    <cellStyle name="Comma 4 7 4 3 5" xfId="15197" xr:uid="{38C208B1-3978-45A2-9EA9-0D3C9D8E21EF}"/>
    <cellStyle name="Comma 4 7 4 4" xfId="20280" xr:uid="{A9C2D541-270D-4064-9ED9-A8142F546F94}"/>
    <cellStyle name="Comma 4 7 4 5" xfId="28727" xr:uid="{67F2A7FC-4C92-44EA-ABDF-710CD161D8F3}"/>
    <cellStyle name="Comma 4 7 4 6" xfId="37174" xr:uid="{C75BDFC2-45BE-4DC8-A643-4189286A37D0}"/>
    <cellStyle name="Comma 4 7 4 7" xfId="10980" xr:uid="{E9CC6E8F-2EF1-46AA-B027-F6A20DA22B0B}"/>
    <cellStyle name="Comma 4 7 5" xfId="1978" xr:uid="{00000000-0005-0000-0000-0000770A0000}"/>
    <cellStyle name="Comma 4 7 5 2" xfId="4207" xr:uid="{00000000-0005-0000-0000-0000780A0000}"/>
    <cellStyle name="Comma 4 7 5 2 2" xfId="8429" xr:uid="{00000000-0005-0000-0000-0000790A0000}"/>
    <cellStyle name="Comma 4 7 5 2 2 2" xfId="27055" xr:uid="{D9FAF207-B60C-4760-8812-3F5F41A6C1A6}"/>
    <cellStyle name="Comma 4 7 5 2 2 3" xfId="35502" xr:uid="{03EA3803-B7D9-4865-8898-2A6DF2B278D9}"/>
    <cellStyle name="Comma 4 7 5 2 2 4" xfId="43949" xr:uid="{FD71FDAF-8839-4DA5-90DF-59026CC92102}"/>
    <cellStyle name="Comma 4 7 5 2 2 5" xfId="17755" xr:uid="{4CE4CF13-BF4F-4DE2-84FD-07DBDF1A877D}"/>
    <cellStyle name="Comma 4 7 5 2 3" xfId="22838" xr:uid="{A1735583-1E36-4393-8EB2-2DDCBA0C399D}"/>
    <cellStyle name="Comma 4 7 5 2 4" xfId="31285" xr:uid="{9B412E1F-0DFD-4F7A-8A49-F321FEA331BD}"/>
    <cellStyle name="Comma 4 7 5 2 5" xfId="39732" xr:uid="{1DD08180-D045-4AD1-A802-3242FC80BEC0}"/>
    <cellStyle name="Comma 4 7 5 2 6" xfId="13538" xr:uid="{DCAACE84-F362-42E2-9D1F-37EF123CDBB5}"/>
    <cellStyle name="Comma 4 7 5 3" xfId="6284" xr:uid="{00000000-0005-0000-0000-00007A0A0000}"/>
    <cellStyle name="Comma 4 7 5 3 2" xfId="24910" xr:uid="{E5D5A68C-5E9A-4056-8FCF-050CEC4AE62D}"/>
    <cellStyle name="Comma 4 7 5 3 3" xfId="33357" xr:uid="{860C43CA-C322-4B22-87D6-AC730EA811A0}"/>
    <cellStyle name="Comma 4 7 5 3 4" xfId="41804" xr:uid="{0AE5F87D-DCEB-4CC3-91ED-86769451E3DE}"/>
    <cellStyle name="Comma 4 7 5 3 5" xfId="15610" xr:uid="{22553672-A782-4864-8205-2915E4790EF2}"/>
    <cellStyle name="Comma 4 7 5 4" xfId="20693" xr:uid="{BB20C61E-A477-4329-936D-987213E9555C}"/>
    <cellStyle name="Comma 4 7 5 5" xfId="29140" xr:uid="{769F8AB3-078A-4339-899F-0FE57402DFCD}"/>
    <cellStyle name="Comma 4 7 5 6" xfId="37587" xr:uid="{4A6E7E20-B6B4-4A4B-9AED-2E1DC3503334}"/>
    <cellStyle name="Comma 4 7 5 7" xfId="11393" xr:uid="{CE5117CD-3AC5-4FBD-AEE5-6A3DD1C9AA00}"/>
    <cellStyle name="Comma 4 7 6" xfId="2413" xr:uid="{00000000-0005-0000-0000-00007B0A0000}"/>
    <cellStyle name="Comma 4 7 6 2" xfId="6697" xr:uid="{00000000-0005-0000-0000-00007C0A0000}"/>
    <cellStyle name="Comma 4 7 6 2 2" xfId="25323" xr:uid="{1DB4C3A0-2A8C-4300-ADB9-77BD03606133}"/>
    <cellStyle name="Comma 4 7 6 2 3" xfId="33770" xr:uid="{FC63D992-9F24-4D9E-AD67-C2C255BCC364}"/>
    <cellStyle name="Comma 4 7 6 2 4" xfId="42217" xr:uid="{5FA93ACF-693A-4B8A-94FD-63830B8FF0A5}"/>
    <cellStyle name="Comma 4 7 6 2 5" xfId="16023" xr:uid="{3A95096D-9E5A-4E22-BA6F-4AF83F0CEA8E}"/>
    <cellStyle name="Comma 4 7 6 3" xfId="21106" xr:uid="{86EC7FA2-8E7B-4299-A32F-7C01CA1875DF}"/>
    <cellStyle name="Comma 4 7 6 4" xfId="29553" xr:uid="{E3778F2D-5160-4AED-9F48-3428212D2662}"/>
    <cellStyle name="Comma 4 7 6 5" xfId="38000" xr:uid="{5CDC2026-813F-4CBC-A8D6-98FECDAA8BC6}"/>
    <cellStyle name="Comma 4 7 6 6" xfId="11806" xr:uid="{CC5067F1-CECA-4AD2-B7CD-0FB585982FB7}"/>
    <cellStyle name="Comma 4 7 7" xfId="2709" xr:uid="{00000000-0005-0000-0000-00007D0A0000}"/>
    <cellStyle name="Comma 4 7 8" xfId="2791" xr:uid="{00000000-0005-0000-0000-00007E0A0000}"/>
    <cellStyle name="Comma 4 7 8 2" xfId="7014" xr:uid="{00000000-0005-0000-0000-00007F0A0000}"/>
    <cellStyle name="Comma 4 7 8 2 2" xfId="25640" xr:uid="{59EFFC52-A465-47C0-A1A0-34E51B611FF5}"/>
    <cellStyle name="Comma 4 7 8 2 3" xfId="34087" xr:uid="{5E362374-166E-4779-89DF-B72623C2AFD6}"/>
    <cellStyle name="Comma 4 7 8 2 4" xfId="42534" xr:uid="{EE9733FB-F86A-4C4B-B45F-3973919A2C6B}"/>
    <cellStyle name="Comma 4 7 8 2 5" xfId="16340" xr:uid="{BBE3EA03-C52A-473E-BE86-14C4C49915D9}"/>
    <cellStyle name="Comma 4 7 8 3" xfId="21423" xr:uid="{B3B4BE02-CA87-4FC1-AE0A-046D8B32BAC1}"/>
    <cellStyle name="Comma 4 7 8 4" xfId="29870" xr:uid="{8B59E920-5C29-4447-A42B-FFE9E4DD07E7}"/>
    <cellStyle name="Comma 4 7 8 5" xfId="38317" xr:uid="{1C190640-C8D3-4622-A07D-0A425A0F65E2}"/>
    <cellStyle name="Comma 4 7 8 6" xfId="12123" xr:uid="{BCD05843-29B3-489F-8185-6BE704FCB79F}"/>
    <cellStyle name="Comma 4 7 9" xfId="4631" xr:uid="{00000000-0005-0000-0000-0000800A0000}"/>
    <cellStyle name="Comma 4 7 9 2" xfId="23257" xr:uid="{BF147FCB-084B-4E02-940A-4031B4366343}"/>
    <cellStyle name="Comma 4 7 9 3" xfId="31704" xr:uid="{9C98607C-E37E-4F2D-B92E-46DDA746FA75}"/>
    <cellStyle name="Comma 4 7 9 4" xfId="40151" xr:uid="{07AFDB38-647E-47E2-93A8-560F3F56F981}"/>
    <cellStyle name="Comma 4 7 9 5" xfId="13957" xr:uid="{53BFE3DC-BE43-4E0C-9BA6-F60EE1581766}"/>
    <cellStyle name="Comma 4 8" xfId="9193" xr:uid="{D2F7B7D5-1187-4B94-96D8-1D61B28E4E34}"/>
    <cellStyle name="Comma 4 9" xfId="8746" xr:uid="{EB6F8E1D-15EE-4A1C-A7FF-36C2A43F5A26}"/>
    <cellStyle name="Comma 4 9 2" xfId="18070" xr:uid="{5350F66B-6046-4610-AFF1-33702FA721DC}"/>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2 2" xfId="18896" xr:uid="{43F49454-FAF1-4392-8FD4-9CAC35AEF1C9}"/>
    <cellStyle name="Comma 7 3" xfId="9589" xr:uid="{E5FB568C-33F4-49EE-BE6E-4022B43BCBB9}"/>
    <cellStyle name="Comma 7 4" xfId="23125" xr:uid="{E99DF785-0B5A-453E-AE54-2A3E49B7A499}"/>
    <cellStyle name="Comma 7 5" xfId="31572" xr:uid="{56F5A05E-8CD2-431D-AB9F-D4CBD40BC6B2}"/>
    <cellStyle name="Comma 7 6" xfId="40019" xr:uid="{55A94F34-C1EC-4060-999F-D06073C5A354}"/>
    <cellStyle name="Comma 7 7" xfId="13825" xr:uid="{D9AABB2C-7BF5-48AE-97F6-661B82D7007D}"/>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2 2" xfId="27342" xr:uid="{34787D41-3EC2-4531-9761-1761E4C611AB}"/>
    <cellStyle name="Currency 14 2 3" xfId="35789" xr:uid="{60DD6104-EE83-424C-A97D-34FF71E3462F}"/>
    <cellStyle name="Currency 14 2 4" xfId="44236" xr:uid="{3DE57605-5810-4FA6-A9F7-73FAE880F845}"/>
    <cellStyle name="Currency 14 2 5" xfId="18042" xr:uid="{A0ACE0DF-21DB-4B48-90B0-FF6CC6F83C48}"/>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14 3 2 2 2 2 2 2" xfId="18061" xr:uid="{0C7EC188-CA0D-45F0-A6DA-2FF7679655C1}"/>
    <cellStyle name="Currency 14 3 2 2 2 2 3" xfId="27358" xr:uid="{0FEC29DE-18BE-4733-A777-EB229CBD9ED3}"/>
    <cellStyle name="Currency 14 3 2 2 2 2 4" xfId="35805" xr:uid="{E477E2D8-6A62-4A4B-B5AE-7927EB58DCC2}"/>
    <cellStyle name="Currency 14 3 2 2 2 2 5" xfId="44252" xr:uid="{C6C2B4FC-50C5-4851-80F6-E8A3070C07A7}"/>
    <cellStyle name="Currency 14 3 2 2 2 2 6" xfId="18058" xr:uid="{314B9D32-113F-4B3A-9CE4-0B100F26B041}"/>
    <cellStyle name="Currency 14 3 2 2 2 3" xfId="27355" xr:uid="{A2DABF9F-61E2-461B-ACCE-D05034B5D946}"/>
    <cellStyle name="Currency 14 3 2 2 2 4" xfId="35802" xr:uid="{17FBDE5A-21D8-4609-8684-56560BAC6B1E}"/>
    <cellStyle name="Currency 14 3 2 2 2 5" xfId="44249" xr:uid="{23236213-AEC4-4B57-B88F-060B0E5AB6D4}"/>
    <cellStyle name="Currency 14 3 2 2 2 6" xfId="18055" xr:uid="{3461E029-01AA-4F2D-82D1-E10BB83E84B1}"/>
    <cellStyle name="Currency 14 3 2 2 3" xfId="27351" xr:uid="{3956E6AB-05B5-48E1-80C4-60E9199405C6}"/>
    <cellStyle name="Currency 14 3 2 2 4" xfId="35798" xr:uid="{C5375D3D-7089-4443-A713-114F6BDC27E8}"/>
    <cellStyle name="Currency 14 3 2 2 5" xfId="44245" xr:uid="{FED46829-6F40-432F-9AB6-0FC4DA6B8E7B}"/>
    <cellStyle name="Currency 14 3 2 2 6" xfId="18051" xr:uid="{BB9C65D4-B97D-4455-9E9D-A2E7E456E605}"/>
    <cellStyle name="Currency 14 3 2 3" xfId="27348" xr:uid="{7719CA9D-FC8A-4B58-B305-FD1D043E94BC}"/>
    <cellStyle name="Currency 14 3 2 4" xfId="35795" xr:uid="{896674F1-A0AB-4E3F-9C5E-1955FB01346A}"/>
    <cellStyle name="Currency 14 3 2 5" xfId="44242" xr:uid="{8742B256-883A-4E3C-8FDA-79B7F8B5EA1D}"/>
    <cellStyle name="Currency 14 3 2 6" xfId="18048" xr:uid="{0135BA90-AAB0-4908-B7A7-B04801A2BE9D}"/>
    <cellStyle name="Currency 14 3 3" xfId="27345" xr:uid="{DA1E8783-0E45-4122-8503-D53AD9CDF803}"/>
    <cellStyle name="Currency 14 3 4" xfId="35792" xr:uid="{4D567E1C-FD3F-44CC-9D1E-DCBCD2E1556C}"/>
    <cellStyle name="Currency 14 3 5" xfId="44239" xr:uid="{5351DF9E-AFD7-4777-A323-6FA91DFA7E37}"/>
    <cellStyle name="Currency 14 3 6" xfId="18045" xr:uid="{15D70FB3-F24E-4AEF-8ADB-B20F1E90A0B1}"/>
    <cellStyle name="Currency 14 4" xfId="23128" xr:uid="{699B59F3-3F4D-48EE-B8BE-0BD0CDB373C4}"/>
    <cellStyle name="Currency 14 5" xfId="31575" xr:uid="{5D148615-A153-43D2-9964-8948B891FAB8}"/>
    <cellStyle name="Currency 14 6" xfId="40022" xr:uid="{918EC399-63F3-4084-9177-0F28A7E6C1BC}"/>
    <cellStyle name="Currency 14 7" xfId="13828" xr:uid="{D22DBCCF-7A3D-442D-8BBC-B3C101508837}"/>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0 2 2" xfId="25641" xr:uid="{AD364526-0734-4720-AB10-78B1912578D4}"/>
    <cellStyle name="Currency 3 2 2 10 2 3" xfId="34088" xr:uid="{E049009B-B721-4EFE-92E5-97BC78D7B68A}"/>
    <cellStyle name="Currency 3 2 2 10 2 4" xfId="42535" xr:uid="{FA60FCFC-02C2-4939-B513-5FB893D9D3CB}"/>
    <cellStyle name="Currency 3 2 2 10 2 5" xfId="16341" xr:uid="{9B9F3F2E-AFDE-43DA-9688-4E1382D48B75}"/>
    <cellStyle name="Currency 3 2 2 10 3" xfId="21424" xr:uid="{898B00AD-4C60-4F20-82AA-7806989E7784}"/>
    <cellStyle name="Currency 3 2 2 10 4" xfId="29871" xr:uid="{309C3688-EDF1-4486-BC22-D310829A4FD0}"/>
    <cellStyle name="Currency 3 2 2 10 5" xfId="38318" xr:uid="{FACA7C7F-DBB5-47B4-9449-EFC4558CE681}"/>
    <cellStyle name="Currency 3 2 2 10 6" xfId="12124" xr:uid="{F3C7D064-0479-44C5-8BCD-BF0DE7B6B902}"/>
    <cellStyle name="Currency 3 2 2 11" xfId="4632" xr:uid="{00000000-0005-0000-0000-0000A50A0000}"/>
    <cellStyle name="Currency 3 2 2 11 2" xfId="23258" xr:uid="{2B9A9BEF-A732-4467-AA98-247800BFF44E}"/>
    <cellStyle name="Currency 3 2 2 11 3" xfId="31705" xr:uid="{C0C094E7-B1C2-48BC-9F57-00D0AE86DCD0}"/>
    <cellStyle name="Currency 3 2 2 11 4" xfId="40152" xr:uid="{2B968765-75B6-449A-AC8D-B9EDD26CE6AB}"/>
    <cellStyle name="Currency 3 2 2 11 5" xfId="13958" xr:uid="{A07754B4-FABC-4B1A-9FDC-9EF8BF49325A}"/>
    <cellStyle name="Currency 3 2 2 12" xfId="8808" xr:uid="{5CD24693-181E-456A-9199-DC057509AC96}"/>
    <cellStyle name="Currency 3 2 2 12 2" xfId="18132" xr:uid="{0AC9411B-721B-4DD0-95DA-168CC33CB551}"/>
    <cellStyle name="Currency 3 2 2 13" xfId="19041" xr:uid="{922B4020-BDD0-4C83-B5A5-D69855FFE568}"/>
    <cellStyle name="Currency 3 2 2 14" xfId="27488" xr:uid="{E61CE36D-3094-46C1-B06C-145F42D50C80}"/>
    <cellStyle name="Currency 3 2 2 15" xfId="35935" xr:uid="{A15E257A-C82C-483E-A697-93CCF061701C}"/>
    <cellStyle name="Currency 3 2 2 16" xfId="9741" xr:uid="{953F2EDF-EDAC-40EC-853C-3CC624F80DC9}"/>
    <cellStyle name="Currency 3 2 2 2" xfId="179" xr:uid="{00000000-0005-0000-0000-0000A60A0000}"/>
    <cellStyle name="Currency 3 2 2 2 10" xfId="4633" xr:uid="{00000000-0005-0000-0000-0000A70A0000}"/>
    <cellStyle name="Currency 3 2 2 2 10 2" xfId="23259" xr:uid="{0B802695-A3DA-4CA0-BF85-05F78FD69B7E}"/>
    <cellStyle name="Currency 3 2 2 2 10 3" xfId="31706" xr:uid="{1D09EA69-81A5-4797-BE45-BC369B58F2FE}"/>
    <cellStyle name="Currency 3 2 2 2 10 4" xfId="40153" xr:uid="{4EFF0DE8-DFC8-44FD-B182-A9697ED7BC54}"/>
    <cellStyle name="Currency 3 2 2 2 10 5" xfId="13959" xr:uid="{69690E5F-11FA-4AD6-AF9C-8F0E15E85A4C}"/>
    <cellStyle name="Currency 3 2 2 2 11" xfId="8911" xr:uid="{177A45F7-B130-49DA-829A-AA3BF41B848C}"/>
    <cellStyle name="Currency 3 2 2 2 11 2" xfId="18235" xr:uid="{63B46A57-EBFF-4459-8768-CF1B7D847ABD}"/>
    <cellStyle name="Currency 3 2 2 2 12" xfId="19042" xr:uid="{6393186A-DB9F-4D57-8475-F181613BCE06}"/>
    <cellStyle name="Currency 3 2 2 2 13" xfId="27489" xr:uid="{2A46ACC4-F971-4EAC-87BE-B936F6EC9A8D}"/>
    <cellStyle name="Currency 3 2 2 2 14" xfId="35936" xr:uid="{A1A5CCDC-ECC6-426C-A634-743EA20F4E55}"/>
    <cellStyle name="Currency 3 2 2 2 15" xfId="9742" xr:uid="{BAD9DC2F-1DA3-4DA8-9589-6D96CA2A39DC}"/>
    <cellStyle name="Currency 3 2 2 2 2" xfId="180" xr:uid="{00000000-0005-0000-0000-0000A80A0000}"/>
    <cellStyle name="Currency 3 2 2 2 2 10" xfId="9118" xr:uid="{4DDBDF88-B997-49F5-AF34-322CC93508E5}"/>
    <cellStyle name="Currency 3 2 2 2 2 10 2" xfId="18442" xr:uid="{D9CA6FC5-2849-419A-A184-5AF6E7E5D831}"/>
    <cellStyle name="Currency 3 2 2 2 2 11" xfId="19043" xr:uid="{ED4D9625-F772-4CE6-9EDE-BDFF8171310C}"/>
    <cellStyle name="Currency 3 2 2 2 2 12" xfId="27490" xr:uid="{53E93058-20FB-40E8-B4D3-F7C9D73D3D04}"/>
    <cellStyle name="Currency 3 2 2 2 2 13" xfId="35937" xr:uid="{C3283720-3B65-4DBD-BE44-BC9C0CAFACA8}"/>
    <cellStyle name="Currency 3 2 2 2 2 14" xfId="9743" xr:uid="{8D2762FB-753E-4BC5-B642-A2896FA5169C}"/>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2 2 2" xfId="25819" xr:uid="{FDB43A2F-BD18-456E-B31B-D42282674DF7}"/>
    <cellStyle name="Currency 3 2 2 2 2 2 2 2 3" xfId="34266" xr:uid="{469F98CE-4288-4D81-8B7D-852A6812B6EA}"/>
    <cellStyle name="Currency 3 2 2 2 2 2 2 2 4" xfId="42713" xr:uid="{EC7730BA-7CD3-4586-89D8-546B9ECB99D8}"/>
    <cellStyle name="Currency 3 2 2 2 2 2 2 2 5" xfId="16519" xr:uid="{BBF8B3E0-E9C7-46DD-9EB5-F3AB80EDD10C}"/>
    <cellStyle name="Currency 3 2 2 2 2 2 2 3" xfId="21602" xr:uid="{B83B80FB-032D-496F-B582-5F98BF8944CD}"/>
    <cellStyle name="Currency 3 2 2 2 2 2 2 4" xfId="30049" xr:uid="{67F6233D-5F29-4EBB-BCF1-031B1CF0B986}"/>
    <cellStyle name="Currency 3 2 2 2 2 2 2 5" xfId="38496" xr:uid="{156E62A7-81A6-4022-AEA6-60FFCBE9A021}"/>
    <cellStyle name="Currency 3 2 2 2 2 2 2 6" xfId="12302" xr:uid="{6D252AD6-FDCC-462A-915D-789D8C1BEECA}"/>
    <cellStyle name="Currency 3 2 2 2 2 2 3" xfId="5048" xr:uid="{00000000-0005-0000-0000-0000AC0A0000}"/>
    <cellStyle name="Currency 3 2 2 2 2 2 3 2" xfId="23674" xr:uid="{926D5291-7AE4-4D0F-9496-E188B5002C88}"/>
    <cellStyle name="Currency 3 2 2 2 2 2 3 3" xfId="32121" xr:uid="{9047D975-8525-40D7-B8B4-CB51B6C2CAEB}"/>
    <cellStyle name="Currency 3 2 2 2 2 2 3 4" xfId="40568" xr:uid="{76E02530-74FF-4A5D-AD52-EB3D8630C881}"/>
    <cellStyle name="Currency 3 2 2 2 2 2 3 5" xfId="14374" xr:uid="{5BFD6E79-0DDE-4285-99B8-89CA5D9DC314}"/>
    <cellStyle name="Currency 3 2 2 2 2 2 4" xfId="9543" xr:uid="{08990697-BAC1-4B06-A86B-C554A35267E6}"/>
    <cellStyle name="Currency 3 2 2 2 2 2 4 2" xfId="18859" xr:uid="{D7FDD529-28C9-471D-AF0F-AA432B03CD52}"/>
    <cellStyle name="Currency 3 2 2 2 2 2 5" xfId="19457" xr:uid="{A08152E6-8D41-4A2E-AF22-BCBFBAD150DE}"/>
    <cellStyle name="Currency 3 2 2 2 2 2 6" xfId="27904" xr:uid="{377DFF64-AD98-4587-9542-9F054BCB411F}"/>
    <cellStyle name="Currency 3 2 2 2 2 2 7" xfId="36351" xr:uid="{874ADDF4-48EA-45F7-8364-F696E9B7D233}"/>
    <cellStyle name="Currency 3 2 2 2 2 2 8" xfId="10157" xr:uid="{FB78AD2F-AD03-4065-B06D-19A4365A5BB9}"/>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2 2 2" xfId="26232" xr:uid="{A0FF4D40-B94E-4CF1-9C7F-906F6868EA5B}"/>
    <cellStyle name="Currency 3 2 2 2 2 3 2 2 3" xfId="34679" xr:uid="{FF294167-7A79-4756-B811-3BD9E53C9896}"/>
    <cellStyle name="Currency 3 2 2 2 2 3 2 2 4" xfId="43126" xr:uid="{2CF6415B-1F88-4C4E-8283-1631D7B1F13B}"/>
    <cellStyle name="Currency 3 2 2 2 2 3 2 2 5" xfId="16932" xr:uid="{F55D5FDB-E76A-4B40-976B-0CCDC5C07082}"/>
    <cellStyle name="Currency 3 2 2 2 2 3 2 3" xfId="22015" xr:uid="{98C52027-E509-479F-B00D-D20FF97EC78F}"/>
    <cellStyle name="Currency 3 2 2 2 2 3 2 4" xfId="30462" xr:uid="{D698170B-82EF-4575-907E-90F2AEE884CC}"/>
    <cellStyle name="Currency 3 2 2 2 2 3 2 5" xfId="38909" xr:uid="{A47DD924-7679-46B3-86DA-937FDAB490C7}"/>
    <cellStyle name="Currency 3 2 2 2 2 3 2 6" xfId="12715" xr:uid="{FCAEF9B0-4086-43CB-AE36-6C9A4D296039}"/>
    <cellStyle name="Currency 3 2 2 2 2 3 3" xfId="5461" xr:uid="{00000000-0005-0000-0000-0000B00A0000}"/>
    <cellStyle name="Currency 3 2 2 2 2 3 3 2" xfId="24087" xr:uid="{FDE068F6-D78B-4DBB-9F2D-F67AE7C9FDC9}"/>
    <cellStyle name="Currency 3 2 2 2 2 3 3 3" xfId="32534" xr:uid="{A0BA7B7F-ADDA-4ADE-95FE-51FA9CB52594}"/>
    <cellStyle name="Currency 3 2 2 2 2 3 3 4" xfId="40981" xr:uid="{CF342C68-256C-4D30-8253-180BB6D6A4AD}"/>
    <cellStyle name="Currency 3 2 2 2 2 3 3 5" xfId="14787" xr:uid="{B3EA7A0C-0DE5-4EF7-9A9B-0D47B26EEDF7}"/>
    <cellStyle name="Currency 3 2 2 2 2 3 4" xfId="19870" xr:uid="{87870DCB-B516-473D-8698-8715A4EC48AE}"/>
    <cellStyle name="Currency 3 2 2 2 2 3 5" xfId="28317" xr:uid="{79DAA940-FF14-4A88-B7F6-CB6110908666}"/>
    <cellStyle name="Currency 3 2 2 2 2 3 6" xfId="36764" xr:uid="{19FEB837-5DAD-42F2-8038-DB1FE07D82F9}"/>
    <cellStyle name="Currency 3 2 2 2 2 3 7" xfId="10570" xr:uid="{71AB1676-BC6F-4012-B0C4-7425B02F8CD8}"/>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2 2 2" xfId="26645" xr:uid="{D5D25CFE-06B5-498D-8060-12E01D1FE620}"/>
    <cellStyle name="Currency 3 2 2 2 2 4 2 2 3" xfId="35092" xr:uid="{098916C9-441A-4607-A139-99FC8DB31FC9}"/>
    <cellStyle name="Currency 3 2 2 2 2 4 2 2 4" xfId="43539" xr:uid="{6823B3C0-5561-419D-91D5-06A5CCD5EE42}"/>
    <cellStyle name="Currency 3 2 2 2 2 4 2 2 5" xfId="17345" xr:uid="{18A87AA6-E733-452B-93A4-115215AD38BB}"/>
    <cellStyle name="Currency 3 2 2 2 2 4 2 3" xfId="22428" xr:uid="{EAAE4095-5AF5-4060-91BD-BDB8F163CE38}"/>
    <cellStyle name="Currency 3 2 2 2 2 4 2 4" xfId="30875" xr:uid="{174E36A4-5B35-4B13-9CEA-BC521AF072C3}"/>
    <cellStyle name="Currency 3 2 2 2 2 4 2 5" xfId="39322" xr:uid="{EC4FB0A2-A9F1-460E-A4D2-D2015D6F918C}"/>
    <cellStyle name="Currency 3 2 2 2 2 4 2 6" xfId="13128" xr:uid="{E45A6A20-5B8A-4830-BB5D-E1C85FCC7A5F}"/>
    <cellStyle name="Currency 3 2 2 2 2 4 3" xfId="5874" xr:uid="{00000000-0005-0000-0000-0000B40A0000}"/>
    <cellStyle name="Currency 3 2 2 2 2 4 3 2" xfId="24500" xr:uid="{C3F47059-4DE2-41F3-BCBF-4820E499AC27}"/>
    <cellStyle name="Currency 3 2 2 2 2 4 3 3" xfId="32947" xr:uid="{105D2D7F-AB72-4BEF-843C-D9E0D29A68C2}"/>
    <cellStyle name="Currency 3 2 2 2 2 4 3 4" xfId="41394" xr:uid="{A7DE3C0B-647A-42F4-A31D-C7D29218F5C5}"/>
    <cellStyle name="Currency 3 2 2 2 2 4 3 5" xfId="15200" xr:uid="{FFC57815-2F60-4F86-B5BF-DB45DAFCDDF2}"/>
    <cellStyle name="Currency 3 2 2 2 2 4 4" xfId="20283" xr:uid="{A1F68140-F98E-4F37-A11A-9844FE9747D7}"/>
    <cellStyle name="Currency 3 2 2 2 2 4 5" xfId="28730" xr:uid="{A84BE6B6-1C28-4CF2-A049-CF2DD17B67B7}"/>
    <cellStyle name="Currency 3 2 2 2 2 4 6" xfId="37177" xr:uid="{77B30A6F-00F4-4C06-8FFA-A41F0A3BAAE6}"/>
    <cellStyle name="Currency 3 2 2 2 2 4 7" xfId="10983" xr:uid="{9145B4ED-2292-45C6-9743-AF9F32DF596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2 2 2" xfId="27058" xr:uid="{91794DFE-02F6-42F6-AF0F-3B48D49B04C0}"/>
    <cellStyle name="Currency 3 2 2 2 2 5 2 2 3" xfId="35505" xr:uid="{7A9A66CA-01CC-4A5E-A9E5-481F1A363BEE}"/>
    <cellStyle name="Currency 3 2 2 2 2 5 2 2 4" xfId="43952" xr:uid="{F42B9845-AC66-4772-913E-5742D1E12C75}"/>
    <cellStyle name="Currency 3 2 2 2 2 5 2 2 5" xfId="17758" xr:uid="{79AB54C2-0B6A-4BB0-A6C4-D995C28BCAF8}"/>
    <cellStyle name="Currency 3 2 2 2 2 5 2 3" xfId="22841" xr:uid="{74E6852D-BEF7-4D3F-9F28-49E6B33729AF}"/>
    <cellStyle name="Currency 3 2 2 2 2 5 2 4" xfId="31288" xr:uid="{43B9C565-C46A-4A93-A545-2BDE7E57DDD0}"/>
    <cellStyle name="Currency 3 2 2 2 2 5 2 5" xfId="39735" xr:uid="{67A490A4-F5E8-46AE-BC06-63BD709A3687}"/>
    <cellStyle name="Currency 3 2 2 2 2 5 2 6" xfId="13541" xr:uid="{7C7E708F-620B-4A28-AE9A-14A89B860098}"/>
    <cellStyle name="Currency 3 2 2 2 2 5 3" xfId="6287" xr:uid="{00000000-0005-0000-0000-0000B80A0000}"/>
    <cellStyle name="Currency 3 2 2 2 2 5 3 2" xfId="24913" xr:uid="{B6040E49-45A7-4FFC-BDD8-63399A3F9D3B}"/>
    <cellStyle name="Currency 3 2 2 2 2 5 3 3" xfId="33360" xr:uid="{11D200E6-590D-46B9-9362-66890D797033}"/>
    <cellStyle name="Currency 3 2 2 2 2 5 3 4" xfId="41807" xr:uid="{A99F6CA4-CCED-4204-B8E5-85BCBB73C08D}"/>
    <cellStyle name="Currency 3 2 2 2 2 5 3 5" xfId="15613" xr:uid="{C9E102F6-64B5-4ED8-95F4-BC52283B4979}"/>
    <cellStyle name="Currency 3 2 2 2 2 5 4" xfId="20696" xr:uid="{BFCBE89A-419A-4897-87D8-4E37C785179F}"/>
    <cellStyle name="Currency 3 2 2 2 2 5 5" xfId="29143" xr:uid="{8F13DCEB-19FD-44E4-91F3-E7CD3CDBA124}"/>
    <cellStyle name="Currency 3 2 2 2 2 5 6" xfId="37590" xr:uid="{B79A127E-ED99-441C-BFEB-69D5559A7A3B}"/>
    <cellStyle name="Currency 3 2 2 2 2 5 7" xfId="11396" xr:uid="{103A0295-43AD-4022-945D-16F8341E5A1D}"/>
    <cellStyle name="Currency 3 2 2 2 2 6" xfId="2416" xr:uid="{00000000-0005-0000-0000-0000B90A0000}"/>
    <cellStyle name="Currency 3 2 2 2 2 6 2" xfId="6700" xr:uid="{00000000-0005-0000-0000-0000BA0A0000}"/>
    <cellStyle name="Currency 3 2 2 2 2 6 2 2" xfId="25326" xr:uid="{4976A1E5-E999-4E6C-A918-EEDC4E8CD038}"/>
    <cellStyle name="Currency 3 2 2 2 2 6 2 3" xfId="33773" xr:uid="{E6CA6EC6-8B93-41B5-B7DC-ECEF2129526B}"/>
    <cellStyle name="Currency 3 2 2 2 2 6 2 4" xfId="42220" xr:uid="{B7665990-284A-4B43-BAD4-B5AC506C2FD1}"/>
    <cellStyle name="Currency 3 2 2 2 2 6 2 5" xfId="16026" xr:uid="{D2CC4FE8-90F1-4293-8BC3-F467E67CA76A}"/>
    <cellStyle name="Currency 3 2 2 2 2 6 3" xfId="21109" xr:uid="{B7B7E86B-D296-4EBF-A8AD-76E60AA231C9}"/>
    <cellStyle name="Currency 3 2 2 2 2 6 4" xfId="29556" xr:uid="{0C08BC8B-970B-4B1A-A8F5-4F7BBD91D1AF}"/>
    <cellStyle name="Currency 3 2 2 2 2 6 5" xfId="38003" xr:uid="{50705BBF-62DE-4B19-B2EA-E34CB6918F73}"/>
    <cellStyle name="Currency 3 2 2 2 2 6 6" xfId="11809" xr:uid="{53066BE1-9418-4A69-8400-AE6D8B443394}"/>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8 2 2" xfId="25643" xr:uid="{BA8604A4-DA5A-47C6-BD16-AD1AFEC23243}"/>
    <cellStyle name="Currency 3 2 2 2 2 8 2 3" xfId="34090" xr:uid="{2C849761-9EA5-4024-8991-A587A7C5D4C9}"/>
    <cellStyle name="Currency 3 2 2 2 2 8 2 4" xfId="42537" xr:uid="{19E731EA-9D96-4C34-94F0-E48FA2533D47}"/>
    <cellStyle name="Currency 3 2 2 2 2 8 2 5" xfId="16343" xr:uid="{3AC16E27-BD06-48CB-B347-56D0721C23E6}"/>
    <cellStyle name="Currency 3 2 2 2 2 8 3" xfId="21426" xr:uid="{947B0220-A3DD-476C-9F34-9C35B583179B}"/>
    <cellStyle name="Currency 3 2 2 2 2 8 4" xfId="29873" xr:uid="{D43A5304-A62B-4B6C-85F1-9C0CB408238E}"/>
    <cellStyle name="Currency 3 2 2 2 2 8 5" xfId="38320" xr:uid="{71C609E6-40F4-45CF-A2A9-2BF999A5BFC2}"/>
    <cellStyle name="Currency 3 2 2 2 2 8 6" xfId="12126" xr:uid="{21B03037-C8C5-4838-ACA4-EAF3D8CBFBBA}"/>
    <cellStyle name="Currency 3 2 2 2 2 9" xfId="4634" xr:uid="{00000000-0005-0000-0000-0000BE0A0000}"/>
    <cellStyle name="Currency 3 2 2 2 2 9 2" xfId="23260" xr:uid="{ACA4E6C7-F0B8-4EC8-A1D7-DC8FA0A51273}"/>
    <cellStyle name="Currency 3 2 2 2 2 9 3" xfId="31707" xr:uid="{E830679D-6EFF-414E-B3C1-19634387B676}"/>
    <cellStyle name="Currency 3 2 2 2 2 9 4" xfId="40154" xr:uid="{EE9B6837-B762-4020-BB1E-D7BEB255F47B}"/>
    <cellStyle name="Currency 3 2 2 2 2 9 5" xfId="13960" xr:uid="{22E2B59E-B0E0-4C54-9A27-B762C8B6A7F8}"/>
    <cellStyle name="Currency 3 2 2 2 3" xfId="709" xr:uid="{00000000-0005-0000-0000-0000BF0A0000}"/>
    <cellStyle name="Currency 3 2 2 2 3 2" xfId="2970" xr:uid="{00000000-0005-0000-0000-0000C00A0000}"/>
    <cellStyle name="Currency 3 2 2 2 3 2 2" xfId="7192" xr:uid="{00000000-0005-0000-0000-0000C10A0000}"/>
    <cellStyle name="Currency 3 2 2 2 3 2 2 2" xfId="25818" xr:uid="{A82A0ED7-8DEA-45C1-8B70-A451C73968F9}"/>
    <cellStyle name="Currency 3 2 2 2 3 2 2 3" xfId="34265" xr:uid="{77CDAFF2-318F-43FA-BD3F-7D593C9FABC2}"/>
    <cellStyle name="Currency 3 2 2 2 3 2 2 4" xfId="42712" xr:uid="{7070370D-78B1-468A-AE70-41B1FD76AC23}"/>
    <cellStyle name="Currency 3 2 2 2 3 2 2 5" xfId="16518" xr:uid="{256778C5-035A-4756-8EAC-35C76FA748C4}"/>
    <cellStyle name="Currency 3 2 2 2 3 2 3" xfId="21601" xr:uid="{622EABC8-024F-4E77-8DD5-1947EB8674DE}"/>
    <cellStyle name="Currency 3 2 2 2 3 2 4" xfId="30048" xr:uid="{543E2E3E-4696-4AD5-8D8D-356B9BCB4A6F}"/>
    <cellStyle name="Currency 3 2 2 2 3 2 5" xfId="38495" xr:uid="{5521250A-0D07-43FB-B516-985CDDD2440F}"/>
    <cellStyle name="Currency 3 2 2 2 3 2 6" xfId="12301" xr:uid="{9FE45E9A-2068-4CD7-8B57-7CF999FB2132}"/>
    <cellStyle name="Currency 3 2 2 2 3 3" xfId="5047" xr:uid="{00000000-0005-0000-0000-0000C20A0000}"/>
    <cellStyle name="Currency 3 2 2 2 3 3 2" xfId="23673" xr:uid="{CA5930A0-857A-45EC-8076-AD245722C6ED}"/>
    <cellStyle name="Currency 3 2 2 2 3 3 3" xfId="32120" xr:uid="{CB05F656-0D3D-4F07-B524-D4D79BEBB281}"/>
    <cellStyle name="Currency 3 2 2 2 3 3 4" xfId="40567" xr:uid="{3C8D28D8-7AFA-4756-8BD0-CF2416F0326C}"/>
    <cellStyle name="Currency 3 2 2 2 3 3 5" xfId="14373" xr:uid="{3CC9FB2E-0993-4B16-99A0-AA12554CACF1}"/>
    <cellStyle name="Currency 3 2 2 2 3 4" xfId="9336" xr:uid="{F86D5454-A503-484B-B8F3-81FF219E49D0}"/>
    <cellStyle name="Currency 3 2 2 2 3 4 2" xfId="18652" xr:uid="{957F2186-8945-4671-8F8D-7903B868F2B0}"/>
    <cellStyle name="Currency 3 2 2 2 3 5" xfId="19456" xr:uid="{44A98994-D410-4334-984C-D12A1F1C60D1}"/>
    <cellStyle name="Currency 3 2 2 2 3 6" xfId="27903" xr:uid="{5AF93E0E-1A2E-4F3B-B750-E74036C312F9}"/>
    <cellStyle name="Currency 3 2 2 2 3 7" xfId="36350" xr:uid="{8AD682F3-55E8-4DAD-A0F9-77915F3AAB17}"/>
    <cellStyle name="Currency 3 2 2 2 3 8" xfId="10156" xr:uid="{FDD1E3E5-D069-40FB-A8DD-C7E5E4106F86}"/>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2 2 2" xfId="26231" xr:uid="{447E1611-1AE1-41AE-9F04-9C1BCEE3BAA8}"/>
    <cellStyle name="Currency 3 2 2 2 4 2 2 3" xfId="34678" xr:uid="{979DE54D-9EF7-44EE-A3E6-8A51C8FB3DAA}"/>
    <cellStyle name="Currency 3 2 2 2 4 2 2 4" xfId="43125" xr:uid="{63BE62B1-457E-4051-946D-B94F8ADD63AA}"/>
    <cellStyle name="Currency 3 2 2 2 4 2 2 5" xfId="16931" xr:uid="{0CB6463D-C832-4164-AA2B-00632F65586E}"/>
    <cellStyle name="Currency 3 2 2 2 4 2 3" xfId="22014" xr:uid="{17BC4CD3-0869-44A9-9E1B-02F5117734FD}"/>
    <cellStyle name="Currency 3 2 2 2 4 2 4" xfId="30461" xr:uid="{F65C5841-3758-4AB0-85DB-626DCB71C597}"/>
    <cellStyle name="Currency 3 2 2 2 4 2 5" xfId="38908" xr:uid="{3FF79F61-6474-4F91-9D27-06A1B9F1D864}"/>
    <cellStyle name="Currency 3 2 2 2 4 2 6" xfId="12714" xr:uid="{0519EEB2-1E1F-4DE7-A9A5-505D1CB8D63A}"/>
    <cellStyle name="Currency 3 2 2 2 4 3" xfId="5460" xr:uid="{00000000-0005-0000-0000-0000C60A0000}"/>
    <cellStyle name="Currency 3 2 2 2 4 3 2" xfId="24086" xr:uid="{E76EAA28-0035-4146-B499-74A2957A960F}"/>
    <cellStyle name="Currency 3 2 2 2 4 3 3" xfId="32533" xr:uid="{991F3571-1FD0-47E8-9EC0-005D6AC7BE80}"/>
    <cellStyle name="Currency 3 2 2 2 4 3 4" xfId="40980" xr:uid="{5D8BDCBD-2A92-40DA-9CFD-36CB08281971}"/>
    <cellStyle name="Currency 3 2 2 2 4 3 5" xfId="14786" xr:uid="{DD881680-28BB-477B-B745-074FA9E14E42}"/>
    <cellStyle name="Currency 3 2 2 2 4 4" xfId="19869" xr:uid="{1DFE48CE-C9BC-4DC1-B2C0-3323820C73A9}"/>
    <cellStyle name="Currency 3 2 2 2 4 5" xfId="28316" xr:uid="{DE533E94-838E-4C97-86B8-612BA458B2DE}"/>
    <cellStyle name="Currency 3 2 2 2 4 6" xfId="36763" xr:uid="{3ADA7A6A-A495-4C6E-8A85-E72913721B55}"/>
    <cellStyle name="Currency 3 2 2 2 4 7" xfId="10569" xr:uid="{8EC9E3F7-9532-49CC-AD03-B30AD66E566B}"/>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2 2 2" xfId="26644" xr:uid="{77ED9321-D6BC-439B-9F38-B9CEC3E03BEC}"/>
    <cellStyle name="Currency 3 2 2 2 5 2 2 3" xfId="35091" xr:uid="{98241F41-58F6-46AB-AFE0-39E72BE368C8}"/>
    <cellStyle name="Currency 3 2 2 2 5 2 2 4" xfId="43538" xr:uid="{D577FAFB-CF93-4E81-97E6-6354A864A698}"/>
    <cellStyle name="Currency 3 2 2 2 5 2 2 5" xfId="17344" xr:uid="{833376E4-4D61-42A9-8077-6201E2EEC050}"/>
    <cellStyle name="Currency 3 2 2 2 5 2 3" xfId="22427" xr:uid="{871AEB29-2318-477B-8692-2EF21AD64B53}"/>
    <cellStyle name="Currency 3 2 2 2 5 2 4" xfId="30874" xr:uid="{CEAE6707-739F-41B7-8720-558FE786FC88}"/>
    <cellStyle name="Currency 3 2 2 2 5 2 5" xfId="39321" xr:uid="{606EE30A-9533-4B42-AC7D-B538C98FE0B6}"/>
    <cellStyle name="Currency 3 2 2 2 5 2 6" xfId="13127" xr:uid="{798F247F-C8C9-4598-8A33-EE880128908C}"/>
    <cellStyle name="Currency 3 2 2 2 5 3" xfId="5873" xr:uid="{00000000-0005-0000-0000-0000CA0A0000}"/>
    <cellStyle name="Currency 3 2 2 2 5 3 2" xfId="24499" xr:uid="{EC736EAA-A6B7-41BA-8514-5214A88E49E1}"/>
    <cellStyle name="Currency 3 2 2 2 5 3 3" xfId="32946" xr:uid="{CBD81311-DA0C-41A7-9D28-8A1BA88700CC}"/>
    <cellStyle name="Currency 3 2 2 2 5 3 4" xfId="41393" xr:uid="{0D0E672F-C24A-45D4-8C8D-756446C8DFC9}"/>
    <cellStyle name="Currency 3 2 2 2 5 3 5" xfId="15199" xr:uid="{09370B6C-6C90-46B9-8FC9-25CFB5C3A531}"/>
    <cellStyle name="Currency 3 2 2 2 5 4" xfId="20282" xr:uid="{D066F9D7-A159-4C1E-81A6-4E795D076571}"/>
    <cellStyle name="Currency 3 2 2 2 5 5" xfId="28729" xr:uid="{F1F80129-6B1A-49EF-A430-8A1678B7DC79}"/>
    <cellStyle name="Currency 3 2 2 2 5 6" xfId="37176" xr:uid="{174A8E5E-330E-4401-B660-A8E305F61317}"/>
    <cellStyle name="Currency 3 2 2 2 5 7" xfId="10982" xr:uid="{028949CB-3F62-4D4D-9D14-97493B18993F}"/>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2 2 2" xfId="27057" xr:uid="{3B4F996B-7630-4A5E-BDE6-3464EDA097FD}"/>
    <cellStyle name="Currency 3 2 2 2 6 2 2 3" xfId="35504" xr:uid="{838F46F1-7044-4F91-B799-D34F9621F6EE}"/>
    <cellStyle name="Currency 3 2 2 2 6 2 2 4" xfId="43951" xr:uid="{E67992AD-B3AF-4C0B-BF43-697956EC216E}"/>
    <cellStyle name="Currency 3 2 2 2 6 2 2 5" xfId="17757" xr:uid="{FB41348B-CDF2-4476-888D-337EDC1566EA}"/>
    <cellStyle name="Currency 3 2 2 2 6 2 3" xfId="22840" xr:uid="{884B2D63-7DFE-4A88-AA43-1B6B460945F5}"/>
    <cellStyle name="Currency 3 2 2 2 6 2 4" xfId="31287" xr:uid="{F65DEEDD-D4AC-4868-8870-0465FBFADF0B}"/>
    <cellStyle name="Currency 3 2 2 2 6 2 5" xfId="39734" xr:uid="{AF3CA264-B096-422F-BCF3-835DA4178616}"/>
    <cellStyle name="Currency 3 2 2 2 6 2 6" xfId="13540" xr:uid="{F8868A81-9A42-47F1-A1A1-F320915AE53B}"/>
    <cellStyle name="Currency 3 2 2 2 6 3" xfId="6286" xr:uid="{00000000-0005-0000-0000-0000CE0A0000}"/>
    <cellStyle name="Currency 3 2 2 2 6 3 2" xfId="24912" xr:uid="{9C54E375-B0E1-4673-A06C-A31D6E825F41}"/>
    <cellStyle name="Currency 3 2 2 2 6 3 3" xfId="33359" xr:uid="{60FD98D6-652A-41C7-AE5B-A26BFF7BED85}"/>
    <cellStyle name="Currency 3 2 2 2 6 3 4" xfId="41806" xr:uid="{9E65F1CA-23A0-4E95-89AB-83E80C75EC50}"/>
    <cellStyle name="Currency 3 2 2 2 6 3 5" xfId="15612" xr:uid="{D8E8D6AA-6065-4FA9-B8C9-011DFC8A4407}"/>
    <cellStyle name="Currency 3 2 2 2 6 4" xfId="20695" xr:uid="{7CE653D0-CFE9-40FE-9345-4F8D0851F390}"/>
    <cellStyle name="Currency 3 2 2 2 6 5" xfId="29142" xr:uid="{8897982B-DE0C-41C1-A6C9-B8040AF4DD2A}"/>
    <cellStyle name="Currency 3 2 2 2 6 6" xfId="37589" xr:uid="{C2C41512-B919-4066-B7A0-0061A3889310}"/>
    <cellStyle name="Currency 3 2 2 2 6 7" xfId="11395" xr:uid="{B77A4F85-C87F-42A5-BF54-985E02467D26}"/>
    <cellStyle name="Currency 3 2 2 2 7" xfId="2415" xr:uid="{00000000-0005-0000-0000-0000CF0A0000}"/>
    <cellStyle name="Currency 3 2 2 2 7 2" xfId="6699" xr:uid="{00000000-0005-0000-0000-0000D00A0000}"/>
    <cellStyle name="Currency 3 2 2 2 7 2 2" xfId="25325" xr:uid="{8D8378CC-0A02-4AFC-A0EB-46F2FF91E138}"/>
    <cellStyle name="Currency 3 2 2 2 7 2 3" xfId="33772" xr:uid="{3084977B-D9BD-4BEE-AD42-AB192CF5A238}"/>
    <cellStyle name="Currency 3 2 2 2 7 2 4" xfId="42219" xr:uid="{09E54F9D-64A3-4F2B-898A-A990405446D9}"/>
    <cellStyle name="Currency 3 2 2 2 7 2 5" xfId="16025" xr:uid="{DC1CE042-6AD9-47DE-AD98-BF1EB75D2782}"/>
    <cellStyle name="Currency 3 2 2 2 7 3" xfId="21108" xr:uid="{D6BBF538-89D7-4D04-99C0-E33B23589B46}"/>
    <cellStyle name="Currency 3 2 2 2 7 4" xfId="29555" xr:uid="{B86AD32E-A3F2-4275-A558-C941522B659D}"/>
    <cellStyle name="Currency 3 2 2 2 7 5" xfId="38002" xr:uid="{2B528547-9D82-4215-8D39-5189F4EF9884}"/>
    <cellStyle name="Currency 3 2 2 2 7 6" xfId="11808" xr:uid="{FB1C5BD9-40B7-40DA-BCA8-42A972A5944F}"/>
    <cellStyle name="Currency 3 2 2 2 8" xfId="2712" xr:uid="{00000000-0005-0000-0000-0000D10A0000}"/>
    <cellStyle name="Currency 3 2 2 2 9" xfId="2793" xr:uid="{00000000-0005-0000-0000-0000D20A0000}"/>
    <cellStyle name="Currency 3 2 2 2 9 2" xfId="7016" xr:uid="{00000000-0005-0000-0000-0000D30A0000}"/>
    <cellStyle name="Currency 3 2 2 2 9 2 2" xfId="25642" xr:uid="{499E54F7-A09B-447F-AC76-CCFCA2A90A23}"/>
    <cellStyle name="Currency 3 2 2 2 9 2 3" xfId="34089" xr:uid="{7243E912-2D4D-43D8-8766-EB641A9C5C68}"/>
    <cellStyle name="Currency 3 2 2 2 9 2 4" xfId="42536" xr:uid="{763A3CA4-6BB7-47E6-A6B7-17A865F9DCEE}"/>
    <cellStyle name="Currency 3 2 2 2 9 2 5" xfId="16342" xr:uid="{154A0C0F-B47D-4888-BD1F-05ECC717AED0}"/>
    <cellStyle name="Currency 3 2 2 2 9 3" xfId="21425" xr:uid="{A4E39AAD-3EBE-4610-BC11-58C99588F90D}"/>
    <cellStyle name="Currency 3 2 2 2 9 4" xfId="29872" xr:uid="{3CD8007B-CACE-4677-A0E8-B04B458ADFAF}"/>
    <cellStyle name="Currency 3 2 2 2 9 5" xfId="38319" xr:uid="{01686BD1-B81A-4533-A06E-F2BA1F2B5093}"/>
    <cellStyle name="Currency 3 2 2 2 9 6" xfId="12125" xr:uid="{5CA2EDF4-A716-4006-9F90-1FEE9D71B941}"/>
    <cellStyle name="Currency 3 2 2 3" xfId="181" xr:uid="{00000000-0005-0000-0000-0000D40A0000}"/>
    <cellStyle name="Currency 3 2 2 3 10" xfId="9015" xr:uid="{A1C3FAFC-6FB9-45C5-A279-C90E61794A63}"/>
    <cellStyle name="Currency 3 2 2 3 10 2" xfId="18339" xr:uid="{41FBAA30-9EB5-4EEF-A1BE-4071BA44946C}"/>
    <cellStyle name="Currency 3 2 2 3 11" xfId="19044" xr:uid="{6EEBF967-43B3-4F32-9310-E5AEF2DC1934}"/>
    <cellStyle name="Currency 3 2 2 3 12" xfId="27491" xr:uid="{9CB4C3AC-05A4-4E72-B948-95F3F2514142}"/>
    <cellStyle name="Currency 3 2 2 3 13" xfId="35938" xr:uid="{4AB31241-8AEA-405D-9908-AA00A3151DF9}"/>
    <cellStyle name="Currency 3 2 2 3 14" xfId="9744" xr:uid="{C15BC145-A174-4833-A739-71CF18325226}"/>
    <cellStyle name="Currency 3 2 2 3 2" xfId="711" xr:uid="{00000000-0005-0000-0000-0000D50A0000}"/>
    <cellStyle name="Currency 3 2 2 3 2 2" xfId="2972" xr:uid="{00000000-0005-0000-0000-0000D60A0000}"/>
    <cellStyle name="Currency 3 2 2 3 2 2 2" xfId="7194" xr:uid="{00000000-0005-0000-0000-0000D70A0000}"/>
    <cellStyle name="Currency 3 2 2 3 2 2 2 2" xfId="25820" xr:uid="{2A575101-46F0-4A83-BE14-76A010522BEC}"/>
    <cellStyle name="Currency 3 2 2 3 2 2 2 3" xfId="34267" xr:uid="{27061F46-A1E0-4895-BF12-F2780DDB8BD1}"/>
    <cellStyle name="Currency 3 2 2 3 2 2 2 4" xfId="42714" xr:uid="{5C215605-FB48-4C05-A460-42FDCD2FA973}"/>
    <cellStyle name="Currency 3 2 2 3 2 2 2 5" xfId="16520" xr:uid="{22F28768-97DE-4AC3-A486-0B1359218A68}"/>
    <cellStyle name="Currency 3 2 2 3 2 2 3" xfId="21603" xr:uid="{9910294F-0BE8-4FB7-982C-659880E15DC2}"/>
    <cellStyle name="Currency 3 2 2 3 2 2 4" xfId="30050" xr:uid="{281E8803-01DF-4894-8429-D7F2FEFF9C33}"/>
    <cellStyle name="Currency 3 2 2 3 2 2 5" xfId="38497" xr:uid="{E0D15D98-894B-44F2-B45E-6EC950BBE657}"/>
    <cellStyle name="Currency 3 2 2 3 2 2 6" xfId="12303" xr:uid="{1FBEC66B-AD23-474E-BAA7-1645D5F673E9}"/>
    <cellStyle name="Currency 3 2 2 3 2 3" xfId="5049" xr:uid="{00000000-0005-0000-0000-0000D80A0000}"/>
    <cellStyle name="Currency 3 2 2 3 2 3 2" xfId="23675" xr:uid="{678A29D6-068E-4F5A-BC1D-2754C3063702}"/>
    <cellStyle name="Currency 3 2 2 3 2 3 3" xfId="32122" xr:uid="{A5B90DB6-67E9-47A3-B3FC-DC408E927DEE}"/>
    <cellStyle name="Currency 3 2 2 3 2 3 4" xfId="40569" xr:uid="{42E7919F-79E7-4EF6-A53A-5983D0EECBFC}"/>
    <cellStyle name="Currency 3 2 2 3 2 3 5" xfId="14375" xr:uid="{34DC33A9-9795-4E4E-8DD7-0F886D91D209}"/>
    <cellStyle name="Currency 3 2 2 3 2 4" xfId="9440" xr:uid="{774D5512-BCA5-4224-A909-3336A63369C8}"/>
    <cellStyle name="Currency 3 2 2 3 2 4 2" xfId="18756" xr:uid="{1010F2E6-5EF3-4077-8741-CAC86C562097}"/>
    <cellStyle name="Currency 3 2 2 3 2 5" xfId="19458" xr:uid="{A2CAEB1A-4378-412F-B9CA-D21AA90998CB}"/>
    <cellStyle name="Currency 3 2 2 3 2 6" xfId="27905" xr:uid="{019E65FB-E548-4B8D-88DB-C69ADAC256B2}"/>
    <cellStyle name="Currency 3 2 2 3 2 7" xfId="36352" xr:uid="{A5A43C9C-BEF7-433D-8F05-2606547B394E}"/>
    <cellStyle name="Currency 3 2 2 3 2 8" xfId="10158" xr:uid="{86DBC5FD-0CE7-4330-B1C9-0CDCAB867C5C}"/>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2 2 2" xfId="26233" xr:uid="{34857B09-6CF9-4CA0-AAF6-1B9B0B9E8533}"/>
    <cellStyle name="Currency 3 2 2 3 3 2 2 3" xfId="34680" xr:uid="{6D0FDC6F-661A-40F0-B337-861D539FF6CE}"/>
    <cellStyle name="Currency 3 2 2 3 3 2 2 4" xfId="43127" xr:uid="{6F1BBDF3-F2F5-4C72-8B08-6A23DA2276C9}"/>
    <cellStyle name="Currency 3 2 2 3 3 2 2 5" xfId="16933" xr:uid="{E0171643-33C3-47DE-81BC-29168920716B}"/>
    <cellStyle name="Currency 3 2 2 3 3 2 3" xfId="22016" xr:uid="{15021213-3E0A-4B39-BE6E-5B385D40F4C8}"/>
    <cellStyle name="Currency 3 2 2 3 3 2 4" xfId="30463" xr:uid="{B207EB0D-3C94-4644-B1CB-4EB72D198C68}"/>
    <cellStyle name="Currency 3 2 2 3 3 2 5" xfId="38910" xr:uid="{08D6C972-E7FD-40AD-8F42-2893B0C6A56F}"/>
    <cellStyle name="Currency 3 2 2 3 3 2 6" xfId="12716" xr:uid="{4E029B96-637E-4A9C-A47E-8814621DB023}"/>
    <cellStyle name="Currency 3 2 2 3 3 3" xfId="5462" xr:uid="{00000000-0005-0000-0000-0000DC0A0000}"/>
    <cellStyle name="Currency 3 2 2 3 3 3 2" xfId="24088" xr:uid="{A5C07CC1-5347-46A3-97B2-CFD7D3A43A87}"/>
    <cellStyle name="Currency 3 2 2 3 3 3 3" xfId="32535" xr:uid="{24C0629C-0EC7-4C36-BC48-4AFA77CC611C}"/>
    <cellStyle name="Currency 3 2 2 3 3 3 4" xfId="40982" xr:uid="{C1B5D72E-17F0-43B0-8849-30C7BFB85830}"/>
    <cellStyle name="Currency 3 2 2 3 3 3 5" xfId="14788" xr:uid="{4B7BAE8E-97A8-4A86-85F8-1864CB97A83E}"/>
    <cellStyle name="Currency 3 2 2 3 3 4" xfId="19871" xr:uid="{6FA4DE32-6EAF-4907-A1AA-0BBBC021DAC0}"/>
    <cellStyle name="Currency 3 2 2 3 3 5" xfId="28318" xr:uid="{B641BC21-F3FD-4687-9D16-C30CA8D32953}"/>
    <cellStyle name="Currency 3 2 2 3 3 6" xfId="36765" xr:uid="{A09BD66E-BCED-4654-95C4-CCD82DA14267}"/>
    <cellStyle name="Currency 3 2 2 3 3 7" xfId="10571" xr:uid="{60600042-B99B-492B-B888-E02A813C6927}"/>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2 2 2" xfId="26646" xr:uid="{3530A334-482D-4AF0-B923-E2BCDF81885A}"/>
    <cellStyle name="Currency 3 2 2 3 4 2 2 3" xfId="35093" xr:uid="{0B172B12-5871-4E36-A5CE-C66DA1A3A4D1}"/>
    <cellStyle name="Currency 3 2 2 3 4 2 2 4" xfId="43540" xr:uid="{71661F19-019F-412F-8E86-0D079F74C547}"/>
    <cellStyle name="Currency 3 2 2 3 4 2 2 5" xfId="17346" xr:uid="{2604162B-4CF9-4500-83CE-E176A2D3AB72}"/>
    <cellStyle name="Currency 3 2 2 3 4 2 3" xfId="22429" xr:uid="{170A9B7E-4D9B-4712-BF97-1F98FCBAEBBB}"/>
    <cellStyle name="Currency 3 2 2 3 4 2 4" xfId="30876" xr:uid="{8B66B8F2-C4F3-4E33-824D-39F8BEBE2528}"/>
    <cellStyle name="Currency 3 2 2 3 4 2 5" xfId="39323" xr:uid="{31016E70-CE0F-469F-9B8A-59E7230E963E}"/>
    <cellStyle name="Currency 3 2 2 3 4 2 6" xfId="13129" xr:uid="{01E23D83-2118-4861-904F-BEBFB817368A}"/>
    <cellStyle name="Currency 3 2 2 3 4 3" xfId="5875" xr:uid="{00000000-0005-0000-0000-0000E00A0000}"/>
    <cellStyle name="Currency 3 2 2 3 4 3 2" xfId="24501" xr:uid="{C149F40B-9563-439D-BD1C-774DD37C5741}"/>
    <cellStyle name="Currency 3 2 2 3 4 3 3" xfId="32948" xr:uid="{5BAD724B-0603-4423-A7FE-E812CF5FCBD0}"/>
    <cellStyle name="Currency 3 2 2 3 4 3 4" xfId="41395" xr:uid="{AB1A92EC-DD43-4A82-9E62-B1CA4F6CF0F3}"/>
    <cellStyle name="Currency 3 2 2 3 4 3 5" xfId="15201" xr:uid="{ACCF6A5B-7928-497A-9E43-455DF75D5E8C}"/>
    <cellStyle name="Currency 3 2 2 3 4 4" xfId="20284" xr:uid="{2555A54E-3E41-4D73-B5F4-1CEEDB188A33}"/>
    <cellStyle name="Currency 3 2 2 3 4 5" xfId="28731" xr:uid="{F74F315F-FF89-4D4F-A7E4-54760CEFF88C}"/>
    <cellStyle name="Currency 3 2 2 3 4 6" xfId="37178" xr:uid="{52D15A76-1472-4698-A0E2-39C8C5B60A78}"/>
    <cellStyle name="Currency 3 2 2 3 4 7" xfId="10984" xr:uid="{D0799BAA-4D9E-414C-8C3A-90BA88EBAFC9}"/>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2 2 2" xfId="27059" xr:uid="{6C4142BF-05B6-401A-9D4C-374300142A40}"/>
    <cellStyle name="Currency 3 2 2 3 5 2 2 3" xfId="35506" xr:uid="{A969EC2B-50C0-47E9-A257-78660AF90047}"/>
    <cellStyle name="Currency 3 2 2 3 5 2 2 4" xfId="43953" xr:uid="{D1CCA5C8-642C-4D43-A3ED-6CB9F41FD5E1}"/>
    <cellStyle name="Currency 3 2 2 3 5 2 2 5" xfId="17759" xr:uid="{1B4F85EA-0647-43E3-A8E1-33FA8EE4F366}"/>
    <cellStyle name="Currency 3 2 2 3 5 2 3" xfId="22842" xr:uid="{BF103651-405F-4349-8D02-EEBE2AD5CFBA}"/>
    <cellStyle name="Currency 3 2 2 3 5 2 4" xfId="31289" xr:uid="{2D6909C7-73D0-4E5E-850A-557A46F6C67B}"/>
    <cellStyle name="Currency 3 2 2 3 5 2 5" xfId="39736" xr:uid="{78F31A3B-7F6E-45BF-AD9D-EFEE49950D8C}"/>
    <cellStyle name="Currency 3 2 2 3 5 2 6" xfId="13542" xr:uid="{CABA4D03-E775-4963-9CCC-F6A0FCE5E72E}"/>
    <cellStyle name="Currency 3 2 2 3 5 3" xfId="6288" xr:uid="{00000000-0005-0000-0000-0000E40A0000}"/>
    <cellStyle name="Currency 3 2 2 3 5 3 2" xfId="24914" xr:uid="{AD616B23-F801-41F0-B57A-F1B69CDBC7E4}"/>
    <cellStyle name="Currency 3 2 2 3 5 3 3" xfId="33361" xr:uid="{E48DA8A1-1A30-4571-82BA-9FFDCD35913D}"/>
    <cellStyle name="Currency 3 2 2 3 5 3 4" xfId="41808" xr:uid="{A3A66DFF-6F82-4A36-9734-69F431E209C2}"/>
    <cellStyle name="Currency 3 2 2 3 5 3 5" xfId="15614" xr:uid="{5EB48905-07EE-4860-8BEE-011461CB6659}"/>
    <cellStyle name="Currency 3 2 2 3 5 4" xfId="20697" xr:uid="{FB3C86A2-71B5-427B-9CD4-6F3FDB12D9B0}"/>
    <cellStyle name="Currency 3 2 2 3 5 5" xfId="29144" xr:uid="{A48BFBE2-18C0-4B8F-80DA-55A52195D141}"/>
    <cellStyle name="Currency 3 2 2 3 5 6" xfId="37591" xr:uid="{4B1077AB-4FC0-4F27-81D2-C2DD4D3B63D2}"/>
    <cellStyle name="Currency 3 2 2 3 5 7" xfId="11397" xr:uid="{7126401F-66D5-41E8-853E-567D948915D9}"/>
    <cellStyle name="Currency 3 2 2 3 6" xfId="2417" xr:uid="{00000000-0005-0000-0000-0000E50A0000}"/>
    <cellStyle name="Currency 3 2 2 3 6 2" xfId="6701" xr:uid="{00000000-0005-0000-0000-0000E60A0000}"/>
    <cellStyle name="Currency 3 2 2 3 6 2 2" xfId="25327" xr:uid="{A89312C5-CE65-4643-922B-49CA932EF052}"/>
    <cellStyle name="Currency 3 2 2 3 6 2 3" xfId="33774" xr:uid="{9DA15A32-288B-4BEE-9FD9-149B94A74D78}"/>
    <cellStyle name="Currency 3 2 2 3 6 2 4" xfId="42221" xr:uid="{B3066A73-3191-4048-8DD1-E6AF3173DF0B}"/>
    <cellStyle name="Currency 3 2 2 3 6 2 5" xfId="16027" xr:uid="{49897327-48C4-4576-90DC-0476D9E83B0B}"/>
    <cellStyle name="Currency 3 2 2 3 6 3" xfId="21110" xr:uid="{B1F571C8-06FD-4D77-8EE7-0E7A44AC6757}"/>
    <cellStyle name="Currency 3 2 2 3 6 4" xfId="29557" xr:uid="{8715F555-EA04-4223-9E05-047B44000C15}"/>
    <cellStyle name="Currency 3 2 2 3 6 5" xfId="38004" xr:uid="{1CA5331D-2710-4E69-B7E7-EE0ABCFBAA5B}"/>
    <cellStyle name="Currency 3 2 2 3 6 6" xfId="11810" xr:uid="{E0ED01CE-64B9-4EB6-BAAF-426B52DA6812}"/>
    <cellStyle name="Currency 3 2 2 3 7" xfId="2714" xr:uid="{00000000-0005-0000-0000-0000E70A0000}"/>
    <cellStyle name="Currency 3 2 2 3 8" xfId="2795" xr:uid="{00000000-0005-0000-0000-0000E80A0000}"/>
    <cellStyle name="Currency 3 2 2 3 8 2" xfId="7018" xr:uid="{00000000-0005-0000-0000-0000E90A0000}"/>
    <cellStyle name="Currency 3 2 2 3 8 2 2" xfId="25644" xr:uid="{67E16690-99C8-4612-97E7-723BACA33EE1}"/>
    <cellStyle name="Currency 3 2 2 3 8 2 3" xfId="34091" xr:uid="{FE24CC73-CFB1-4237-B344-22036F4BF1D3}"/>
    <cellStyle name="Currency 3 2 2 3 8 2 4" xfId="42538" xr:uid="{B47A389B-A257-404C-A566-023BFF9A59B3}"/>
    <cellStyle name="Currency 3 2 2 3 8 2 5" xfId="16344" xr:uid="{86FA360C-5579-402C-85E8-8F863553BBA5}"/>
    <cellStyle name="Currency 3 2 2 3 8 3" xfId="21427" xr:uid="{76425175-82F3-4990-B496-6DFE12D40D67}"/>
    <cellStyle name="Currency 3 2 2 3 8 4" xfId="29874" xr:uid="{C307E68F-0B61-474B-8F56-162E54E6A7FB}"/>
    <cellStyle name="Currency 3 2 2 3 8 5" xfId="38321" xr:uid="{923DADE3-41D9-4C78-BB0F-B72B19267C9E}"/>
    <cellStyle name="Currency 3 2 2 3 8 6" xfId="12127" xr:uid="{AF8CC7AB-F372-4DCB-9E48-0615A14CC561}"/>
    <cellStyle name="Currency 3 2 2 3 9" xfId="4635" xr:uid="{00000000-0005-0000-0000-0000EA0A0000}"/>
    <cellStyle name="Currency 3 2 2 3 9 2" xfId="23261" xr:uid="{4CB786A8-F274-4E2F-8B6B-50C8052C0EFE}"/>
    <cellStyle name="Currency 3 2 2 3 9 3" xfId="31708" xr:uid="{D33B4287-3D38-452F-88C2-EDE17CD1940C}"/>
    <cellStyle name="Currency 3 2 2 3 9 4" xfId="40155" xr:uid="{F7B9CCAC-33C5-4357-81CE-C4831885B55F}"/>
    <cellStyle name="Currency 3 2 2 3 9 5" xfId="13961" xr:uid="{C193F093-3BE0-4719-9745-B2B67ED8BA52}"/>
    <cellStyle name="Currency 3 2 2 4" xfId="708" xr:uid="{00000000-0005-0000-0000-0000EB0A0000}"/>
    <cellStyle name="Currency 3 2 2 4 2" xfId="2969" xr:uid="{00000000-0005-0000-0000-0000EC0A0000}"/>
    <cellStyle name="Currency 3 2 2 4 2 2" xfId="7191" xr:uid="{00000000-0005-0000-0000-0000ED0A0000}"/>
    <cellStyle name="Currency 3 2 2 4 2 2 2" xfId="25817" xr:uid="{4BA73477-BB3B-4F7F-B1BF-DE1E4987F38A}"/>
    <cellStyle name="Currency 3 2 2 4 2 2 3" xfId="34264" xr:uid="{0266B9EE-FB5B-4170-B71C-4B21792400DD}"/>
    <cellStyle name="Currency 3 2 2 4 2 2 4" xfId="42711" xr:uid="{3E195EAA-217E-40BF-B4A6-D1BECCC11913}"/>
    <cellStyle name="Currency 3 2 2 4 2 2 5" xfId="16517" xr:uid="{89812557-2916-4693-9EA1-C93A5569D4DC}"/>
    <cellStyle name="Currency 3 2 2 4 2 3" xfId="21600" xr:uid="{D86186E7-5475-454C-96FB-E44D38811F72}"/>
    <cellStyle name="Currency 3 2 2 4 2 4" xfId="30047" xr:uid="{7A01890E-EDE0-47D8-8982-45FBE43177DE}"/>
    <cellStyle name="Currency 3 2 2 4 2 5" xfId="38494" xr:uid="{1262F1DA-393D-42B8-8D01-F65EF985CA49}"/>
    <cellStyle name="Currency 3 2 2 4 2 6" xfId="12300" xr:uid="{5A8A91D6-ECDC-479D-B692-8D5D614171FD}"/>
    <cellStyle name="Currency 3 2 2 4 3" xfId="5046" xr:uid="{00000000-0005-0000-0000-0000EE0A0000}"/>
    <cellStyle name="Currency 3 2 2 4 3 2" xfId="23672" xr:uid="{83525E31-9AD5-4EE0-8A8C-7538C2464FA0}"/>
    <cellStyle name="Currency 3 2 2 4 3 3" xfId="32119" xr:uid="{113BADFA-5363-4E5F-B1B5-2F191C48F938}"/>
    <cellStyle name="Currency 3 2 2 4 3 4" xfId="40566" xr:uid="{10CE1280-6C63-4709-8481-15F99E25B05D}"/>
    <cellStyle name="Currency 3 2 2 4 3 5" xfId="14372" xr:uid="{851B4341-C9CE-4FDC-89D1-0D5146FF00FD}"/>
    <cellStyle name="Currency 3 2 2 4 4" xfId="9233" xr:uid="{A90843BF-65B1-48E5-9C93-A2651D7B4B13}"/>
    <cellStyle name="Currency 3 2 2 4 4 2" xfId="18549" xr:uid="{139FE81C-6429-4F76-96C0-9766C500DE58}"/>
    <cellStyle name="Currency 3 2 2 4 5" xfId="19455" xr:uid="{F18138FE-783B-48EB-913F-B4B0DACB1594}"/>
    <cellStyle name="Currency 3 2 2 4 6" xfId="27902" xr:uid="{7DB95245-9712-42B4-B21A-FB90584226B0}"/>
    <cellStyle name="Currency 3 2 2 4 7" xfId="36349" xr:uid="{BC55D510-1401-4466-B99C-44598A8BD6F5}"/>
    <cellStyle name="Currency 3 2 2 4 8" xfId="10155" xr:uid="{EF4AB15C-E2AB-4499-814C-0A4DAE7CA727}"/>
    <cellStyle name="Currency 3 2 2 5" xfId="1151" xr:uid="{00000000-0005-0000-0000-0000EF0A0000}"/>
    <cellStyle name="Currency 3 2 2 5 2" xfId="3382" xr:uid="{00000000-0005-0000-0000-0000F00A0000}"/>
    <cellStyle name="Currency 3 2 2 5 2 2" xfId="7604" xr:uid="{00000000-0005-0000-0000-0000F10A0000}"/>
    <cellStyle name="Currency 3 2 2 5 2 2 2" xfId="26230" xr:uid="{A70D181D-5CE9-4791-94AB-D01CBC4AD4AC}"/>
    <cellStyle name="Currency 3 2 2 5 2 2 3" xfId="34677" xr:uid="{9D8B0F0F-3B0C-40EB-9F76-F820192DCE14}"/>
    <cellStyle name="Currency 3 2 2 5 2 2 4" xfId="43124" xr:uid="{F7E4DC2B-9A30-4C6F-BB1E-E0C406357400}"/>
    <cellStyle name="Currency 3 2 2 5 2 2 5" xfId="16930" xr:uid="{5F60E7F5-F49B-471F-ACB5-9DE1821AC22F}"/>
    <cellStyle name="Currency 3 2 2 5 2 3" xfId="22013" xr:uid="{37DFC61D-44CE-46E6-A5F2-251AAA6CD913}"/>
    <cellStyle name="Currency 3 2 2 5 2 4" xfId="30460" xr:uid="{D1243ACD-2602-4FE5-91ED-29F0CF3597F0}"/>
    <cellStyle name="Currency 3 2 2 5 2 5" xfId="38907" xr:uid="{DE059B33-FE6A-4765-B86E-179308C50A37}"/>
    <cellStyle name="Currency 3 2 2 5 2 6" xfId="12713" xr:uid="{D5AE86B5-8737-48FB-943C-22C76D70485D}"/>
    <cellStyle name="Currency 3 2 2 5 3" xfId="5459" xr:uid="{00000000-0005-0000-0000-0000F20A0000}"/>
    <cellStyle name="Currency 3 2 2 5 3 2" xfId="24085" xr:uid="{EA1A7C85-5BD0-49A8-8518-B14B09B33F67}"/>
    <cellStyle name="Currency 3 2 2 5 3 3" xfId="32532" xr:uid="{01EC7463-8E09-49CA-B247-A57F1A046112}"/>
    <cellStyle name="Currency 3 2 2 5 3 4" xfId="40979" xr:uid="{BD09A9C5-14A7-413F-AD04-2B14F8AB22FE}"/>
    <cellStyle name="Currency 3 2 2 5 3 5" xfId="14785" xr:uid="{CBA51B87-6BA8-4073-A802-6C6C45DAA125}"/>
    <cellStyle name="Currency 3 2 2 5 4" xfId="19868" xr:uid="{550465BA-D999-49A3-B506-CB2A5C57500D}"/>
    <cellStyle name="Currency 3 2 2 5 5" xfId="28315" xr:uid="{38903276-92D2-4286-9F72-421036F826C9}"/>
    <cellStyle name="Currency 3 2 2 5 6" xfId="36762" xr:uid="{242A11CC-4902-41F5-9587-EF2DFDDDFDE4}"/>
    <cellStyle name="Currency 3 2 2 5 7" xfId="10568" xr:uid="{A024DDE0-BAE1-45C1-AF25-02AAAB9D3B84}"/>
    <cellStyle name="Currency 3 2 2 6" xfId="1565" xr:uid="{00000000-0005-0000-0000-0000F30A0000}"/>
    <cellStyle name="Currency 3 2 2 6 2" xfId="3795" xr:uid="{00000000-0005-0000-0000-0000F40A0000}"/>
    <cellStyle name="Currency 3 2 2 6 2 2" xfId="8017" xr:uid="{00000000-0005-0000-0000-0000F50A0000}"/>
    <cellStyle name="Currency 3 2 2 6 2 2 2" xfId="26643" xr:uid="{05A3EA43-DEFD-40E4-AA58-68763A768238}"/>
    <cellStyle name="Currency 3 2 2 6 2 2 3" xfId="35090" xr:uid="{D5237510-9385-43BE-AFC7-DC174063880D}"/>
    <cellStyle name="Currency 3 2 2 6 2 2 4" xfId="43537" xr:uid="{EC39C12D-753A-480C-806C-604B37E8465B}"/>
    <cellStyle name="Currency 3 2 2 6 2 2 5" xfId="17343" xr:uid="{00CB36D2-E3D0-4464-9591-71CA57ABE94B}"/>
    <cellStyle name="Currency 3 2 2 6 2 3" xfId="22426" xr:uid="{DADF7658-4E88-499E-A8AE-E7034E91A146}"/>
    <cellStyle name="Currency 3 2 2 6 2 4" xfId="30873" xr:uid="{A7B9EF40-2699-456F-BB7C-D396EE769767}"/>
    <cellStyle name="Currency 3 2 2 6 2 5" xfId="39320" xr:uid="{ED8CEFD5-B332-4DDD-8E05-35A75AED40AF}"/>
    <cellStyle name="Currency 3 2 2 6 2 6" xfId="13126" xr:uid="{0FB70D0B-EF20-419D-88AB-06318A0C8EF6}"/>
    <cellStyle name="Currency 3 2 2 6 3" xfId="5872" xr:uid="{00000000-0005-0000-0000-0000F60A0000}"/>
    <cellStyle name="Currency 3 2 2 6 3 2" xfId="24498" xr:uid="{8C110C8A-B23F-44F4-B1C2-FBCC457B2E4B}"/>
    <cellStyle name="Currency 3 2 2 6 3 3" xfId="32945" xr:uid="{E1BD87A1-C0A4-4D0F-B423-F3461C3D72C0}"/>
    <cellStyle name="Currency 3 2 2 6 3 4" xfId="41392" xr:uid="{D494A870-9592-4B09-8A1E-6F520631489E}"/>
    <cellStyle name="Currency 3 2 2 6 3 5" xfId="15198" xr:uid="{89A31A82-E8D0-42C1-973F-AF0A63FCA9FB}"/>
    <cellStyle name="Currency 3 2 2 6 4" xfId="20281" xr:uid="{9DC521BE-494C-447E-8CB2-4E313929D0E8}"/>
    <cellStyle name="Currency 3 2 2 6 5" xfId="28728" xr:uid="{E60CE9CE-F233-482D-BCEA-997B978E6665}"/>
    <cellStyle name="Currency 3 2 2 6 6" xfId="37175" xr:uid="{15E23BF6-2F65-44FE-8D44-90FCB59789C9}"/>
    <cellStyle name="Currency 3 2 2 6 7" xfId="10981" xr:uid="{951AB083-22F5-46FD-93D8-91E1D8F910E0}"/>
    <cellStyle name="Currency 3 2 2 7" xfId="1979" xr:uid="{00000000-0005-0000-0000-0000F70A0000}"/>
    <cellStyle name="Currency 3 2 2 7 2" xfId="4208" xr:uid="{00000000-0005-0000-0000-0000F80A0000}"/>
    <cellStyle name="Currency 3 2 2 7 2 2" xfId="8430" xr:uid="{00000000-0005-0000-0000-0000F90A0000}"/>
    <cellStyle name="Currency 3 2 2 7 2 2 2" xfId="27056" xr:uid="{E562D5F9-EF16-41F6-9652-31B4431790C6}"/>
    <cellStyle name="Currency 3 2 2 7 2 2 3" xfId="35503" xr:uid="{64FA836A-C191-4B29-9A76-E8E167021FD1}"/>
    <cellStyle name="Currency 3 2 2 7 2 2 4" xfId="43950" xr:uid="{4BD791FC-8DCE-4F03-8599-392FF8AAAB68}"/>
    <cellStyle name="Currency 3 2 2 7 2 2 5" xfId="17756" xr:uid="{0AC07BAA-05FD-4FFC-ADCB-90FA2FACA2D5}"/>
    <cellStyle name="Currency 3 2 2 7 2 3" xfId="22839" xr:uid="{EEB7D988-2029-4E50-B93A-0D423838900C}"/>
    <cellStyle name="Currency 3 2 2 7 2 4" xfId="31286" xr:uid="{02AD960C-F06A-431B-8F22-A9A3E6B45DC1}"/>
    <cellStyle name="Currency 3 2 2 7 2 5" xfId="39733" xr:uid="{0E7DAFC7-221D-4636-A710-03481251BBE3}"/>
    <cellStyle name="Currency 3 2 2 7 2 6" xfId="13539" xr:uid="{CEF20206-B753-49C1-9DAC-4E7BFD5137CC}"/>
    <cellStyle name="Currency 3 2 2 7 3" xfId="6285" xr:uid="{00000000-0005-0000-0000-0000FA0A0000}"/>
    <cellStyle name="Currency 3 2 2 7 3 2" xfId="24911" xr:uid="{88238BA0-1311-4C61-B6D1-791C3BD0D3D4}"/>
    <cellStyle name="Currency 3 2 2 7 3 3" xfId="33358" xr:uid="{382DA69B-89D7-4097-B4A5-C2CCDA2192C2}"/>
    <cellStyle name="Currency 3 2 2 7 3 4" xfId="41805" xr:uid="{58DDCFE6-8C20-46B7-B5E0-83F3766E68B0}"/>
    <cellStyle name="Currency 3 2 2 7 3 5" xfId="15611" xr:uid="{A52894F4-9CD0-41DF-B473-FA06724CAF83}"/>
    <cellStyle name="Currency 3 2 2 7 4" xfId="20694" xr:uid="{B7071314-BC42-4B0B-B10F-090458D7D4CF}"/>
    <cellStyle name="Currency 3 2 2 7 5" xfId="29141" xr:uid="{4E0C78CE-B980-48E3-BC00-D02E80058BCE}"/>
    <cellStyle name="Currency 3 2 2 7 6" xfId="37588" xr:uid="{344DAD9C-48B1-44A2-8CFB-FA33014A0EDE}"/>
    <cellStyle name="Currency 3 2 2 7 7" xfId="11394" xr:uid="{624F1272-2923-48AC-BB0D-479400A7348A}"/>
    <cellStyle name="Currency 3 2 2 8" xfId="2414" xr:uid="{00000000-0005-0000-0000-0000FB0A0000}"/>
    <cellStyle name="Currency 3 2 2 8 2" xfId="6698" xr:uid="{00000000-0005-0000-0000-0000FC0A0000}"/>
    <cellStyle name="Currency 3 2 2 8 2 2" xfId="25324" xr:uid="{8B21D166-0BE7-488B-9CDB-0A1CE7E1B270}"/>
    <cellStyle name="Currency 3 2 2 8 2 3" xfId="33771" xr:uid="{D044CA5B-6DC4-4495-B4B4-D2B278D7A026}"/>
    <cellStyle name="Currency 3 2 2 8 2 4" xfId="42218" xr:uid="{D4BFFB50-E292-4252-BA27-5A7C88266C80}"/>
    <cellStyle name="Currency 3 2 2 8 2 5" xfId="16024" xr:uid="{9E766670-9253-4F60-AB62-CE5D1AF3EB1B}"/>
    <cellStyle name="Currency 3 2 2 8 3" xfId="21107" xr:uid="{7FF3CC35-2835-4458-8613-E5AB5771F099}"/>
    <cellStyle name="Currency 3 2 2 8 4" xfId="29554" xr:uid="{5F569807-053E-4E68-B31C-1EFA8B30552C}"/>
    <cellStyle name="Currency 3 2 2 8 5" xfId="38001" xr:uid="{C69D9157-1B12-411A-A041-C5D7DA8BBA17}"/>
    <cellStyle name="Currency 3 2 2 8 6" xfId="11807" xr:uid="{79CC7DEE-ABB7-4ADA-B576-1C63E7ECFE7F}"/>
    <cellStyle name="Currency 3 2 2 9" xfId="2711" xr:uid="{00000000-0005-0000-0000-0000FD0A0000}"/>
    <cellStyle name="Currency 3 2 3" xfId="182" xr:uid="{00000000-0005-0000-0000-0000FE0A0000}"/>
    <cellStyle name="Currency 3 2 3 10" xfId="4636" xr:uid="{00000000-0005-0000-0000-0000FF0A0000}"/>
    <cellStyle name="Currency 3 2 3 10 2" xfId="23262" xr:uid="{6283CFA7-AC3D-42DC-8535-94755A479FA3}"/>
    <cellStyle name="Currency 3 2 3 10 3" xfId="31709" xr:uid="{CAE6EC0F-EBE2-407A-86AB-8E1BAA1CCF46}"/>
    <cellStyle name="Currency 3 2 3 10 4" xfId="40156" xr:uid="{16044023-F97B-4BC1-9B4D-CFFEBEBA33BE}"/>
    <cellStyle name="Currency 3 2 3 10 5" xfId="13962" xr:uid="{8F3C9E3E-F421-4169-9E58-54E431DA6039}"/>
    <cellStyle name="Currency 3 2 3 11" xfId="8893" xr:uid="{8CE28714-D587-402C-9A17-1A08799662D4}"/>
    <cellStyle name="Currency 3 2 3 11 2" xfId="18217" xr:uid="{77148EFB-EAF7-4561-9EAA-AD6BEB2B36DC}"/>
    <cellStyle name="Currency 3 2 3 12" xfId="19045" xr:uid="{75A835E0-A07C-4835-ABCA-C2DBE337D6D2}"/>
    <cellStyle name="Currency 3 2 3 13" xfId="27492" xr:uid="{C1EFE1D5-FDCD-48FE-9AE6-62CCA3223909}"/>
    <cellStyle name="Currency 3 2 3 14" xfId="35939" xr:uid="{E2D1B926-2885-406F-A70D-091B54B8CD8F}"/>
    <cellStyle name="Currency 3 2 3 15" xfId="9745" xr:uid="{33F88138-1DD4-4AA6-9FC3-6ABB08D711E5}"/>
    <cellStyle name="Currency 3 2 3 2" xfId="183" xr:uid="{00000000-0005-0000-0000-0000000B0000}"/>
    <cellStyle name="Currency 3 2 3 2 10" xfId="9100" xr:uid="{CEBE1F40-0923-46C6-AB84-DD4DAB20CD81}"/>
    <cellStyle name="Currency 3 2 3 2 10 2" xfId="18424" xr:uid="{EC3EDBA9-CF83-4925-AA84-D77B9CDBB69F}"/>
    <cellStyle name="Currency 3 2 3 2 11" xfId="19046" xr:uid="{1AF571FF-091C-4140-9546-09896CBD0F09}"/>
    <cellStyle name="Currency 3 2 3 2 12" xfId="27493" xr:uid="{08AEE1FC-BD23-4B3F-AAD4-6DF29314481E}"/>
    <cellStyle name="Currency 3 2 3 2 13" xfId="35940" xr:uid="{52CA1BA3-5833-49A0-A335-40B5A80AB5E5}"/>
    <cellStyle name="Currency 3 2 3 2 14" xfId="9746" xr:uid="{0CCC8A2C-D5D2-444D-B7EC-D4922F5A6C79}"/>
    <cellStyle name="Currency 3 2 3 2 2" xfId="713" xr:uid="{00000000-0005-0000-0000-0000010B0000}"/>
    <cellStyle name="Currency 3 2 3 2 2 2" xfId="2974" xr:uid="{00000000-0005-0000-0000-0000020B0000}"/>
    <cellStyle name="Currency 3 2 3 2 2 2 2" xfId="7196" xr:uid="{00000000-0005-0000-0000-0000030B0000}"/>
    <cellStyle name="Currency 3 2 3 2 2 2 2 2" xfId="25822" xr:uid="{CEA572A3-F28A-46E8-9380-3B434610E913}"/>
    <cellStyle name="Currency 3 2 3 2 2 2 2 3" xfId="34269" xr:uid="{F8F8D568-7CA6-4DF7-BC2B-052562179FCD}"/>
    <cellStyle name="Currency 3 2 3 2 2 2 2 4" xfId="42716" xr:uid="{E0ABFFCA-4CE7-4C85-ADF7-0FC38015CA08}"/>
    <cellStyle name="Currency 3 2 3 2 2 2 2 5" xfId="16522" xr:uid="{F33072E1-CEA8-4D05-9099-FEEFEBB08A6F}"/>
    <cellStyle name="Currency 3 2 3 2 2 2 3" xfId="21605" xr:uid="{E0B8017D-C889-494B-A066-DAD5C4E9020E}"/>
    <cellStyle name="Currency 3 2 3 2 2 2 4" xfId="30052" xr:uid="{02F83EB1-E5E6-4304-B1FB-E0744609573B}"/>
    <cellStyle name="Currency 3 2 3 2 2 2 5" xfId="38499" xr:uid="{A3D16A11-5950-4DE4-A149-03EF108F428F}"/>
    <cellStyle name="Currency 3 2 3 2 2 2 6" xfId="12305" xr:uid="{B0638388-5B49-4815-94D8-7697440C5D21}"/>
    <cellStyle name="Currency 3 2 3 2 2 3" xfId="5051" xr:uid="{00000000-0005-0000-0000-0000040B0000}"/>
    <cellStyle name="Currency 3 2 3 2 2 3 2" xfId="23677" xr:uid="{9275FBAE-9EEB-42F8-91D1-AD9BFC1D365C}"/>
    <cellStyle name="Currency 3 2 3 2 2 3 3" xfId="32124" xr:uid="{9902FDC3-2BD7-4546-9D92-4C7FF1D6CA5A}"/>
    <cellStyle name="Currency 3 2 3 2 2 3 4" xfId="40571" xr:uid="{37FC149C-03C0-425B-92D5-6D015755E5E3}"/>
    <cellStyle name="Currency 3 2 3 2 2 3 5" xfId="14377" xr:uid="{8BDF0AA8-240C-43B6-96B4-B5CB69A6C6B2}"/>
    <cellStyle name="Currency 3 2 3 2 2 4" xfId="9525" xr:uid="{759374BA-DDD8-4F33-9655-B300986F8700}"/>
    <cellStyle name="Currency 3 2 3 2 2 4 2" xfId="18841" xr:uid="{74324BF4-BD79-44BC-BB6D-B9E527D197BD}"/>
    <cellStyle name="Currency 3 2 3 2 2 5" xfId="19460" xr:uid="{C82CF0E3-FA0E-4CF1-A11C-6E1C52934B3A}"/>
    <cellStyle name="Currency 3 2 3 2 2 6" xfId="27907" xr:uid="{84240FE2-A454-4736-93B2-C343CE1407B7}"/>
    <cellStyle name="Currency 3 2 3 2 2 7" xfId="36354" xr:uid="{B77F85C8-B18C-4475-8C51-9E9AAE0A9D06}"/>
    <cellStyle name="Currency 3 2 3 2 2 8" xfId="10160" xr:uid="{72928FFE-05C6-4A3F-8358-4F890FB3FB83}"/>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2 2 2" xfId="26235" xr:uid="{43F84321-C516-4F6D-B7C9-7CEB758DA572}"/>
    <cellStyle name="Currency 3 2 3 2 3 2 2 3" xfId="34682" xr:uid="{AB3C85F1-9FBB-4C19-8EFC-DCA512F60786}"/>
    <cellStyle name="Currency 3 2 3 2 3 2 2 4" xfId="43129" xr:uid="{3E8656FB-0F90-4762-ADF7-69ABF5334E9E}"/>
    <cellStyle name="Currency 3 2 3 2 3 2 2 5" xfId="16935" xr:uid="{5407B51E-2B11-4772-9C94-BF9962954706}"/>
    <cellStyle name="Currency 3 2 3 2 3 2 3" xfId="22018" xr:uid="{46815094-E68D-40CF-90E5-A17073097D64}"/>
    <cellStyle name="Currency 3 2 3 2 3 2 4" xfId="30465" xr:uid="{8C0CB084-9F34-4DCB-9940-8BB630C6B0DA}"/>
    <cellStyle name="Currency 3 2 3 2 3 2 5" xfId="38912" xr:uid="{A8CDCF9C-9586-4265-9840-D1CDF88C3501}"/>
    <cellStyle name="Currency 3 2 3 2 3 2 6" xfId="12718" xr:uid="{3C01D919-F34E-4F65-9F70-0118EEF4FCDE}"/>
    <cellStyle name="Currency 3 2 3 2 3 3" xfId="5464" xr:uid="{00000000-0005-0000-0000-0000080B0000}"/>
    <cellStyle name="Currency 3 2 3 2 3 3 2" xfId="24090" xr:uid="{DA61CCC0-CE5A-4998-B113-D43983FC5EB4}"/>
    <cellStyle name="Currency 3 2 3 2 3 3 3" xfId="32537" xr:uid="{D08385E0-1A37-4C48-9790-AB14B35B862F}"/>
    <cellStyle name="Currency 3 2 3 2 3 3 4" xfId="40984" xr:uid="{2CF448C3-1214-404E-BC05-E7FFAE1C3F58}"/>
    <cellStyle name="Currency 3 2 3 2 3 3 5" xfId="14790" xr:uid="{5D3893E1-2664-4775-AF5A-AB23EE655DE3}"/>
    <cellStyle name="Currency 3 2 3 2 3 4" xfId="19873" xr:uid="{167397C9-DDFF-41FE-8EFD-3815FBDE7D90}"/>
    <cellStyle name="Currency 3 2 3 2 3 5" xfId="28320" xr:uid="{B2358575-8972-43FB-8E23-EA16E773ED13}"/>
    <cellStyle name="Currency 3 2 3 2 3 6" xfId="36767" xr:uid="{BB1C28CA-4B38-406F-9B2C-BBB603D64C5D}"/>
    <cellStyle name="Currency 3 2 3 2 3 7" xfId="10573" xr:uid="{33ADCF68-C78B-45DC-80C1-670496A4FB8E}"/>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2 2 2" xfId="26648" xr:uid="{87679382-203D-4DFC-B1B1-4F55824D3907}"/>
    <cellStyle name="Currency 3 2 3 2 4 2 2 3" xfId="35095" xr:uid="{C6E63804-E134-45BB-A206-FD759A5ABDA5}"/>
    <cellStyle name="Currency 3 2 3 2 4 2 2 4" xfId="43542" xr:uid="{7C44D53D-0646-4EA9-B40A-34251E373679}"/>
    <cellStyle name="Currency 3 2 3 2 4 2 2 5" xfId="17348" xr:uid="{6A55310E-77F7-40FE-BB9F-786A7E383C13}"/>
    <cellStyle name="Currency 3 2 3 2 4 2 3" xfId="22431" xr:uid="{2B18D97D-96F3-4768-B9CC-1BB7036813E0}"/>
    <cellStyle name="Currency 3 2 3 2 4 2 4" xfId="30878" xr:uid="{0D93DA5A-0B42-42D4-AEF3-7E1C4E7C6564}"/>
    <cellStyle name="Currency 3 2 3 2 4 2 5" xfId="39325" xr:uid="{C012DAED-B411-4931-8DD9-F790C87432E6}"/>
    <cellStyle name="Currency 3 2 3 2 4 2 6" xfId="13131" xr:uid="{617473F1-E371-45E3-830C-F7AA01F68204}"/>
    <cellStyle name="Currency 3 2 3 2 4 3" xfId="5877" xr:uid="{00000000-0005-0000-0000-00000C0B0000}"/>
    <cellStyle name="Currency 3 2 3 2 4 3 2" xfId="24503" xr:uid="{65614AEA-FCF9-42AB-B9C5-E9F9D8634135}"/>
    <cellStyle name="Currency 3 2 3 2 4 3 3" xfId="32950" xr:uid="{BEC44CE9-7329-4D37-9C75-6080AA3113E4}"/>
    <cellStyle name="Currency 3 2 3 2 4 3 4" xfId="41397" xr:uid="{D2E3A414-48B5-4D10-A8AF-6011F2587A10}"/>
    <cellStyle name="Currency 3 2 3 2 4 3 5" xfId="15203" xr:uid="{65E88C61-C54A-432F-9DD3-F9C640E43BF5}"/>
    <cellStyle name="Currency 3 2 3 2 4 4" xfId="20286" xr:uid="{5E216726-2A09-4A46-93E8-08A61000AFD4}"/>
    <cellStyle name="Currency 3 2 3 2 4 5" xfId="28733" xr:uid="{D9963445-955D-4722-9082-1099C06DC524}"/>
    <cellStyle name="Currency 3 2 3 2 4 6" xfId="37180" xr:uid="{659E41F4-EA7C-4361-9B72-6BDA4EB666A0}"/>
    <cellStyle name="Currency 3 2 3 2 4 7" xfId="10986" xr:uid="{3CF79DE2-479B-42A9-A983-5A4AF1915085}"/>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2 2 2" xfId="27061" xr:uid="{B98AF784-20BC-4593-AF25-5831E775BACD}"/>
    <cellStyle name="Currency 3 2 3 2 5 2 2 3" xfId="35508" xr:uid="{F06AC03F-7E07-49F3-9F69-A95645F95FFA}"/>
    <cellStyle name="Currency 3 2 3 2 5 2 2 4" xfId="43955" xr:uid="{3960C332-4756-4332-99DD-C6721F1CB49F}"/>
    <cellStyle name="Currency 3 2 3 2 5 2 2 5" xfId="17761" xr:uid="{30C8C142-5537-46DD-ACF1-334B5ACD577E}"/>
    <cellStyle name="Currency 3 2 3 2 5 2 3" xfId="22844" xr:uid="{897787FA-7189-4ED5-8C4B-07F107524868}"/>
    <cellStyle name="Currency 3 2 3 2 5 2 4" xfId="31291" xr:uid="{99B73E0B-46FF-4EF3-8C4C-6B2CF7AD0BCF}"/>
    <cellStyle name="Currency 3 2 3 2 5 2 5" xfId="39738" xr:uid="{F37E4AF8-4954-4358-B918-A6E9AAED7E90}"/>
    <cellStyle name="Currency 3 2 3 2 5 2 6" xfId="13544" xr:uid="{923EFE25-C6DB-4618-9EB3-9622EDE6A951}"/>
    <cellStyle name="Currency 3 2 3 2 5 3" xfId="6290" xr:uid="{00000000-0005-0000-0000-0000100B0000}"/>
    <cellStyle name="Currency 3 2 3 2 5 3 2" xfId="24916" xr:uid="{D9D4F40A-1DCF-40DF-B096-8C273000E9C4}"/>
    <cellStyle name="Currency 3 2 3 2 5 3 3" xfId="33363" xr:uid="{E3451023-CD1D-429E-860A-ECBA43142631}"/>
    <cellStyle name="Currency 3 2 3 2 5 3 4" xfId="41810" xr:uid="{3B898CED-8B42-4C9B-9BEF-EA768A3DAE68}"/>
    <cellStyle name="Currency 3 2 3 2 5 3 5" xfId="15616" xr:uid="{91290A3D-4EEF-4568-A519-D52E30A90D3A}"/>
    <cellStyle name="Currency 3 2 3 2 5 4" xfId="20699" xr:uid="{C9E600D9-A730-491B-B07D-998437618528}"/>
    <cellStyle name="Currency 3 2 3 2 5 5" xfId="29146" xr:uid="{DCCF12F1-3B78-495E-9BDF-1805CE7C6E95}"/>
    <cellStyle name="Currency 3 2 3 2 5 6" xfId="37593" xr:uid="{2AA9A839-3D54-4139-9710-C81014E397FA}"/>
    <cellStyle name="Currency 3 2 3 2 5 7" xfId="11399" xr:uid="{C553A304-967A-447F-B215-5A5CDA41C364}"/>
    <cellStyle name="Currency 3 2 3 2 6" xfId="2419" xr:uid="{00000000-0005-0000-0000-0000110B0000}"/>
    <cellStyle name="Currency 3 2 3 2 6 2" xfId="6703" xr:uid="{00000000-0005-0000-0000-0000120B0000}"/>
    <cellStyle name="Currency 3 2 3 2 6 2 2" xfId="25329" xr:uid="{8F43AB7C-4C72-4B42-A98C-277C807BA955}"/>
    <cellStyle name="Currency 3 2 3 2 6 2 3" xfId="33776" xr:uid="{A88A9E2A-8900-4D9E-BEEC-B0492DDBD401}"/>
    <cellStyle name="Currency 3 2 3 2 6 2 4" xfId="42223" xr:uid="{58CEA80B-0F57-4488-B733-28209D0D81CD}"/>
    <cellStyle name="Currency 3 2 3 2 6 2 5" xfId="16029" xr:uid="{90FB4987-6B90-4F02-AFBD-15DF949D75E9}"/>
    <cellStyle name="Currency 3 2 3 2 6 3" xfId="21112" xr:uid="{1C46E524-D5C3-4930-83BB-E03CB391880B}"/>
    <cellStyle name="Currency 3 2 3 2 6 4" xfId="29559" xr:uid="{0625ACC2-2034-46C2-A9F7-FAFCF5481996}"/>
    <cellStyle name="Currency 3 2 3 2 6 5" xfId="38006" xr:uid="{9274C72C-4D6F-472B-812E-05539F60E6AB}"/>
    <cellStyle name="Currency 3 2 3 2 6 6" xfId="11812" xr:uid="{30FA2223-52D1-4BE6-868B-1B29E70E1EFF}"/>
    <cellStyle name="Currency 3 2 3 2 7" xfId="2716" xr:uid="{00000000-0005-0000-0000-0000130B0000}"/>
    <cellStyle name="Currency 3 2 3 2 8" xfId="2797" xr:uid="{00000000-0005-0000-0000-0000140B0000}"/>
    <cellStyle name="Currency 3 2 3 2 8 2" xfId="7020" xr:uid="{00000000-0005-0000-0000-0000150B0000}"/>
    <cellStyle name="Currency 3 2 3 2 8 2 2" xfId="25646" xr:uid="{736FC127-F7BE-448A-8889-39AA4D0849A1}"/>
    <cellStyle name="Currency 3 2 3 2 8 2 3" xfId="34093" xr:uid="{7A6A442A-1D54-4039-865D-6E24A6396DE8}"/>
    <cellStyle name="Currency 3 2 3 2 8 2 4" xfId="42540" xr:uid="{69D2DA94-28A0-4DE8-A0DF-3D80F0340ACD}"/>
    <cellStyle name="Currency 3 2 3 2 8 2 5" xfId="16346" xr:uid="{57F4ED4D-AA2C-4CEF-A34B-E2DE5A220671}"/>
    <cellStyle name="Currency 3 2 3 2 8 3" xfId="21429" xr:uid="{2DF394D9-F9B9-4082-804C-6656B6EB886D}"/>
    <cellStyle name="Currency 3 2 3 2 8 4" xfId="29876" xr:uid="{923B7146-A7BB-4FAE-B7EA-FBE24F7D5A05}"/>
    <cellStyle name="Currency 3 2 3 2 8 5" xfId="38323" xr:uid="{04851A52-94F1-4FBA-8CFF-6228D61FAEF8}"/>
    <cellStyle name="Currency 3 2 3 2 8 6" xfId="12129" xr:uid="{218F4AC9-0A16-407F-8232-0E7C1007BBC2}"/>
    <cellStyle name="Currency 3 2 3 2 9" xfId="4637" xr:uid="{00000000-0005-0000-0000-0000160B0000}"/>
    <cellStyle name="Currency 3 2 3 2 9 2" xfId="23263" xr:uid="{2F2B57D3-5D1C-4F87-9F3D-593ADDE91EB8}"/>
    <cellStyle name="Currency 3 2 3 2 9 3" xfId="31710" xr:uid="{8285A064-4133-4831-9DC5-ECFCD893F91D}"/>
    <cellStyle name="Currency 3 2 3 2 9 4" xfId="40157" xr:uid="{977C368B-F595-4370-8FDA-D71C005E53E4}"/>
    <cellStyle name="Currency 3 2 3 2 9 5" xfId="13963" xr:uid="{2FD1A04E-8C7F-43D2-821E-F01EC4720EA3}"/>
    <cellStyle name="Currency 3 2 3 3" xfId="712" xr:uid="{00000000-0005-0000-0000-0000170B0000}"/>
    <cellStyle name="Currency 3 2 3 3 2" xfId="2973" xr:uid="{00000000-0005-0000-0000-0000180B0000}"/>
    <cellStyle name="Currency 3 2 3 3 2 2" xfId="7195" xr:uid="{00000000-0005-0000-0000-0000190B0000}"/>
    <cellStyle name="Currency 3 2 3 3 2 2 2" xfId="25821" xr:uid="{1A0CBC81-A1A5-47FF-89EF-1AA1EEED7BE5}"/>
    <cellStyle name="Currency 3 2 3 3 2 2 3" xfId="34268" xr:uid="{83BCC808-E278-4184-AB41-1DED5199B08F}"/>
    <cellStyle name="Currency 3 2 3 3 2 2 4" xfId="42715" xr:uid="{00A81D5F-CCBB-4613-A329-5FB6D4AA40CD}"/>
    <cellStyle name="Currency 3 2 3 3 2 2 5" xfId="16521" xr:uid="{23E3064E-B3AF-4ADB-AA04-E5936A04A957}"/>
    <cellStyle name="Currency 3 2 3 3 2 3" xfId="21604" xr:uid="{C92F97FE-BAE1-4B06-92E7-7D67F5EC5EDA}"/>
    <cellStyle name="Currency 3 2 3 3 2 4" xfId="30051" xr:uid="{03BAB194-0713-45B9-AC62-9999A628D2A9}"/>
    <cellStyle name="Currency 3 2 3 3 2 5" xfId="38498" xr:uid="{3A0C4A40-A6BE-4C01-94A6-1E71BD5274D2}"/>
    <cellStyle name="Currency 3 2 3 3 2 6" xfId="12304" xr:uid="{55D80F55-9218-47F0-A7F5-527C79C2899B}"/>
    <cellStyle name="Currency 3 2 3 3 3" xfId="5050" xr:uid="{00000000-0005-0000-0000-00001A0B0000}"/>
    <cellStyle name="Currency 3 2 3 3 3 2" xfId="23676" xr:uid="{95691751-9A7C-4683-944A-E5CFB42C49FC}"/>
    <cellStyle name="Currency 3 2 3 3 3 3" xfId="32123" xr:uid="{A8F24A97-EFAF-49B7-B97C-F66DC8FF3125}"/>
    <cellStyle name="Currency 3 2 3 3 3 4" xfId="40570" xr:uid="{D6D59CF9-9C40-4845-8CAC-E36FF3266956}"/>
    <cellStyle name="Currency 3 2 3 3 3 5" xfId="14376" xr:uid="{DACDC660-4A33-4DAF-A873-906DD8F70734}"/>
    <cellStyle name="Currency 3 2 3 3 4" xfId="9318" xr:uid="{AA73873E-8E72-4FDE-A22E-F5D80E2A87B1}"/>
    <cellStyle name="Currency 3 2 3 3 4 2" xfId="18634" xr:uid="{CE9F6CC0-2CD3-4329-A6EE-AFBD5AE9E0D4}"/>
    <cellStyle name="Currency 3 2 3 3 5" xfId="19459" xr:uid="{0668EF59-5B9F-4F9D-B6BD-28E322CC27C1}"/>
    <cellStyle name="Currency 3 2 3 3 6" xfId="27906" xr:uid="{96BE9F8A-DE94-4B5B-9FB7-3397827A79BC}"/>
    <cellStyle name="Currency 3 2 3 3 7" xfId="36353" xr:uid="{C69DDFD7-3E88-4C2A-BD0A-5E0C30284277}"/>
    <cellStyle name="Currency 3 2 3 3 8" xfId="10159" xr:uid="{3FD9E936-F6EC-4CB1-9E4E-46EE6E6BC92A}"/>
    <cellStyle name="Currency 3 2 3 4" xfId="1155" xr:uid="{00000000-0005-0000-0000-00001B0B0000}"/>
    <cellStyle name="Currency 3 2 3 4 2" xfId="3386" xr:uid="{00000000-0005-0000-0000-00001C0B0000}"/>
    <cellStyle name="Currency 3 2 3 4 2 2" xfId="7608" xr:uid="{00000000-0005-0000-0000-00001D0B0000}"/>
    <cellStyle name="Currency 3 2 3 4 2 2 2" xfId="26234" xr:uid="{3C8414DE-A476-4FDF-8122-C6D4AE75DDDF}"/>
    <cellStyle name="Currency 3 2 3 4 2 2 3" xfId="34681" xr:uid="{DE1D629E-936E-40CB-A579-2B40BCFFB487}"/>
    <cellStyle name="Currency 3 2 3 4 2 2 4" xfId="43128" xr:uid="{B3D5F1DC-AFB9-4285-96F8-08BACF45C7A2}"/>
    <cellStyle name="Currency 3 2 3 4 2 2 5" xfId="16934" xr:uid="{1098251F-2D5B-402A-98BD-4C99460546F2}"/>
    <cellStyle name="Currency 3 2 3 4 2 3" xfId="22017" xr:uid="{AB458D85-4269-4067-BE68-1696443DE18A}"/>
    <cellStyle name="Currency 3 2 3 4 2 4" xfId="30464" xr:uid="{DF7993FE-AD2A-4A7C-82A3-D76A6781E699}"/>
    <cellStyle name="Currency 3 2 3 4 2 5" xfId="38911" xr:uid="{C0941929-478B-48DF-B947-57118C1F469F}"/>
    <cellStyle name="Currency 3 2 3 4 2 6" xfId="12717" xr:uid="{F26668B6-17A2-4F5C-B86C-0082678DA7B9}"/>
    <cellStyle name="Currency 3 2 3 4 3" xfId="5463" xr:uid="{00000000-0005-0000-0000-00001E0B0000}"/>
    <cellStyle name="Currency 3 2 3 4 3 2" xfId="24089" xr:uid="{909AE68A-88EA-47F2-BCFF-2D65058CDB11}"/>
    <cellStyle name="Currency 3 2 3 4 3 3" xfId="32536" xr:uid="{0D667A59-4B86-4771-BCD6-EF50B50016C4}"/>
    <cellStyle name="Currency 3 2 3 4 3 4" xfId="40983" xr:uid="{94B865C5-3998-4659-9F14-F92D0D052D13}"/>
    <cellStyle name="Currency 3 2 3 4 3 5" xfId="14789" xr:uid="{05C0183F-3ECA-4053-8FF5-203E25CC7E9F}"/>
    <cellStyle name="Currency 3 2 3 4 4" xfId="19872" xr:uid="{9903C858-F101-4DAA-8168-95E91117BE8E}"/>
    <cellStyle name="Currency 3 2 3 4 5" xfId="28319" xr:uid="{1F4C6C0A-3389-435F-B0B7-512936DFBCF3}"/>
    <cellStyle name="Currency 3 2 3 4 6" xfId="36766" xr:uid="{6B4CADB3-EFC2-48C4-AE62-D31CECC5A15A}"/>
    <cellStyle name="Currency 3 2 3 4 7" xfId="10572" xr:uid="{DC9CF31C-8EDC-415A-B806-4CFFB3F249EB}"/>
    <cellStyle name="Currency 3 2 3 5" xfId="1569" xr:uid="{00000000-0005-0000-0000-00001F0B0000}"/>
    <cellStyle name="Currency 3 2 3 5 2" xfId="3799" xr:uid="{00000000-0005-0000-0000-0000200B0000}"/>
    <cellStyle name="Currency 3 2 3 5 2 2" xfId="8021" xr:uid="{00000000-0005-0000-0000-0000210B0000}"/>
    <cellStyle name="Currency 3 2 3 5 2 2 2" xfId="26647" xr:uid="{89614204-F95F-45DD-9C40-B61196C74931}"/>
    <cellStyle name="Currency 3 2 3 5 2 2 3" xfId="35094" xr:uid="{C121D2CA-95A7-4A01-86A6-6857AFD05452}"/>
    <cellStyle name="Currency 3 2 3 5 2 2 4" xfId="43541" xr:uid="{F7007549-DA9C-43D7-A664-BFC6849A19C2}"/>
    <cellStyle name="Currency 3 2 3 5 2 2 5" xfId="17347" xr:uid="{E0632F5F-0FA2-4A88-8A46-DE9CE7BAAEB7}"/>
    <cellStyle name="Currency 3 2 3 5 2 3" xfId="22430" xr:uid="{D872645B-8D16-4DDB-8959-17CD5E69D1CD}"/>
    <cellStyle name="Currency 3 2 3 5 2 4" xfId="30877" xr:uid="{121ED081-C23C-4337-B5AB-F4296FF40C27}"/>
    <cellStyle name="Currency 3 2 3 5 2 5" xfId="39324" xr:uid="{C9481F63-21CC-4047-95C7-26E5A02801D4}"/>
    <cellStyle name="Currency 3 2 3 5 2 6" xfId="13130" xr:uid="{ED3890C5-2E51-4D9E-BE19-7212D2561441}"/>
    <cellStyle name="Currency 3 2 3 5 3" xfId="5876" xr:uid="{00000000-0005-0000-0000-0000220B0000}"/>
    <cellStyle name="Currency 3 2 3 5 3 2" xfId="24502" xr:uid="{4631C355-E3F4-4EDB-BFBA-787DC1BD7684}"/>
    <cellStyle name="Currency 3 2 3 5 3 3" xfId="32949" xr:uid="{6AE377EF-4F8A-4F77-9D14-5D32BF0FF2B5}"/>
    <cellStyle name="Currency 3 2 3 5 3 4" xfId="41396" xr:uid="{CAA90896-0935-4D13-855A-BD6B68E0CD66}"/>
    <cellStyle name="Currency 3 2 3 5 3 5" xfId="15202" xr:uid="{1FDE8828-2812-4591-B613-1C1DBE1A43FF}"/>
    <cellStyle name="Currency 3 2 3 5 4" xfId="20285" xr:uid="{1F8938E8-F9FB-45DB-BFC1-0476FECBEB19}"/>
    <cellStyle name="Currency 3 2 3 5 5" xfId="28732" xr:uid="{D5AAA6B8-4B23-4420-9BB3-91E5680EFDE6}"/>
    <cellStyle name="Currency 3 2 3 5 6" xfId="37179" xr:uid="{EC3711A3-EEA5-4402-8D95-E59AE3272C92}"/>
    <cellStyle name="Currency 3 2 3 5 7" xfId="10985" xr:uid="{023B1CA6-1F06-45B1-8255-13B784F5B5D7}"/>
    <cellStyle name="Currency 3 2 3 6" xfId="1983" xr:uid="{00000000-0005-0000-0000-0000230B0000}"/>
    <cellStyle name="Currency 3 2 3 6 2" xfId="4212" xr:uid="{00000000-0005-0000-0000-0000240B0000}"/>
    <cellStyle name="Currency 3 2 3 6 2 2" xfId="8434" xr:uid="{00000000-0005-0000-0000-0000250B0000}"/>
    <cellStyle name="Currency 3 2 3 6 2 2 2" xfId="27060" xr:uid="{243323C3-0C42-4526-9BE3-AF3BB401C841}"/>
    <cellStyle name="Currency 3 2 3 6 2 2 3" xfId="35507" xr:uid="{7032876F-1A3D-4BDA-A957-BE6278FB9B88}"/>
    <cellStyle name="Currency 3 2 3 6 2 2 4" xfId="43954" xr:uid="{B0DE7989-B4E7-459C-81F6-351ED3438186}"/>
    <cellStyle name="Currency 3 2 3 6 2 2 5" xfId="17760" xr:uid="{3F4E6607-B9B4-4EC0-806C-B4BF9B7D2361}"/>
    <cellStyle name="Currency 3 2 3 6 2 3" xfId="22843" xr:uid="{700ACB95-4216-4719-9D84-303C817E10E9}"/>
    <cellStyle name="Currency 3 2 3 6 2 4" xfId="31290" xr:uid="{385E900E-0853-43E0-AB3E-7BDD58086232}"/>
    <cellStyle name="Currency 3 2 3 6 2 5" xfId="39737" xr:uid="{28C32E60-FD69-4F02-84D1-20A30A43E602}"/>
    <cellStyle name="Currency 3 2 3 6 2 6" xfId="13543" xr:uid="{E0C1445A-5756-42EF-97EF-841388428BAC}"/>
    <cellStyle name="Currency 3 2 3 6 3" xfId="6289" xr:uid="{00000000-0005-0000-0000-0000260B0000}"/>
    <cellStyle name="Currency 3 2 3 6 3 2" xfId="24915" xr:uid="{8998FD7D-F5C6-47C1-A09B-06460E050236}"/>
    <cellStyle name="Currency 3 2 3 6 3 3" xfId="33362" xr:uid="{87553A8D-6E3B-4A24-BBB8-F97C04F57A33}"/>
    <cellStyle name="Currency 3 2 3 6 3 4" xfId="41809" xr:uid="{ABAA81BF-2835-4E0D-B302-939DBF93FF19}"/>
    <cellStyle name="Currency 3 2 3 6 3 5" xfId="15615" xr:uid="{89917881-2DFC-4D8D-959D-433AB35EC3FB}"/>
    <cellStyle name="Currency 3 2 3 6 4" xfId="20698" xr:uid="{EB2623BF-9AF7-43D1-86C6-3B0AA64D0446}"/>
    <cellStyle name="Currency 3 2 3 6 5" xfId="29145" xr:uid="{1B77BA29-EDC2-4063-A965-4978EC6924CE}"/>
    <cellStyle name="Currency 3 2 3 6 6" xfId="37592" xr:uid="{391A99A8-87D7-41A2-ACB3-DCB6D55AA123}"/>
    <cellStyle name="Currency 3 2 3 6 7" xfId="11398" xr:uid="{6FCBECF4-C0A3-428B-B2DF-088ADFA85CBF}"/>
    <cellStyle name="Currency 3 2 3 7" xfId="2418" xr:uid="{00000000-0005-0000-0000-0000270B0000}"/>
    <cellStyle name="Currency 3 2 3 7 2" xfId="6702" xr:uid="{00000000-0005-0000-0000-0000280B0000}"/>
    <cellStyle name="Currency 3 2 3 7 2 2" xfId="25328" xr:uid="{6AE62FC1-E1C8-4F35-8812-7C23A6ADC29C}"/>
    <cellStyle name="Currency 3 2 3 7 2 3" xfId="33775" xr:uid="{8527C25B-8B2F-4DF4-9FB0-253F44615C27}"/>
    <cellStyle name="Currency 3 2 3 7 2 4" xfId="42222" xr:uid="{7542D1B5-EA78-4643-91E9-4C9319C02DF6}"/>
    <cellStyle name="Currency 3 2 3 7 2 5" xfId="16028" xr:uid="{C8706E42-4217-44E2-B131-E6996E936D35}"/>
    <cellStyle name="Currency 3 2 3 7 3" xfId="21111" xr:uid="{4D132589-2C13-4D32-80A7-5ABBEC694DDC}"/>
    <cellStyle name="Currency 3 2 3 7 4" xfId="29558" xr:uid="{528B3E91-643B-4469-A1B1-F27F0909F02A}"/>
    <cellStyle name="Currency 3 2 3 7 5" xfId="38005" xr:uid="{1A6A6FB4-F5A2-4F2E-B1C9-9FD42C2AE900}"/>
    <cellStyle name="Currency 3 2 3 7 6" xfId="11811" xr:uid="{F6315058-1B8E-4A70-B235-E4B2047F92A4}"/>
    <cellStyle name="Currency 3 2 3 8" xfId="2715" xr:uid="{00000000-0005-0000-0000-0000290B0000}"/>
    <cellStyle name="Currency 3 2 3 9" xfId="2796" xr:uid="{00000000-0005-0000-0000-00002A0B0000}"/>
    <cellStyle name="Currency 3 2 3 9 2" xfId="7019" xr:uid="{00000000-0005-0000-0000-00002B0B0000}"/>
    <cellStyle name="Currency 3 2 3 9 2 2" xfId="25645" xr:uid="{95FF6297-C909-479E-8A87-88C0AF724018}"/>
    <cellStyle name="Currency 3 2 3 9 2 3" xfId="34092" xr:uid="{99D6DBC3-85EB-4F3F-A323-CFBD0C1978E1}"/>
    <cellStyle name="Currency 3 2 3 9 2 4" xfId="42539" xr:uid="{57C40309-51AB-4CE3-A8E8-E3D507848DD2}"/>
    <cellStyle name="Currency 3 2 3 9 2 5" xfId="16345" xr:uid="{41D11FB7-A9F9-48BE-9831-3E2A326D10A1}"/>
    <cellStyle name="Currency 3 2 3 9 3" xfId="21428" xr:uid="{84C3EE07-A89C-4841-A058-9CFC7CB6C311}"/>
    <cellStyle name="Currency 3 2 3 9 4" xfId="29875" xr:uid="{1983AD5B-6A26-473C-9601-A3C51A92A4AA}"/>
    <cellStyle name="Currency 3 2 3 9 5" xfId="38322" xr:uid="{54CFC807-5671-4B35-9EF4-26F0C3BEF510}"/>
    <cellStyle name="Currency 3 2 3 9 6" xfId="12128" xr:uid="{CAF4CF5B-3D41-4F16-BADA-B7D17D585706}"/>
    <cellStyle name="Currency 3 2 4" xfId="184" xr:uid="{00000000-0005-0000-0000-00002C0B0000}"/>
    <cellStyle name="Currency 3 2 4 10" xfId="8997" xr:uid="{DF9FC022-A382-4135-990F-F43A472E13BA}"/>
    <cellStyle name="Currency 3 2 4 10 2" xfId="18321" xr:uid="{4DEF6529-3438-4A34-8CB5-1C7042093E23}"/>
    <cellStyle name="Currency 3 2 4 11" xfId="19047" xr:uid="{909819E1-C978-4856-98BE-A769F4E07195}"/>
    <cellStyle name="Currency 3 2 4 12" xfId="27494" xr:uid="{37F85611-AF83-40FC-B2FE-28F89A87C995}"/>
    <cellStyle name="Currency 3 2 4 13" xfId="35941" xr:uid="{D2B6FA5F-B454-4E26-8C56-DC7E213163D2}"/>
    <cellStyle name="Currency 3 2 4 14" xfId="9747" xr:uid="{B6D6725F-159D-4CB7-BEFC-09FDE25C9AF7}"/>
    <cellStyle name="Currency 3 2 4 2" xfId="714" xr:uid="{00000000-0005-0000-0000-00002D0B0000}"/>
    <cellStyle name="Currency 3 2 4 2 2" xfId="2975" xr:uid="{00000000-0005-0000-0000-00002E0B0000}"/>
    <cellStyle name="Currency 3 2 4 2 2 2" xfId="7197" xr:uid="{00000000-0005-0000-0000-00002F0B0000}"/>
    <cellStyle name="Currency 3 2 4 2 2 2 2" xfId="25823" xr:uid="{C501CD88-02B6-48FE-8B07-A194B6E9DC03}"/>
    <cellStyle name="Currency 3 2 4 2 2 2 3" xfId="34270" xr:uid="{2DB0293A-AFFE-45DC-8F1A-F9EFA98809A3}"/>
    <cellStyle name="Currency 3 2 4 2 2 2 4" xfId="42717" xr:uid="{7614D493-342A-45CB-9778-F05CF036F29E}"/>
    <cellStyle name="Currency 3 2 4 2 2 2 5" xfId="16523" xr:uid="{DB252C3B-0B25-495A-A13C-1D304813B860}"/>
    <cellStyle name="Currency 3 2 4 2 2 3" xfId="21606" xr:uid="{C3ED3534-3214-4AD5-BF91-6A6B41FB4545}"/>
    <cellStyle name="Currency 3 2 4 2 2 4" xfId="30053" xr:uid="{E948287A-BB78-4728-A630-C0CC99A74B1F}"/>
    <cellStyle name="Currency 3 2 4 2 2 5" xfId="38500" xr:uid="{AF8D2079-18CF-4EF9-AF49-01224E5AE974}"/>
    <cellStyle name="Currency 3 2 4 2 2 6" xfId="12306" xr:uid="{90F4D9B3-3D9B-493A-86AC-CFD16CBEBF2C}"/>
    <cellStyle name="Currency 3 2 4 2 3" xfId="5052" xr:uid="{00000000-0005-0000-0000-0000300B0000}"/>
    <cellStyle name="Currency 3 2 4 2 3 2" xfId="23678" xr:uid="{9FF26975-6662-4454-8B9C-6980A32A5C2C}"/>
    <cellStyle name="Currency 3 2 4 2 3 3" xfId="32125" xr:uid="{9A9B917A-6AE5-4E5E-A9D6-2F00961596E2}"/>
    <cellStyle name="Currency 3 2 4 2 3 4" xfId="40572" xr:uid="{97C7216D-97D1-4BE8-8A70-25B882406524}"/>
    <cellStyle name="Currency 3 2 4 2 3 5" xfId="14378" xr:uid="{3DC4394A-FFDD-44EF-805A-D42ABD32A209}"/>
    <cellStyle name="Currency 3 2 4 2 4" xfId="9422" xr:uid="{3049B7CE-611E-437A-AD0B-2E3AA5E2E50D}"/>
    <cellStyle name="Currency 3 2 4 2 4 2" xfId="18738" xr:uid="{45E87F33-5698-4EEB-BDD5-283C0E2274D6}"/>
    <cellStyle name="Currency 3 2 4 2 5" xfId="19461" xr:uid="{735EF26C-0450-4F0B-92B6-B95A4417B7A6}"/>
    <cellStyle name="Currency 3 2 4 2 6" xfId="27908" xr:uid="{631720C9-978B-4056-88AA-BCFE5FA6E99D}"/>
    <cellStyle name="Currency 3 2 4 2 7" xfId="36355" xr:uid="{6115D29B-ADC1-4808-B868-BA6AC5174A05}"/>
    <cellStyle name="Currency 3 2 4 2 8" xfId="10161" xr:uid="{5AF99F4A-B36D-4DCC-A9CB-A49A758DF217}"/>
    <cellStyle name="Currency 3 2 4 3" xfId="1157" xr:uid="{00000000-0005-0000-0000-0000310B0000}"/>
    <cellStyle name="Currency 3 2 4 3 2" xfId="3388" xr:uid="{00000000-0005-0000-0000-0000320B0000}"/>
    <cellStyle name="Currency 3 2 4 3 2 2" xfId="7610" xr:uid="{00000000-0005-0000-0000-0000330B0000}"/>
    <cellStyle name="Currency 3 2 4 3 2 2 2" xfId="26236" xr:uid="{A6B98CA6-72F4-4DFE-BEC5-55D650997B42}"/>
    <cellStyle name="Currency 3 2 4 3 2 2 3" xfId="34683" xr:uid="{F3AC340A-B332-4120-8641-A9D8FCB69A4C}"/>
    <cellStyle name="Currency 3 2 4 3 2 2 4" xfId="43130" xr:uid="{760164BA-7E97-4B19-8B73-7C4FAC037911}"/>
    <cellStyle name="Currency 3 2 4 3 2 2 5" xfId="16936" xr:uid="{25F4E286-7217-48EA-B877-77B43B9F2940}"/>
    <cellStyle name="Currency 3 2 4 3 2 3" xfId="22019" xr:uid="{A3889C1E-733E-45B2-93B9-E8E739C96055}"/>
    <cellStyle name="Currency 3 2 4 3 2 4" xfId="30466" xr:uid="{0AF0D1D4-05DB-4C38-97CD-258565F9773B}"/>
    <cellStyle name="Currency 3 2 4 3 2 5" xfId="38913" xr:uid="{E16D5628-EAB8-44A1-9E31-91CF8E643717}"/>
    <cellStyle name="Currency 3 2 4 3 2 6" xfId="12719" xr:uid="{D4313A73-CE0E-4441-9B8B-07AC0EF28DAE}"/>
    <cellStyle name="Currency 3 2 4 3 3" xfId="5465" xr:uid="{00000000-0005-0000-0000-0000340B0000}"/>
    <cellStyle name="Currency 3 2 4 3 3 2" xfId="24091" xr:uid="{1C4A5A8E-64CB-4D03-8BE9-997477D2532E}"/>
    <cellStyle name="Currency 3 2 4 3 3 3" xfId="32538" xr:uid="{71E73B74-764E-4FF8-9B9B-5F4CF50D28D8}"/>
    <cellStyle name="Currency 3 2 4 3 3 4" xfId="40985" xr:uid="{E502CEAE-0EA7-4E88-B2E8-739EDA7C6A98}"/>
    <cellStyle name="Currency 3 2 4 3 3 5" xfId="14791" xr:uid="{E928DEDA-FCF9-4D20-AF08-F254BF45DDCA}"/>
    <cellStyle name="Currency 3 2 4 3 4" xfId="19874" xr:uid="{24834CFE-B964-47DD-A8B0-F23BE74D9B2D}"/>
    <cellStyle name="Currency 3 2 4 3 5" xfId="28321" xr:uid="{DCC3E050-F871-4345-94A3-62EDCFF2FA60}"/>
    <cellStyle name="Currency 3 2 4 3 6" xfId="36768" xr:uid="{538D0F62-74AE-44EA-8A71-0D0C4E24D164}"/>
    <cellStyle name="Currency 3 2 4 3 7" xfId="10574" xr:uid="{7136205F-24D2-4539-A5FD-C815D5771299}"/>
    <cellStyle name="Currency 3 2 4 4" xfId="1571" xr:uid="{00000000-0005-0000-0000-0000350B0000}"/>
    <cellStyle name="Currency 3 2 4 4 2" xfId="3801" xr:uid="{00000000-0005-0000-0000-0000360B0000}"/>
    <cellStyle name="Currency 3 2 4 4 2 2" xfId="8023" xr:uid="{00000000-0005-0000-0000-0000370B0000}"/>
    <cellStyle name="Currency 3 2 4 4 2 2 2" xfId="26649" xr:uid="{ADF87223-81C9-4876-B2E7-A24F99D0925C}"/>
    <cellStyle name="Currency 3 2 4 4 2 2 3" xfId="35096" xr:uid="{F32F751C-850C-4480-A981-1192D95A8293}"/>
    <cellStyle name="Currency 3 2 4 4 2 2 4" xfId="43543" xr:uid="{40CC316E-0C96-4FBE-B2E9-710EE449123A}"/>
    <cellStyle name="Currency 3 2 4 4 2 2 5" xfId="17349" xr:uid="{4F1FB6C7-400D-4300-A0C6-6742F3E7FE43}"/>
    <cellStyle name="Currency 3 2 4 4 2 3" xfId="22432" xr:uid="{BB63A09D-CCEA-4FFA-B93B-7A689236185D}"/>
    <cellStyle name="Currency 3 2 4 4 2 4" xfId="30879" xr:uid="{F65ACDB5-D6C8-4746-BBF2-9168442E1736}"/>
    <cellStyle name="Currency 3 2 4 4 2 5" xfId="39326" xr:uid="{925780AC-F07A-46F0-8A81-3ECD5EBBA896}"/>
    <cellStyle name="Currency 3 2 4 4 2 6" xfId="13132" xr:uid="{EE12E594-3BC0-4508-B3BC-D5E273CCC852}"/>
    <cellStyle name="Currency 3 2 4 4 3" xfId="5878" xr:uid="{00000000-0005-0000-0000-0000380B0000}"/>
    <cellStyle name="Currency 3 2 4 4 3 2" xfId="24504" xr:uid="{224A9E30-1BA3-4695-9B21-DBC16AE1CB3D}"/>
    <cellStyle name="Currency 3 2 4 4 3 3" xfId="32951" xr:uid="{7775EBD0-C895-4C59-91EE-8E1772FEA5BB}"/>
    <cellStyle name="Currency 3 2 4 4 3 4" xfId="41398" xr:uid="{8BF451B4-E62B-4228-9A15-510276066A5D}"/>
    <cellStyle name="Currency 3 2 4 4 3 5" xfId="15204" xr:uid="{0D5C5755-54E5-48F9-A8DD-A64CC68F73C4}"/>
    <cellStyle name="Currency 3 2 4 4 4" xfId="20287" xr:uid="{32AF17FA-CD9E-4165-80CC-543AC58E6096}"/>
    <cellStyle name="Currency 3 2 4 4 5" xfId="28734" xr:uid="{ADB895D9-3935-4B8D-BCE5-666DBFBC6E60}"/>
    <cellStyle name="Currency 3 2 4 4 6" xfId="37181" xr:uid="{60CA3A9C-FD61-48FF-B139-1850854A6816}"/>
    <cellStyle name="Currency 3 2 4 4 7" xfId="10987" xr:uid="{B27663DB-0A07-4525-8F7A-312375E32072}"/>
    <cellStyle name="Currency 3 2 4 5" xfId="1985" xr:uid="{00000000-0005-0000-0000-0000390B0000}"/>
    <cellStyle name="Currency 3 2 4 5 2" xfId="4214" xr:uid="{00000000-0005-0000-0000-00003A0B0000}"/>
    <cellStyle name="Currency 3 2 4 5 2 2" xfId="8436" xr:uid="{00000000-0005-0000-0000-00003B0B0000}"/>
    <cellStyle name="Currency 3 2 4 5 2 2 2" xfId="27062" xr:uid="{F5F7BEF5-9172-4EFA-9907-E1D9D1F5D222}"/>
    <cellStyle name="Currency 3 2 4 5 2 2 3" xfId="35509" xr:uid="{2AED989C-447E-405B-A9A3-9C94611428F3}"/>
    <cellStyle name="Currency 3 2 4 5 2 2 4" xfId="43956" xr:uid="{E864FDA3-3AD2-4997-B4F8-26ED7C7879CE}"/>
    <cellStyle name="Currency 3 2 4 5 2 2 5" xfId="17762" xr:uid="{F00B61C0-14FC-4CC8-AD6D-975BF04F9327}"/>
    <cellStyle name="Currency 3 2 4 5 2 3" xfId="22845" xr:uid="{04A3B79A-7990-4274-B6A8-B9BD6363E647}"/>
    <cellStyle name="Currency 3 2 4 5 2 4" xfId="31292" xr:uid="{DEA8DA9A-3C40-4229-B71B-A11C14166314}"/>
    <cellStyle name="Currency 3 2 4 5 2 5" xfId="39739" xr:uid="{A47FCCEE-22A9-4B7A-BA79-BE3BC6EB166B}"/>
    <cellStyle name="Currency 3 2 4 5 2 6" xfId="13545" xr:uid="{F251ACA0-80F5-4966-9B13-201CF668CACB}"/>
    <cellStyle name="Currency 3 2 4 5 3" xfId="6291" xr:uid="{00000000-0005-0000-0000-00003C0B0000}"/>
    <cellStyle name="Currency 3 2 4 5 3 2" xfId="24917" xr:uid="{5EB5CEC9-74D6-4E3F-81D3-70E5C6DAC140}"/>
    <cellStyle name="Currency 3 2 4 5 3 3" xfId="33364" xr:uid="{47641F0D-3A10-4EF7-AD3F-1874EA7DCA9F}"/>
    <cellStyle name="Currency 3 2 4 5 3 4" xfId="41811" xr:uid="{0D8E32BF-E808-4126-B0E6-8E5BA612E1DF}"/>
    <cellStyle name="Currency 3 2 4 5 3 5" xfId="15617" xr:uid="{F7C6EF07-5B16-4B53-A977-562D8D71A706}"/>
    <cellStyle name="Currency 3 2 4 5 4" xfId="20700" xr:uid="{8DBD6744-4378-4D65-BAFB-0DAEE33D987A}"/>
    <cellStyle name="Currency 3 2 4 5 5" xfId="29147" xr:uid="{B4B2296C-D604-4499-A1FF-BB0A7CC7DBA7}"/>
    <cellStyle name="Currency 3 2 4 5 6" xfId="37594" xr:uid="{2BCA3230-5204-45D7-9627-668915F28265}"/>
    <cellStyle name="Currency 3 2 4 5 7" xfId="11400" xr:uid="{AC030717-ECA0-43B9-82D3-1760D690CAAF}"/>
    <cellStyle name="Currency 3 2 4 6" xfId="2420" xr:uid="{00000000-0005-0000-0000-00003D0B0000}"/>
    <cellStyle name="Currency 3 2 4 6 2" xfId="6704" xr:uid="{00000000-0005-0000-0000-00003E0B0000}"/>
    <cellStyle name="Currency 3 2 4 6 2 2" xfId="25330" xr:uid="{CA0B33EE-3CE3-4F94-8A76-6FBEF9675642}"/>
    <cellStyle name="Currency 3 2 4 6 2 3" xfId="33777" xr:uid="{BFF09C1E-EA57-47BB-ACBD-41565E47DE4F}"/>
    <cellStyle name="Currency 3 2 4 6 2 4" xfId="42224" xr:uid="{F52BEA5C-3BE6-4EE2-B9B1-1F002F52A425}"/>
    <cellStyle name="Currency 3 2 4 6 2 5" xfId="16030" xr:uid="{16495FAD-7150-4E10-A8E3-95B1E6B91AB7}"/>
    <cellStyle name="Currency 3 2 4 6 3" xfId="21113" xr:uid="{E47F8833-5AD9-4D03-86FD-BB75CC6EBBBF}"/>
    <cellStyle name="Currency 3 2 4 6 4" xfId="29560" xr:uid="{37D51179-14A2-444E-9716-4AA6AB1EA69C}"/>
    <cellStyle name="Currency 3 2 4 6 5" xfId="38007" xr:uid="{B2F9662D-882C-4512-ACC7-762F67233129}"/>
    <cellStyle name="Currency 3 2 4 6 6" xfId="11813" xr:uid="{93655F34-04A6-4670-B1A3-7CB8F213B0B8}"/>
    <cellStyle name="Currency 3 2 4 7" xfId="2717" xr:uid="{00000000-0005-0000-0000-00003F0B0000}"/>
    <cellStyle name="Currency 3 2 4 8" xfId="2798" xr:uid="{00000000-0005-0000-0000-0000400B0000}"/>
    <cellStyle name="Currency 3 2 4 8 2" xfId="7021" xr:uid="{00000000-0005-0000-0000-0000410B0000}"/>
    <cellStyle name="Currency 3 2 4 8 2 2" xfId="25647" xr:uid="{6A20DACF-558A-4482-8F6A-3DCD9B79A9D1}"/>
    <cellStyle name="Currency 3 2 4 8 2 3" xfId="34094" xr:uid="{09690DC9-8F6A-4535-9E69-770468DF8731}"/>
    <cellStyle name="Currency 3 2 4 8 2 4" xfId="42541" xr:uid="{C607FBE4-5B48-44B1-A248-FDC591014882}"/>
    <cellStyle name="Currency 3 2 4 8 2 5" xfId="16347" xr:uid="{A161FD81-FE41-4494-A170-08BE2ABCFDDB}"/>
    <cellStyle name="Currency 3 2 4 8 3" xfId="21430" xr:uid="{4BA9BC06-1E29-4017-AF92-A3B227B592C7}"/>
    <cellStyle name="Currency 3 2 4 8 4" xfId="29877" xr:uid="{0F7ACFD6-D5BA-40C9-A064-B551C7450400}"/>
    <cellStyle name="Currency 3 2 4 8 5" xfId="38324" xr:uid="{6794F73D-92A8-4B7D-94F0-D59365336A35}"/>
    <cellStyle name="Currency 3 2 4 8 6" xfId="12130" xr:uid="{94971A34-F785-492F-A14B-CE0A800B3FE7}"/>
    <cellStyle name="Currency 3 2 4 9" xfId="4638" xr:uid="{00000000-0005-0000-0000-0000420B0000}"/>
    <cellStyle name="Currency 3 2 4 9 2" xfId="23264" xr:uid="{28751543-6D5B-4DE8-8BFC-7DD5E65689EC}"/>
    <cellStyle name="Currency 3 2 4 9 3" xfId="31711" xr:uid="{CD4A8308-59A2-43BD-8742-CF04EE009B99}"/>
    <cellStyle name="Currency 3 2 4 9 4" xfId="40158" xr:uid="{AE68EF1F-529D-4AEC-BD1E-853EDB4E046E}"/>
    <cellStyle name="Currency 3 2 4 9 5" xfId="13964" xr:uid="{894FDEBD-70B4-49B9-B464-3A027E2032A9}"/>
    <cellStyle name="Currency 3 2 5" xfId="185" xr:uid="{00000000-0005-0000-0000-0000430B0000}"/>
    <cellStyle name="Currency 3 2 5 10" xfId="9214" xr:uid="{3D0A867F-0B9D-4759-A509-3EC1084E197B}"/>
    <cellStyle name="Currency 3 2 5 10 2" xfId="18531" xr:uid="{3159D89E-1CBE-428A-B075-18FAF590995F}"/>
    <cellStyle name="Currency 3 2 5 11" xfId="19048" xr:uid="{DD993807-A3EE-4485-995A-55C486ECE882}"/>
    <cellStyle name="Currency 3 2 5 12" xfId="27495" xr:uid="{0E65190B-4E5E-409A-9F23-3C42167A2C3E}"/>
    <cellStyle name="Currency 3 2 5 13" xfId="35942" xr:uid="{098485DC-792C-477F-8F10-3F3B4B23A2EF}"/>
    <cellStyle name="Currency 3 2 5 14" xfId="9748" xr:uid="{152D9120-6161-449C-AAF2-AB7603A394F1}"/>
    <cellStyle name="Currency 3 2 5 2" xfId="715" xr:uid="{00000000-0005-0000-0000-0000440B0000}"/>
    <cellStyle name="Currency 3 2 5 2 2" xfId="2976" xr:uid="{00000000-0005-0000-0000-0000450B0000}"/>
    <cellStyle name="Currency 3 2 5 2 2 2" xfId="7198" xr:uid="{00000000-0005-0000-0000-0000460B0000}"/>
    <cellStyle name="Currency 3 2 5 2 2 2 2" xfId="25824" xr:uid="{7211B270-14A2-4C2A-AD07-1932B6AF2410}"/>
    <cellStyle name="Currency 3 2 5 2 2 2 3" xfId="34271" xr:uid="{8C088CD2-9C6D-4CBA-8F7E-77173C00D78F}"/>
    <cellStyle name="Currency 3 2 5 2 2 2 4" xfId="42718" xr:uid="{FE0D0CB2-32F5-402D-A40B-135FDDB1BCE5}"/>
    <cellStyle name="Currency 3 2 5 2 2 2 5" xfId="16524" xr:uid="{4F218C59-1D44-475D-8B69-0D4AFA4349C4}"/>
    <cellStyle name="Currency 3 2 5 2 2 3" xfId="21607" xr:uid="{7D5A162B-B1A0-4EA8-9F48-616852E81CA7}"/>
    <cellStyle name="Currency 3 2 5 2 2 4" xfId="30054" xr:uid="{E40BE32E-900C-486E-8021-20ED31948CCC}"/>
    <cellStyle name="Currency 3 2 5 2 2 5" xfId="38501" xr:uid="{C5627860-CA3B-4B9D-9806-733FE75BE945}"/>
    <cellStyle name="Currency 3 2 5 2 2 6" xfId="12307" xr:uid="{8A35C844-E822-4CF4-B257-E7918C85E951}"/>
    <cellStyle name="Currency 3 2 5 2 3" xfId="5053" xr:uid="{00000000-0005-0000-0000-0000470B0000}"/>
    <cellStyle name="Currency 3 2 5 2 3 2" xfId="23679" xr:uid="{53BE9B70-527C-4846-B37A-C3B7F7867796}"/>
    <cellStyle name="Currency 3 2 5 2 3 3" xfId="32126" xr:uid="{4152318A-116D-4F31-8A62-B3D8859076FF}"/>
    <cellStyle name="Currency 3 2 5 2 3 4" xfId="40573" xr:uid="{B2417CB6-A0F6-4750-A574-D5C130A68791}"/>
    <cellStyle name="Currency 3 2 5 2 3 5" xfId="14379" xr:uid="{ED4032AF-E519-4B68-A8C2-5C99ABC1F39E}"/>
    <cellStyle name="Currency 3 2 5 2 4" xfId="9597" xr:uid="{6E2F978E-96E4-4AD8-B4BD-1BE9D7E96A2F}"/>
    <cellStyle name="Currency 3 2 5 2 4 2" xfId="18902" xr:uid="{E410DD30-5020-4142-B1BB-3ECD2294FCFB}"/>
    <cellStyle name="Currency 3 2 5 2 5" xfId="19462" xr:uid="{7175942D-61A7-4016-B516-B8C6BA2A47C2}"/>
    <cellStyle name="Currency 3 2 5 2 6" xfId="27909" xr:uid="{3B5F21DE-BFB3-43C3-8A29-0F2E83D6B97D}"/>
    <cellStyle name="Currency 3 2 5 2 7" xfId="36356" xr:uid="{CDF9ED68-CE00-4EC1-8903-AB42E7D558D0}"/>
    <cellStyle name="Currency 3 2 5 2 8" xfId="10162" xr:uid="{E5837B91-5C2F-44EA-B285-8BA77E4ABD70}"/>
    <cellStyle name="Currency 3 2 5 3" xfId="1158" xr:uid="{00000000-0005-0000-0000-0000480B0000}"/>
    <cellStyle name="Currency 3 2 5 3 2" xfId="3389" xr:uid="{00000000-0005-0000-0000-0000490B0000}"/>
    <cellStyle name="Currency 3 2 5 3 2 2" xfId="7611" xr:uid="{00000000-0005-0000-0000-00004A0B0000}"/>
    <cellStyle name="Currency 3 2 5 3 2 2 2" xfId="26237" xr:uid="{618AD83C-8C82-452D-BC67-D2E207DAE12C}"/>
    <cellStyle name="Currency 3 2 5 3 2 2 3" xfId="34684" xr:uid="{F8D69417-B22A-4FDB-B13E-C613A717B344}"/>
    <cellStyle name="Currency 3 2 5 3 2 2 4" xfId="43131" xr:uid="{4736AF92-AF57-49C9-872A-1CF3B82C7926}"/>
    <cellStyle name="Currency 3 2 5 3 2 2 5" xfId="16937" xr:uid="{97CB6F95-7CBB-4E62-B9F8-147277314613}"/>
    <cellStyle name="Currency 3 2 5 3 2 3" xfId="22020" xr:uid="{13DA118B-C38B-4218-A238-566B678FFE4C}"/>
    <cellStyle name="Currency 3 2 5 3 2 4" xfId="30467" xr:uid="{886AE1E1-23EF-4D2B-A35D-0ACA5AC3CC89}"/>
    <cellStyle name="Currency 3 2 5 3 2 5" xfId="38914" xr:uid="{F7EF267E-DCE1-44F2-A8BF-CB2590C9BD5A}"/>
    <cellStyle name="Currency 3 2 5 3 2 6" xfId="12720" xr:uid="{015A11F0-94AD-4962-BA5A-6494CC8DC2DE}"/>
    <cellStyle name="Currency 3 2 5 3 3" xfId="5466" xr:uid="{00000000-0005-0000-0000-00004B0B0000}"/>
    <cellStyle name="Currency 3 2 5 3 3 2" xfId="24092" xr:uid="{8F83DD06-15F7-42CD-B21D-D8104EB6A5DA}"/>
    <cellStyle name="Currency 3 2 5 3 3 3" xfId="32539" xr:uid="{2D107095-FBFC-4790-8882-B1AE8538E7B2}"/>
    <cellStyle name="Currency 3 2 5 3 3 4" xfId="40986" xr:uid="{A8032445-1D69-4C3A-B770-815868894BA6}"/>
    <cellStyle name="Currency 3 2 5 3 3 5" xfId="14792" xr:uid="{1C0471F2-0865-4F9F-89A5-D0568ED586F3}"/>
    <cellStyle name="Currency 3 2 5 3 4" xfId="19875" xr:uid="{86AEAF49-7F60-40C5-A05A-7A06A46BCAAA}"/>
    <cellStyle name="Currency 3 2 5 3 5" xfId="28322" xr:uid="{E9BF9EC4-A2EC-4DC4-8E64-5FC37746981E}"/>
    <cellStyle name="Currency 3 2 5 3 6" xfId="36769" xr:uid="{029A8991-7B27-41D5-8912-2CDC481C3BBB}"/>
    <cellStyle name="Currency 3 2 5 3 7" xfId="10575" xr:uid="{1A2CD849-B45D-4934-9437-8DCE79767F34}"/>
    <cellStyle name="Currency 3 2 5 4" xfId="1572" xr:uid="{00000000-0005-0000-0000-00004C0B0000}"/>
    <cellStyle name="Currency 3 2 5 4 2" xfId="3802" xr:uid="{00000000-0005-0000-0000-00004D0B0000}"/>
    <cellStyle name="Currency 3 2 5 4 2 2" xfId="8024" xr:uid="{00000000-0005-0000-0000-00004E0B0000}"/>
    <cellStyle name="Currency 3 2 5 4 2 2 2" xfId="26650" xr:uid="{80BE8B75-542A-4E4B-9DAD-F913CDD8483C}"/>
    <cellStyle name="Currency 3 2 5 4 2 2 3" xfId="35097" xr:uid="{8362639A-CF2B-49A4-A8C5-CD9B1327B923}"/>
    <cellStyle name="Currency 3 2 5 4 2 2 4" xfId="43544" xr:uid="{4C9F6F3D-BBD6-4A53-BA1C-0F26E08EEAF2}"/>
    <cellStyle name="Currency 3 2 5 4 2 2 5" xfId="17350" xr:uid="{DC006BAA-D981-439E-8ED6-E0724E32FE43}"/>
    <cellStyle name="Currency 3 2 5 4 2 3" xfId="22433" xr:uid="{E367354C-B8BD-42CF-86FC-BF1AD0D8D570}"/>
    <cellStyle name="Currency 3 2 5 4 2 4" xfId="30880" xr:uid="{BAF2A2F7-13CB-4FDF-996D-6174BEE288AC}"/>
    <cellStyle name="Currency 3 2 5 4 2 5" xfId="39327" xr:uid="{3A26DEBB-8A95-4A50-B14A-75CF8F461577}"/>
    <cellStyle name="Currency 3 2 5 4 2 6" xfId="13133" xr:uid="{2FCE3BF2-BFAD-49A8-83BB-CDE7BD4534E4}"/>
    <cellStyle name="Currency 3 2 5 4 3" xfId="5879" xr:uid="{00000000-0005-0000-0000-00004F0B0000}"/>
    <cellStyle name="Currency 3 2 5 4 3 2" xfId="24505" xr:uid="{132E1968-A31C-4078-950B-F003E5098197}"/>
    <cellStyle name="Currency 3 2 5 4 3 3" xfId="32952" xr:uid="{AED243CA-587A-4859-ACA6-FD48E4457DE3}"/>
    <cellStyle name="Currency 3 2 5 4 3 4" xfId="41399" xr:uid="{8B1DBBC9-0220-4A05-858F-31B64EA6D702}"/>
    <cellStyle name="Currency 3 2 5 4 3 5" xfId="15205" xr:uid="{20A0694F-6C6B-4C68-9A65-43F8ABC1E3CB}"/>
    <cellStyle name="Currency 3 2 5 4 4" xfId="20288" xr:uid="{4123AECA-2831-4D04-842E-5D97E6B77E65}"/>
    <cellStyle name="Currency 3 2 5 4 5" xfId="28735" xr:uid="{7532A062-A8D0-4DE9-A12F-3D8D67605CD8}"/>
    <cellStyle name="Currency 3 2 5 4 6" xfId="37182" xr:uid="{80F41ABC-A3C5-487D-A491-102DBD020078}"/>
    <cellStyle name="Currency 3 2 5 4 7" xfId="10988" xr:uid="{4EA76808-639C-4B76-99AC-95BA6FEC5FFE}"/>
    <cellStyle name="Currency 3 2 5 5" xfId="1986" xr:uid="{00000000-0005-0000-0000-0000500B0000}"/>
    <cellStyle name="Currency 3 2 5 5 2" xfId="4215" xr:uid="{00000000-0005-0000-0000-0000510B0000}"/>
    <cellStyle name="Currency 3 2 5 5 2 2" xfId="8437" xr:uid="{00000000-0005-0000-0000-0000520B0000}"/>
    <cellStyle name="Currency 3 2 5 5 2 2 2" xfId="27063" xr:uid="{641A7739-C0A8-4E3B-9EA0-A460F19D8608}"/>
    <cellStyle name="Currency 3 2 5 5 2 2 3" xfId="35510" xr:uid="{D69043F2-8593-49CC-AA2A-7D936A7A4225}"/>
    <cellStyle name="Currency 3 2 5 5 2 2 4" xfId="43957" xr:uid="{FA059689-CB09-4C9D-9967-3FF2D62D7DAE}"/>
    <cellStyle name="Currency 3 2 5 5 2 2 5" xfId="17763" xr:uid="{237FE55C-4513-4AFC-AF5A-4CEE857E5E3C}"/>
    <cellStyle name="Currency 3 2 5 5 2 3" xfId="22846" xr:uid="{E4FFFF60-5CC1-4C7B-A8E5-C5319EBED4D1}"/>
    <cellStyle name="Currency 3 2 5 5 2 4" xfId="31293" xr:uid="{00FAB2E2-A355-4F3F-85A6-BE4601220A36}"/>
    <cellStyle name="Currency 3 2 5 5 2 5" xfId="39740" xr:uid="{8BC6D090-B8ED-47FB-AF22-F9EA1633C9C4}"/>
    <cellStyle name="Currency 3 2 5 5 2 6" xfId="13546" xr:uid="{010B256F-1032-46F3-B08F-F87F9ED5DEEE}"/>
    <cellStyle name="Currency 3 2 5 5 3" xfId="6292" xr:uid="{00000000-0005-0000-0000-0000530B0000}"/>
    <cellStyle name="Currency 3 2 5 5 3 2" xfId="24918" xr:uid="{AA25828C-BE4B-4E16-81C9-6BEA7D41D4C0}"/>
    <cellStyle name="Currency 3 2 5 5 3 3" xfId="33365" xr:uid="{7624F60A-EAC2-4F67-9409-B7389F24118E}"/>
    <cellStyle name="Currency 3 2 5 5 3 4" xfId="41812" xr:uid="{96F25D75-47A4-4859-B5EE-010C1AB1CF9A}"/>
    <cellStyle name="Currency 3 2 5 5 3 5" xfId="15618" xr:uid="{8FA68BAA-FCD8-4AD2-BB3F-4A617280378B}"/>
    <cellStyle name="Currency 3 2 5 5 4" xfId="20701" xr:uid="{175AA9CB-5215-4559-859D-82B02A8BA167}"/>
    <cellStyle name="Currency 3 2 5 5 5" xfId="29148" xr:uid="{BD587F22-9F0E-446D-9CF4-7D1A7993E7E0}"/>
    <cellStyle name="Currency 3 2 5 5 6" xfId="37595" xr:uid="{E320893B-3D5D-4A64-8BD1-0429D69BAA28}"/>
    <cellStyle name="Currency 3 2 5 5 7" xfId="11401" xr:uid="{ED9A80A8-F052-46B5-BC09-14E0142D093A}"/>
    <cellStyle name="Currency 3 2 5 6" xfId="2421" xr:uid="{00000000-0005-0000-0000-0000540B0000}"/>
    <cellStyle name="Currency 3 2 5 6 2" xfId="6705" xr:uid="{00000000-0005-0000-0000-0000550B0000}"/>
    <cellStyle name="Currency 3 2 5 6 2 2" xfId="25331" xr:uid="{888774EB-A530-4C5B-B731-D5ACD288E6BC}"/>
    <cellStyle name="Currency 3 2 5 6 2 3" xfId="33778" xr:uid="{B5150252-A4BA-4C9B-8F94-B7D2125471B4}"/>
    <cellStyle name="Currency 3 2 5 6 2 4" xfId="42225" xr:uid="{783132E9-43B2-4CB7-9236-2B71DC777DAF}"/>
    <cellStyle name="Currency 3 2 5 6 2 5" xfId="16031" xr:uid="{D3215986-E320-4369-8C74-0C4730AE8003}"/>
    <cellStyle name="Currency 3 2 5 6 3" xfId="21114" xr:uid="{14C00920-4904-4AFC-A3F3-829D600C380B}"/>
    <cellStyle name="Currency 3 2 5 6 4" xfId="29561" xr:uid="{E29941F7-6153-47CD-B882-23A6C07A1A51}"/>
    <cellStyle name="Currency 3 2 5 6 5" xfId="38008" xr:uid="{BBE65725-DB58-4347-9D21-16A4C74A6D2E}"/>
    <cellStyle name="Currency 3 2 5 6 6" xfId="11814" xr:uid="{D000E822-8D0F-492A-8934-65C6880D65F9}"/>
    <cellStyle name="Currency 3 2 5 7" xfId="2718" xr:uid="{00000000-0005-0000-0000-0000560B0000}"/>
    <cellStyle name="Currency 3 2 5 8" xfId="2799" xr:uid="{00000000-0005-0000-0000-0000570B0000}"/>
    <cellStyle name="Currency 3 2 5 8 2" xfId="7022" xr:uid="{00000000-0005-0000-0000-0000580B0000}"/>
    <cellStyle name="Currency 3 2 5 8 2 2" xfId="25648" xr:uid="{85FE7E98-D453-4E71-8B49-FEF1A346CE02}"/>
    <cellStyle name="Currency 3 2 5 8 2 3" xfId="34095" xr:uid="{4E3543A3-D41C-456F-8B49-A1C428C67D9E}"/>
    <cellStyle name="Currency 3 2 5 8 2 4" xfId="42542" xr:uid="{3B706710-DF35-4F3E-BB7D-340E317AD126}"/>
    <cellStyle name="Currency 3 2 5 8 2 5" xfId="16348" xr:uid="{1BC4BE66-3248-42E0-8DC4-EFDDE125AE71}"/>
    <cellStyle name="Currency 3 2 5 8 3" xfId="21431" xr:uid="{A939586D-531B-4E58-AE76-448CE47F40FD}"/>
    <cellStyle name="Currency 3 2 5 8 4" xfId="29878" xr:uid="{92D5F64E-1597-49F2-8653-74CDDBBB958F}"/>
    <cellStyle name="Currency 3 2 5 8 5" xfId="38325" xr:uid="{F7AD26A9-6277-4DEA-AD5D-70598CFE3551}"/>
    <cellStyle name="Currency 3 2 5 8 6" xfId="12131" xr:uid="{27B4F041-193D-4E5B-B9C2-E3675C477F24}"/>
    <cellStyle name="Currency 3 2 5 9" xfId="4639" xr:uid="{00000000-0005-0000-0000-0000590B0000}"/>
    <cellStyle name="Currency 3 2 5 9 2" xfId="23265" xr:uid="{A0A71EF4-DF53-4B98-8F55-3BE0AE077699}"/>
    <cellStyle name="Currency 3 2 5 9 3" xfId="31712" xr:uid="{603302A2-84ED-4D1B-8F9C-293B80C8A8EA}"/>
    <cellStyle name="Currency 3 2 5 9 4" xfId="40159" xr:uid="{3557280B-2A94-46FE-9A6B-6160E52438E9}"/>
    <cellStyle name="Currency 3 2 5 9 5" xfId="13965" xr:uid="{B9867968-5B20-479E-89AC-BE267AD990DC}"/>
    <cellStyle name="Currency 3 2 6" xfId="9583" xr:uid="{653EC571-6DFB-4D44-8156-8097E74D2DD4}"/>
    <cellStyle name="Currency 3 2 7" xfId="8790" xr:uid="{4F16186C-C154-4E9A-B12A-0E13D64C3701}"/>
    <cellStyle name="Currency 3 2 7 2" xfId="18114" xr:uid="{66993175-7811-44BF-9389-EC4ECCEAE1E5}"/>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0 2 2" xfId="25649" xr:uid="{2393D51E-6F47-4841-BF4D-5FD984794B3A}"/>
    <cellStyle name="Currency 5 2 2 2 10 2 3" xfId="34096" xr:uid="{86636F0F-ABF1-4D68-8CEA-FC1003FA8E43}"/>
    <cellStyle name="Currency 5 2 2 2 10 2 4" xfId="42543" xr:uid="{B1B4CC4E-A6FB-4AEE-BB01-DE13AF91163B}"/>
    <cellStyle name="Currency 5 2 2 2 10 2 5" xfId="16349" xr:uid="{3860F408-DAE4-446F-8ACB-598481193BA5}"/>
    <cellStyle name="Currency 5 2 2 2 10 3" xfId="21432" xr:uid="{7BEBC972-00C2-428E-B7C5-37BF223BEF7A}"/>
    <cellStyle name="Currency 5 2 2 2 10 4" xfId="29879" xr:uid="{5D0F3D7C-C0A2-45A0-8EA2-9BE216360D18}"/>
    <cellStyle name="Currency 5 2 2 2 10 5" xfId="38326" xr:uid="{5C763A16-93D7-400F-A6C1-A2637694E8B1}"/>
    <cellStyle name="Currency 5 2 2 2 10 6" xfId="12132" xr:uid="{0833D385-FB7B-4DEB-A9ED-2AA107CE140D}"/>
    <cellStyle name="Currency 5 2 2 2 11" xfId="4640" xr:uid="{00000000-0005-0000-0000-00006C0B0000}"/>
    <cellStyle name="Currency 5 2 2 2 11 2" xfId="23266" xr:uid="{8F3589B6-0339-4027-832D-A76EA5AF6823}"/>
    <cellStyle name="Currency 5 2 2 2 11 3" xfId="31713" xr:uid="{1A799D1A-C376-4C9E-99A4-4DC0F0EC3105}"/>
    <cellStyle name="Currency 5 2 2 2 11 4" xfId="40160" xr:uid="{5FD0CC7B-4004-4D03-8ABC-4C8F85797AF3}"/>
    <cellStyle name="Currency 5 2 2 2 11 5" xfId="13966" xr:uid="{23040882-E38D-4E03-BB4C-296CD38BA21E}"/>
    <cellStyle name="Currency 5 2 2 2 12" xfId="8809" xr:uid="{6E2B58BA-BC61-49BF-A0FE-5BC79A050654}"/>
    <cellStyle name="Currency 5 2 2 2 12 2" xfId="18133" xr:uid="{C54B6722-410F-4E82-8A99-FB4E47048DAE}"/>
    <cellStyle name="Currency 5 2 2 2 13" xfId="19049" xr:uid="{0528E9DE-1315-47C5-AB72-10741F9D2363}"/>
    <cellStyle name="Currency 5 2 2 2 14" xfId="27496" xr:uid="{B46DAA57-B553-472C-BE9F-DB9A44790304}"/>
    <cellStyle name="Currency 5 2 2 2 15" xfId="35943" xr:uid="{DF34BF64-5D85-402A-AFF8-9701EB445AB6}"/>
    <cellStyle name="Currency 5 2 2 2 16" xfId="9749" xr:uid="{0F73A503-CCC0-4020-8DE2-D05A1F4BA198}"/>
    <cellStyle name="Currency 5 2 2 2 2" xfId="197" xr:uid="{00000000-0005-0000-0000-00006D0B0000}"/>
    <cellStyle name="Currency 5 2 2 2 2 10" xfId="4641" xr:uid="{00000000-0005-0000-0000-00006E0B0000}"/>
    <cellStyle name="Currency 5 2 2 2 2 10 2" xfId="23267" xr:uid="{21A1A347-2024-4A34-ACE6-03BA87351F98}"/>
    <cellStyle name="Currency 5 2 2 2 2 10 3" xfId="31714" xr:uid="{601FE0DC-161F-47B1-94A4-1A2A0D8FAF40}"/>
    <cellStyle name="Currency 5 2 2 2 2 10 4" xfId="40161" xr:uid="{A2A34121-53E9-45F1-91CD-D0A3AA4916E9}"/>
    <cellStyle name="Currency 5 2 2 2 2 10 5" xfId="13967" xr:uid="{CB78C6D6-5CB2-42E8-B851-5BFF1D0030DB}"/>
    <cellStyle name="Currency 5 2 2 2 2 11" xfId="8912" xr:uid="{4079D27E-F98B-4445-AE20-FFD848158756}"/>
    <cellStyle name="Currency 5 2 2 2 2 11 2" xfId="18236" xr:uid="{1CC48B29-411E-4AD1-AA26-B5DD1DA4F030}"/>
    <cellStyle name="Currency 5 2 2 2 2 12" xfId="19050" xr:uid="{56C8E72E-31D9-4D49-8556-E57231BDC0DC}"/>
    <cellStyle name="Currency 5 2 2 2 2 13" xfId="27497" xr:uid="{1DF1B51F-4B64-485A-915D-CD5190969EA7}"/>
    <cellStyle name="Currency 5 2 2 2 2 14" xfId="35944" xr:uid="{26B232A2-9640-46B9-983D-A145BD557350}"/>
    <cellStyle name="Currency 5 2 2 2 2 15" xfId="9750" xr:uid="{F5EFCBFE-2ACC-4D9F-ABBA-05F889BA8DA0}"/>
    <cellStyle name="Currency 5 2 2 2 2 2" xfId="198" xr:uid="{00000000-0005-0000-0000-00006F0B0000}"/>
    <cellStyle name="Currency 5 2 2 2 2 2 10" xfId="9119" xr:uid="{2B97CFE9-E9FD-476D-A341-C695293642F3}"/>
    <cellStyle name="Currency 5 2 2 2 2 2 10 2" xfId="18443" xr:uid="{B5F2D566-A623-473A-A354-FE749F5B8919}"/>
    <cellStyle name="Currency 5 2 2 2 2 2 11" xfId="19051" xr:uid="{A4796F49-6FF7-4088-80D0-06A35DA4503E}"/>
    <cellStyle name="Currency 5 2 2 2 2 2 12" xfId="27498" xr:uid="{3B70D8EF-8859-4E41-8450-63F91F0E8820}"/>
    <cellStyle name="Currency 5 2 2 2 2 2 13" xfId="35945" xr:uid="{C4AF4C1B-16C9-4ADE-8D99-11FFB406C218}"/>
    <cellStyle name="Currency 5 2 2 2 2 2 14" xfId="9751" xr:uid="{03B3B1EE-F6C8-4A4B-AB97-D66D10C8795D}"/>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2 2 2" xfId="25827" xr:uid="{E2C235AC-8AB0-4E4B-8117-251CC20CB4C9}"/>
    <cellStyle name="Currency 5 2 2 2 2 2 2 2 2 3" xfId="34274" xr:uid="{A36276D3-A504-4115-B484-502ADEC0FEDF}"/>
    <cellStyle name="Currency 5 2 2 2 2 2 2 2 2 4" xfId="42721" xr:uid="{5CE09493-523F-4E7E-9F64-AD03D3EE8D19}"/>
    <cellStyle name="Currency 5 2 2 2 2 2 2 2 2 5" xfId="16527" xr:uid="{55F19E99-6DD7-4C67-931F-DBF0BD07BBD8}"/>
    <cellStyle name="Currency 5 2 2 2 2 2 2 2 3" xfId="21610" xr:uid="{509133D3-7040-4AD7-9864-B348689B0830}"/>
    <cellStyle name="Currency 5 2 2 2 2 2 2 2 4" xfId="30057" xr:uid="{A29FEC93-C33D-44EF-9E91-1D25B2356E62}"/>
    <cellStyle name="Currency 5 2 2 2 2 2 2 2 5" xfId="38504" xr:uid="{F82A7210-3F7E-4648-AA79-D6EF5ED08DE9}"/>
    <cellStyle name="Currency 5 2 2 2 2 2 2 2 6" xfId="12310" xr:uid="{D19FF29E-9844-4EE1-AC60-85854C913D72}"/>
    <cellStyle name="Currency 5 2 2 2 2 2 2 3" xfId="5056" xr:uid="{00000000-0005-0000-0000-0000730B0000}"/>
    <cellStyle name="Currency 5 2 2 2 2 2 2 3 2" xfId="23682" xr:uid="{7C14371A-3DA4-459A-9F25-A94C0C3C11C7}"/>
    <cellStyle name="Currency 5 2 2 2 2 2 2 3 3" xfId="32129" xr:uid="{B33A1729-483F-468A-9CCF-DCA09118DEC0}"/>
    <cellStyle name="Currency 5 2 2 2 2 2 2 3 4" xfId="40576" xr:uid="{ADD27C9F-A8BB-4817-BF4D-0F9811395FF5}"/>
    <cellStyle name="Currency 5 2 2 2 2 2 2 3 5" xfId="14382" xr:uid="{1D0863BB-F180-4A7A-9A05-C93555A4AA71}"/>
    <cellStyle name="Currency 5 2 2 2 2 2 2 4" xfId="9544" xr:uid="{77881B28-843C-4677-B92C-D2A5804BDB97}"/>
    <cellStyle name="Currency 5 2 2 2 2 2 2 4 2" xfId="18860" xr:uid="{7C38E05F-E60A-4EF0-ADAD-7B63D2411A9B}"/>
    <cellStyle name="Currency 5 2 2 2 2 2 2 5" xfId="19465" xr:uid="{5BA135EF-906F-4F00-84C6-7B0ACD21F6F1}"/>
    <cellStyle name="Currency 5 2 2 2 2 2 2 6" xfId="27912" xr:uid="{E83F59C7-872B-4F76-929B-09FDA109E527}"/>
    <cellStyle name="Currency 5 2 2 2 2 2 2 7" xfId="36359" xr:uid="{E6CBE58E-9221-4D7D-8994-32BCBC445243}"/>
    <cellStyle name="Currency 5 2 2 2 2 2 2 8" xfId="10165" xr:uid="{E14CEAB8-D925-47A5-88D4-6184EFA424D6}"/>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2 2 2" xfId="26240" xr:uid="{2B799226-FF1F-423B-A283-539A7CCC97AF}"/>
    <cellStyle name="Currency 5 2 2 2 2 2 3 2 2 3" xfId="34687" xr:uid="{B13F5F94-F167-4B5E-A3D5-E4A77F880A82}"/>
    <cellStyle name="Currency 5 2 2 2 2 2 3 2 2 4" xfId="43134" xr:uid="{887635D1-2495-4C0A-AB39-5D8DCAA87158}"/>
    <cellStyle name="Currency 5 2 2 2 2 2 3 2 2 5" xfId="16940" xr:uid="{27E38FE7-96DA-4E1F-83DE-80C47421ECCD}"/>
    <cellStyle name="Currency 5 2 2 2 2 2 3 2 3" xfId="22023" xr:uid="{93DB2571-3125-4AA6-B921-1F0F322EEBB2}"/>
    <cellStyle name="Currency 5 2 2 2 2 2 3 2 4" xfId="30470" xr:uid="{79769334-75ED-4EC7-A7CC-7307A07E0E81}"/>
    <cellStyle name="Currency 5 2 2 2 2 2 3 2 5" xfId="38917" xr:uid="{DA877E3C-4ECE-4979-AD02-DB179C0CABC2}"/>
    <cellStyle name="Currency 5 2 2 2 2 2 3 2 6" xfId="12723" xr:uid="{8E14AC93-0DA9-47D1-A1B4-FBE832FD8C4F}"/>
    <cellStyle name="Currency 5 2 2 2 2 2 3 3" xfId="5469" xr:uid="{00000000-0005-0000-0000-0000770B0000}"/>
    <cellStyle name="Currency 5 2 2 2 2 2 3 3 2" xfId="24095" xr:uid="{52AEAE6B-0BD7-4E52-85FA-AFA6058B819F}"/>
    <cellStyle name="Currency 5 2 2 2 2 2 3 3 3" xfId="32542" xr:uid="{B534F9F0-7624-4223-8E05-44973D3FEB99}"/>
    <cellStyle name="Currency 5 2 2 2 2 2 3 3 4" xfId="40989" xr:uid="{F6A90AFE-F20E-416D-9FC2-900E81C3C76F}"/>
    <cellStyle name="Currency 5 2 2 2 2 2 3 3 5" xfId="14795" xr:uid="{EC8D5DE9-F0DA-4843-BA31-FEBD9503F679}"/>
    <cellStyle name="Currency 5 2 2 2 2 2 3 4" xfId="19878" xr:uid="{0DECD30D-28A7-449F-B317-EFD8FD606648}"/>
    <cellStyle name="Currency 5 2 2 2 2 2 3 5" xfId="28325" xr:uid="{428265E6-99D8-4D8D-AD42-56896753FDD0}"/>
    <cellStyle name="Currency 5 2 2 2 2 2 3 6" xfId="36772" xr:uid="{6BA4270C-FE9F-489F-87EB-055A6F00C030}"/>
    <cellStyle name="Currency 5 2 2 2 2 2 3 7" xfId="10578" xr:uid="{B1605FC9-2AED-4608-B32E-D954FE7F6146}"/>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2 2 2" xfId="26653" xr:uid="{D3968EA7-66D4-4437-9DC5-69F2CC4A0884}"/>
    <cellStyle name="Currency 5 2 2 2 2 2 4 2 2 3" xfId="35100" xr:uid="{1B7C231C-B80B-4126-AA7C-5657E1B33B8C}"/>
    <cellStyle name="Currency 5 2 2 2 2 2 4 2 2 4" xfId="43547" xr:uid="{97C3C5D0-07EB-4953-B4EC-9A21403B4652}"/>
    <cellStyle name="Currency 5 2 2 2 2 2 4 2 2 5" xfId="17353" xr:uid="{6A32F410-716B-4A8B-94E0-C06641072128}"/>
    <cellStyle name="Currency 5 2 2 2 2 2 4 2 3" xfId="22436" xr:uid="{332E5BEA-5BFF-42D8-A7F0-E9B8FDF7B93D}"/>
    <cellStyle name="Currency 5 2 2 2 2 2 4 2 4" xfId="30883" xr:uid="{962E76C3-A160-48FA-AA3E-E6868F0FB8F4}"/>
    <cellStyle name="Currency 5 2 2 2 2 2 4 2 5" xfId="39330" xr:uid="{B8A7E345-9AA5-466E-9804-ED4DDE998644}"/>
    <cellStyle name="Currency 5 2 2 2 2 2 4 2 6" xfId="13136" xr:uid="{3351AE0B-20D1-46EA-9C8D-457329AC7546}"/>
    <cellStyle name="Currency 5 2 2 2 2 2 4 3" xfId="5882" xr:uid="{00000000-0005-0000-0000-00007B0B0000}"/>
    <cellStyle name="Currency 5 2 2 2 2 2 4 3 2" xfId="24508" xr:uid="{4D12B4C3-18D6-4673-A4E7-E7DA35DD069B}"/>
    <cellStyle name="Currency 5 2 2 2 2 2 4 3 3" xfId="32955" xr:uid="{AED9418E-DD09-4E5F-AC8E-29E561435E75}"/>
    <cellStyle name="Currency 5 2 2 2 2 2 4 3 4" xfId="41402" xr:uid="{4E0A1C2A-03CE-49CE-B7E4-FD49696E1415}"/>
    <cellStyle name="Currency 5 2 2 2 2 2 4 3 5" xfId="15208" xr:uid="{EE4533D9-5EDE-4377-9ED2-01B4BC1249C4}"/>
    <cellStyle name="Currency 5 2 2 2 2 2 4 4" xfId="20291" xr:uid="{37E1EB51-9917-4F95-A1BD-5796397E25E4}"/>
    <cellStyle name="Currency 5 2 2 2 2 2 4 5" xfId="28738" xr:uid="{37A2AAE4-59F8-43E4-AF86-7AC5490742FF}"/>
    <cellStyle name="Currency 5 2 2 2 2 2 4 6" xfId="37185" xr:uid="{FCE79122-3648-460F-B5FF-978D87D58DA3}"/>
    <cellStyle name="Currency 5 2 2 2 2 2 4 7" xfId="10991" xr:uid="{A4D61453-FFFD-444D-B30F-67D80FD6D61F}"/>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2 2 2" xfId="27066" xr:uid="{D06346C6-9121-4CC8-A7E3-5A108CD7698D}"/>
    <cellStyle name="Currency 5 2 2 2 2 2 5 2 2 3" xfId="35513" xr:uid="{E0820B48-5DCE-47B9-95CA-2522D4B90E3C}"/>
    <cellStyle name="Currency 5 2 2 2 2 2 5 2 2 4" xfId="43960" xr:uid="{6083E91A-0636-42B2-BC1B-59187B6DF3E2}"/>
    <cellStyle name="Currency 5 2 2 2 2 2 5 2 2 5" xfId="17766" xr:uid="{1AFA1B0D-F798-445C-9132-84953ABBA88C}"/>
    <cellStyle name="Currency 5 2 2 2 2 2 5 2 3" xfId="22849" xr:uid="{C12993FD-C89D-4001-8BF8-2429D9A89B4A}"/>
    <cellStyle name="Currency 5 2 2 2 2 2 5 2 4" xfId="31296" xr:uid="{AFFD01F4-077E-4C7B-B296-629133535A37}"/>
    <cellStyle name="Currency 5 2 2 2 2 2 5 2 5" xfId="39743" xr:uid="{90355F31-090C-4FC9-A5C6-F901D6C0D05F}"/>
    <cellStyle name="Currency 5 2 2 2 2 2 5 2 6" xfId="13549" xr:uid="{CD2E1ACE-A399-467F-AF46-72F4ACEF38FC}"/>
    <cellStyle name="Currency 5 2 2 2 2 2 5 3" xfId="6295" xr:uid="{00000000-0005-0000-0000-00007F0B0000}"/>
    <cellStyle name="Currency 5 2 2 2 2 2 5 3 2" xfId="24921" xr:uid="{00467F8C-233B-4829-9E34-7874FF2F1010}"/>
    <cellStyle name="Currency 5 2 2 2 2 2 5 3 3" xfId="33368" xr:uid="{CB47ECA6-E8FC-4193-A4AE-7A8E8C8D9E42}"/>
    <cellStyle name="Currency 5 2 2 2 2 2 5 3 4" xfId="41815" xr:uid="{B58D7057-3607-4DD2-A4E9-E344F79CB4B5}"/>
    <cellStyle name="Currency 5 2 2 2 2 2 5 3 5" xfId="15621" xr:uid="{94D441C5-8991-49EE-B364-4F860391A5B8}"/>
    <cellStyle name="Currency 5 2 2 2 2 2 5 4" xfId="20704" xr:uid="{5D74BAB8-CD83-4F98-9829-EEA4AB8BF19D}"/>
    <cellStyle name="Currency 5 2 2 2 2 2 5 5" xfId="29151" xr:uid="{207A6C5B-2D0A-42A0-867E-6712C92A4467}"/>
    <cellStyle name="Currency 5 2 2 2 2 2 5 6" xfId="37598" xr:uid="{3EE6BD88-FADA-4A70-8219-C96DFCE98926}"/>
    <cellStyle name="Currency 5 2 2 2 2 2 5 7" xfId="11404" xr:uid="{C640E6F9-A1B5-4C05-BA2D-D8D5200BE5E7}"/>
    <cellStyle name="Currency 5 2 2 2 2 2 6" xfId="2424" xr:uid="{00000000-0005-0000-0000-0000800B0000}"/>
    <cellStyle name="Currency 5 2 2 2 2 2 6 2" xfId="6708" xr:uid="{00000000-0005-0000-0000-0000810B0000}"/>
    <cellStyle name="Currency 5 2 2 2 2 2 6 2 2" xfId="25334" xr:uid="{D5B60C57-1B6A-4555-B314-13D91E3A36DD}"/>
    <cellStyle name="Currency 5 2 2 2 2 2 6 2 3" xfId="33781" xr:uid="{B91F42B8-A930-4A82-87AB-E73F1C7625FF}"/>
    <cellStyle name="Currency 5 2 2 2 2 2 6 2 4" xfId="42228" xr:uid="{5C769A1F-DF15-48AB-8F12-3A4E95CEC723}"/>
    <cellStyle name="Currency 5 2 2 2 2 2 6 2 5" xfId="16034" xr:uid="{C65F7C9B-8AAB-4F11-964A-2C1F7BE9C756}"/>
    <cellStyle name="Currency 5 2 2 2 2 2 6 3" xfId="21117" xr:uid="{8E12F4FA-7C90-4A5E-BAD9-96BCBD668969}"/>
    <cellStyle name="Currency 5 2 2 2 2 2 6 4" xfId="29564" xr:uid="{F04BDE08-C987-42CA-B36F-0A4C3088CCAD}"/>
    <cellStyle name="Currency 5 2 2 2 2 2 6 5" xfId="38011" xr:uid="{25CC4F24-DA32-4763-AA2A-150246E39C88}"/>
    <cellStyle name="Currency 5 2 2 2 2 2 6 6" xfId="11817" xr:uid="{CCD147B4-9F0E-4232-A68F-6CFBFB004B2A}"/>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8 2 2" xfId="25651" xr:uid="{67B44EE4-C415-40E2-9D59-98E7598C9A37}"/>
    <cellStyle name="Currency 5 2 2 2 2 2 8 2 3" xfId="34098" xr:uid="{7E01EDD6-2F13-499A-9902-8B3A7309C8D4}"/>
    <cellStyle name="Currency 5 2 2 2 2 2 8 2 4" xfId="42545" xr:uid="{C904F417-5CDD-45B0-8AE9-D964DBBE52D7}"/>
    <cellStyle name="Currency 5 2 2 2 2 2 8 2 5" xfId="16351" xr:uid="{841B35E9-B59B-4822-B842-0DCC6212A540}"/>
    <cellStyle name="Currency 5 2 2 2 2 2 8 3" xfId="21434" xr:uid="{B1CABAE3-6E80-41E3-83D3-BD99252C59F7}"/>
    <cellStyle name="Currency 5 2 2 2 2 2 8 4" xfId="29881" xr:uid="{70A10BA3-333A-4338-B466-FB6DCB8D42D1}"/>
    <cellStyle name="Currency 5 2 2 2 2 2 8 5" xfId="38328" xr:uid="{2BE4ADBD-CA30-4008-A0AE-DDBC92EA93D0}"/>
    <cellStyle name="Currency 5 2 2 2 2 2 8 6" xfId="12134" xr:uid="{B773E437-E39A-445D-A04C-C75F4765A1CA}"/>
    <cellStyle name="Currency 5 2 2 2 2 2 9" xfId="4642" xr:uid="{00000000-0005-0000-0000-0000850B0000}"/>
    <cellStyle name="Currency 5 2 2 2 2 2 9 2" xfId="23268" xr:uid="{85686EB9-9097-4FC5-9558-D0AE181A0BC7}"/>
    <cellStyle name="Currency 5 2 2 2 2 2 9 3" xfId="31715" xr:uid="{14B495AC-CB26-4FBA-A901-D3A84E26CA53}"/>
    <cellStyle name="Currency 5 2 2 2 2 2 9 4" xfId="40162" xr:uid="{9B3797C9-A2DA-4643-9772-D7AD198FB859}"/>
    <cellStyle name="Currency 5 2 2 2 2 2 9 5" xfId="13968" xr:uid="{BF0230FF-A9A5-4BA7-9C4B-9D1FE1F7777D}"/>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2 2 2" xfId="25826" xr:uid="{A38CB9EA-89FE-4DFB-A10E-4F0EB68B318E}"/>
    <cellStyle name="Currency 5 2 2 2 2 3 2 2 3" xfId="34273" xr:uid="{B034ACA6-4F2A-408F-8799-3F9BB8D2B807}"/>
    <cellStyle name="Currency 5 2 2 2 2 3 2 2 4" xfId="42720" xr:uid="{0F95EC0C-18FF-438A-9321-F10371E3550B}"/>
    <cellStyle name="Currency 5 2 2 2 2 3 2 2 5" xfId="16526" xr:uid="{DADFE567-B721-4891-ABA5-23BDB08A822F}"/>
    <cellStyle name="Currency 5 2 2 2 2 3 2 3" xfId="21609" xr:uid="{BC85C265-D1B2-423D-9565-D43805FDFC56}"/>
    <cellStyle name="Currency 5 2 2 2 2 3 2 4" xfId="30056" xr:uid="{1462568C-A4DC-46B6-8401-850024085C8B}"/>
    <cellStyle name="Currency 5 2 2 2 2 3 2 5" xfId="38503" xr:uid="{CB63995A-0E56-4672-B050-B534F87A61D0}"/>
    <cellStyle name="Currency 5 2 2 2 2 3 2 6" xfId="12309" xr:uid="{5901A520-D28A-47BE-B1EA-118443E1E4EA}"/>
    <cellStyle name="Currency 5 2 2 2 2 3 3" xfId="5055" xr:uid="{00000000-0005-0000-0000-0000890B0000}"/>
    <cellStyle name="Currency 5 2 2 2 2 3 3 2" xfId="23681" xr:uid="{E59B6EE9-F8DA-4061-9EE0-26EB7A82EA5D}"/>
    <cellStyle name="Currency 5 2 2 2 2 3 3 3" xfId="32128" xr:uid="{F1D13A5A-F616-483C-A7A9-BCDE79CD78DF}"/>
    <cellStyle name="Currency 5 2 2 2 2 3 3 4" xfId="40575" xr:uid="{46462EE6-30BE-4CE2-AA33-9CC9DA93193F}"/>
    <cellStyle name="Currency 5 2 2 2 2 3 3 5" xfId="14381" xr:uid="{D46C8CF0-30A6-4216-9E51-0FF74FCD80AC}"/>
    <cellStyle name="Currency 5 2 2 2 2 3 4" xfId="9337" xr:uid="{A1FF44B9-A8E0-4A4E-9BE9-DA7FD7E326AE}"/>
    <cellStyle name="Currency 5 2 2 2 2 3 4 2" xfId="18653" xr:uid="{265DE2D6-836C-4B64-9CC4-97EDC6F029BF}"/>
    <cellStyle name="Currency 5 2 2 2 2 3 5" xfId="19464" xr:uid="{A40DA03A-78EB-4CC8-8322-3FDBEC07C288}"/>
    <cellStyle name="Currency 5 2 2 2 2 3 6" xfId="27911" xr:uid="{8A4C5199-DE59-486A-B9C6-F0EFD1FCC6B7}"/>
    <cellStyle name="Currency 5 2 2 2 2 3 7" xfId="36358" xr:uid="{344A80EF-E76C-4C48-BEA6-AF5F6AB296B7}"/>
    <cellStyle name="Currency 5 2 2 2 2 3 8" xfId="10164" xr:uid="{70B19797-C4FC-4091-AB26-470307E35956}"/>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2 2 2" xfId="26239" xr:uid="{261EB844-EBEB-427B-8F11-0935077F252F}"/>
    <cellStyle name="Currency 5 2 2 2 2 4 2 2 3" xfId="34686" xr:uid="{526A26FB-1418-4AE5-9AF9-B51C1D5B9806}"/>
    <cellStyle name="Currency 5 2 2 2 2 4 2 2 4" xfId="43133" xr:uid="{FF7D407F-CA22-4E3A-9F52-60C2C9F4E631}"/>
    <cellStyle name="Currency 5 2 2 2 2 4 2 2 5" xfId="16939" xr:uid="{B1A03F30-254B-4461-8910-407AA057D253}"/>
    <cellStyle name="Currency 5 2 2 2 2 4 2 3" xfId="22022" xr:uid="{9C4F3329-7E61-4D50-BDAE-886E894BBB79}"/>
    <cellStyle name="Currency 5 2 2 2 2 4 2 4" xfId="30469" xr:uid="{451F89CD-5768-4094-A2DE-642D962E1E80}"/>
    <cellStyle name="Currency 5 2 2 2 2 4 2 5" xfId="38916" xr:uid="{2A2D06DD-7D16-48E9-A26C-558E4C5F17D3}"/>
    <cellStyle name="Currency 5 2 2 2 2 4 2 6" xfId="12722" xr:uid="{A59310D6-06C0-4570-830F-1F4DFD42CDB9}"/>
    <cellStyle name="Currency 5 2 2 2 2 4 3" xfId="5468" xr:uid="{00000000-0005-0000-0000-00008D0B0000}"/>
    <cellStyle name="Currency 5 2 2 2 2 4 3 2" xfId="24094" xr:uid="{C79A52AA-D609-409A-9190-58DE3842BE30}"/>
    <cellStyle name="Currency 5 2 2 2 2 4 3 3" xfId="32541" xr:uid="{15564F47-3618-4D1E-9BAD-B5720CA62D37}"/>
    <cellStyle name="Currency 5 2 2 2 2 4 3 4" xfId="40988" xr:uid="{B3160E10-3979-40D4-A39A-C3016F3E4B2D}"/>
    <cellStyle name="Currency 5 2 2 2 2 4 3 5" xfId="14794" xr:uid="{FA1BD040-885A-4D56-A015-AE1AC5B04CAA}"/>
    <cellStyle name="Currency 5 2 2 2 2 4 4" xfId="19877" xr:uid="{A0275548-6EB1-4160-9AE3-3EE984FF989E}"/>
    <cellStyle name="Currency 5 2 2 2 2 4 5" xfId="28324" xr:uid="{EB1C50E0-D700-45FE-8A7D-DB58B982AFF1}"/>
    <cellStyle name="Currency 5 2 2 2 2 4 6" xfId="36771" xr:uid="{C293640B-304D-41F1-AEB8-23DAB9C8BDE8}"/>
    <cellStyle name="Currency 5 2 2 2 2 4 7" xfId="10577" xr:uid="{4162C67F-3978-49EE-92DD-CB744E8EE4BB}"/>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2 2 2" xfId="26652" xr:uid="{C40D6816-D3E5-48FB-B18D-D49C6E7286BE}"/>
    <cellStyle name="Currency 5 2 2 2 2 5 2 2 3" xfId="35099" xr:uid="{85695FF9-B3AA-4B1B-8C2A-45B63E349754}"/>
    <cellStyle name="Currency 5 2 2 2 2 5 2 2 4" xfId="43546" xr:uid="{8EA49992-0D79-47F7-BDEC-B5819E387920}"/>
    <cellStyle name="Currency 5 2 2 2 2 5 2 2 5" xfId="17352" xr:uid="{347BF880-A763-493F-9E7E-414626C9977C}"/>
    <cellStyle name="Currency 5 2 2 2 2 5 2 3" xfId="22435" xr:uid="{DFD291CC-D5E6-4586-AA46-C4605805D276}"/>
    <cellStyle name="Currency 5 2 2 2 2 5 2 4" xfId="30882" xr:uid="{0A5F6F79-2D8D-4ABB-9AE2-676E1D772688}"/>
    <cellStyle name="Currency 5 2 2 2 2 5 2 5" xfId="39329" xr:uid="{A8167BF7-25D2-436A-89FB-BF802AF8B891}"/>
    <cellStyle name="Currency 5 2 2 2 2 5 2 6" xfId="13135" xr:uid="{387DFA0E-6356-45B1-8869-6A4BFA41FDCE}"/>
    <cellStyle name="Currency 5 2 2 2 2 5 3" xfId="5881" xr:uid="{00000000-0005-0000-0000-0000910B0000}"/>
    <cellStyle name="Currency 5 2 2 2 2 5 3 2" xfId="24507" xr:uid="{8612C69D-C6DE-434D-AE08-0829A3AA0FD3}"/>
    <cellStyle name="Currency 5 2 2 2 2 5 3 3" xfId="32954" xr:uid="{4BCB3F0C-1E0D-4072-B08A-AC6C82F985C8}"/>
    <cellStyle name="Currency 5 2 2 2 2 5 3 4" xfId="41401" xr:uid="{42D8E8E6-A507-44B2-AEC8-30D641AE49B9}"/>
    <cellStyle name="Currency 5 2 2 2 2 5 3 5" xfId="15207" xr:uid="{FE991AF9-37D4-483B-9300-AF53C5595141}"/>
    <cellStyle name="Currency 5 2 2 2 2 5 4" xfId="20290" xr:uid="{F8CB86D5-79C4-4F7F-A124-BBDDB1AC4EF7}"/>
    <cellStyle name="Currency 5 2 2 2 2 5 5" xfId="28737" xr:uid="{7FAC3595-D762-4B21-B232-818F1BEA50A9}"/>
    <cellStyle name="Currency 5 2 2 2 2 5 6" xfId="37184" xr:uid="{17544772-E2A0-4F99-BC7C-29C046F0BFAF}"/>
    <cellStyle name="Currency 5 2 2 2 2 5 7" xfId="10990" xr:uid="{F3B6808A-BE11-4148-9991-1CAD8FA3B8B6}"/>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2 2 2" xfId="27065" xr:uid="{04128189-F54A-40F2-8102-659D9E9D7E4E}"/>
    <cellStyle name="Currency 5 2 2 2 2 6 2 2 3" xfId="35512" xr:uid="{062723D9-5BA2-4594-8A51-AE322F2C7C34}"/>
    <cellStyle name="Currency 5 2 2 2 2 6 2 2 4" xfId="43959" xr:uid="{1AE4631F-C1C9-40BB-917A-6A5BEC406245}"/>
    <cellStyle name="Currency 5 2 2 2 2 6 2 2 5" xfId="17765" xr:uid="{4E9BC574-BA45-46C0-9FB3-E8FBDC756DA7}"/>
    <cellStyle name="Currency 5 2 2 2 2 6 2 3" xfId="22848" xr:uid="{6E5A1746-DEA9-4422-94B5-85513C615400}"/>
    <cellStyle name="Currency 5 2 2 2 2 6 2 4" xfId="31295" xr:uid="{0959E93C-3195-48E6-9C42-DC6B3B6F2164}"/>
    <cellStyle name="Currency 5 2 2 2 2 6 2 5" xfId="39742" xr:uid="{0D256B78-687B-4350-84F4-AD255F9857F5}"/>
    <cellStyle name="Currency 5 2 2 2 2 6 2 6" xfId="13548" xr:uid="{8D249118-7D77-4828-9452-8B32E35F375F}"/>
    <cellStyle name="Currency 5 2 2 2 2 6 3" xfId="6294" xr:uid="{00000000-0005-0000-0000-0000950B0000}"/>
    <cellStyle name="Currency 5 2 2 2 2 6 3 2" xfId="24920" xr:uid="{E484944F-328C-4D80-98D6-28685E7ADBD5}"/>
    <cellStyle name="Currency 5 2 2 2 2 6 3 3" xfId="33367" xr:uid="{292BA682-BC67-4484-88A5-BF7823166EBE}"/>
    <cellStyle name="Currency 5 2 2 2 2 6 3 4" xfId="41814" xr:uid="{132F52A9-6FC0-4D87-95AB-45CBEF250F1C}"/>
    <cellStyle name="Currency 5 2 2 2 2 6 3 5" xfId="15620" xr:uid="{D8BD946D-FAC3-4740-B81B-A465B53F6B6E}"/>
    <cellStyle name="Currency 5 2 2 2 2 6 4" xfId="20703" xr:uid="{8F4E29BE-A7CE-441D-A31E-76C299F9CE09}"/>
    <cellStyle name="Currency 5 2 2 2 2 6 5" xfId="29150" xr:uid="{426CE5AC-248A-45F6-99BB-85304EA0EB8D}"/>
    <cellStyle name="Currency 5 2 2 2 2 6 6" xfId="37597" xr:uid="{593FF046-8F68-4660-BB2F-4B02049A6576}"/>
    <cellStyle name="Currency 5 2 2 2 2 6 7" xfId="11403" xr:uid="{CADAB3DA-EC35-4891-BB7A-4116A5930ADA}"/>
    <cellStyle name="Currency 5 2 2 2 2 7" xfId="2423" xr:uid="{00000000-0005-0000-0000-0000960B0000}"/>
    <cellStyle name="Currency 5 2 2 2 2 7 2" xfId="6707" xr:uid="{00000000-0005-0000-0000-0000970B0000}"/>
    <cellStyle name="Currency 5 2 2 2 2 7 2 2" xfId="25333" xr:uid="{BB443CAF-72B0-4053-8063-8B3072320CE9}"/>
    <cellStyle name="Currency 5 2 2 2 2 7 2 3" xfId="33780" xr:uid="{491ABDA7-A48B-486B-8AA4-1D3E268A6AE3}"/>
    <cellStyle name="Currency 5 2 2 2 2 7 2 4" xfId="42227" xr:uid="{ADF781C3-CECE-49E6-8BEF-DBFDA76318ED}"/>
    <cellStyle name="Currency 5 2 2 2 2 7 2 5" xfId="16033" xr:uid="{FB65B3C7-11CB-4058-8ED1-118A963A7588}"/>
    <cellStyle name="Currency 5 2 2 2 2 7 3" xfId="21116" xr:uid="{809427D4-824C-4F9B-9FF7-3A16992837D3}"/>
    <cellStyle name="Currency 5 2 2 2 2 7 4" xfId="29563" xr:uid="{D0C83108-4DBB-430F-B126-BF7E251F92DC}"/>
    <cellStyle name="Currency 5 2 2 2 2 7 5" xfId="38010" xr:uid="{4574700C-0315-44FF-8A94-70F50A5681D2}"/>
    <cellStyle name="Currency 5 2 2 2 2 7 6" xfId="11816" xr:uid="{AF6CE5AE-8012-460E-85FE-2C75D35B16F9}"/>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2 9 2 2" xfId="25650" xr:uid="{47777F8D-A9E0-415E-8F21-008905EE7C2B}"/>
    <cellStyle name="Currency 5 2 2 2 2 9 2 3" xfId="34097" xr:uid="{82ABE36B-81F0-4E8B-BADA-E9AA40E2EE71}"/>
    <cellStyle name="Currency 5 2 2 2 2 9 2 4" xfId="42544" xr:uid="{B1412CD5-ABDD-4121-B82D-2FC655A37743}"/>
    <cellStyle name="Currency 5 2 2 2 2 9 2 5" xfId="16350" xr:uid="{B9DCFE93-F102-47D7-A0C3-1992DD55F7A2}"/>
    <cellStyle name="Currency 5 2 2 2 2 9 3" xfId="21433" xr:uid="{983578C8-DEC8-4134-93DB-79932ABC3477}"/>
    <cellStyle name="Currency 5 2 2 2 2 9 4" xfId="29880" xr:uid="{B2601D6A-4CBE-46A1-B09E-D644E3E6AB22}"/>
    <cellStyle name="Currency 5 2 2 2 2 9 5" xfId="38327" xr:uid="{526AE4F0-199F-47C8-BA52-DCE495673BD8}"/>
    <cellStyle name="Currency 5 2 2 2 2 9 6" xfId="12133" xr:uid="{46A99739-D603-46C5-A612-57DA7B73F319}"/>
    <cellStyle name="Currency 5 2 2 2 3" xfId="199" xr:uid="{00000000-0005-0000-0000-00009B0B0000}"/>
    <cellStyle name="Currency 5 2 2 2 3 10" xfId="9016" xr:uid="{706F9706-E49D-4995-B402-A842C879DBC8}"/>
    <cellStyle name="Currency 5 2 2 2 3 10 2" xfId="18340" xr:uid="{0E964978-5557-4B48-9968-3F00C95A14D1}"/>
    <cellStyle name="Currency 5 2 2 2 3 11" xfId="19052" xr:uid="{F81C5101-FC29-4549-8814-B13B77DE44F5}"/>
    <cellStyle name="Currency 5 2 2 2 3 12" xfId="27499" xr:uid="{74D408A2-EECE-45B9-8D3F-7DFA281CED64}"/>
    <cellStyle name="Currency 5 2 2 2 3 13" xfId="35946" xr:uid="{C2292755-C309-4DA3-AC04-7663720ACE12}"/>
    <cellStyle name="Currency 5 2 2 2 3 14" xfId="9752" xr:uid="{98B56D4F-2F78-4DED-8159-0106FDCB11C4}"/>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2 2 2" xfId="25828" xr:uid="{A96E8443-581B-4EE9-B0A9-5B0F6DA90628}"/>
    <cellStyle name="Currency 5 2 2 2 3 2 2 2 3" xfId="34275" xr:uid="{A52D8BB6-4F39-4442-AF80-CB0FDF7DEEA8}"/>
    <cellStyle name="Currency 5 2 2 2 3 2 2 2 4" xfId="42722" xr:uid="{9FCD9358-56BE-400D-AB0A-B6165E19F9C8}"/>
    <cellStyle name="Currency 5 2 2 2 3 2 2 2 5" xfId="16528" xr:uid="{106C87A8-1A88-438D-9C8A-5F7174E443F3}"/>
    <cellStyle name="Currency 5 2 2 2 3 2 2 3" xfId="21611" xr:uid="{9E97545F-7A74-4590-970B-397CA76BA263}"/>
    <cellStyle name="Currency 5 2 2 2 3 2 2 4" xfId="30058" xr:uid="{E0339307-CF5F-4676-BC89-3F403F160CF9}"/>
    <cellStyle name="Currency 5 2 2 2 3 2 2 5" xfId="38505" xr:uid="{67C2AE81-E305-4769-95E0-F4288BC8E731}"/>
    <cellStyle name="Currency 5 2 2 2 3 2 2 6" xfId="12311" xr:uid="{03AF3F52-4F71-4CAD-8271-8A839D5E0168}"/>
    <cellStyle name="Currency 5 2 2 2 3 2 3" xfId="5057" xr:uid="{00000000-0005-0000-0000-00009F0B0000}"/>
    <cellStyle name="Currency 5 2 2 2 3 2 3 2" xfId="23683" xr:uid="{F23E38AD-92AF-4739-A28C-4EDF8EE2A9EF}"/>
    <cellStyle name="Currency 5 2 2 2 3 2 3 3" xfId="32130" xr:uid="{1DBC90D1-937B-4EFD-B826-2EC69333D7DB}"/>
    <cellStyle name="Currency 5 2 2 2 3 2 3 4" xfId="40577" xr:uid="{2E5A380B-38EE-4185-9553-7C123BF85E40}"/>
    <cellStyle name="Currency 5 2 2 2 3 2 3 5" xfId="14383" xr:uid="{3A236BA3-520C-4EF0-9583-91E04B7AE205}"/>
    <cellStyle name="Currency 5 2 2 2 3 2 4" xfId="9441" xr:uid="{B7048274-E02F-4E6A-9C9A-FAD4299F19B1}"/>
    <cellStyle name="Currency 5 2 2 2 3 2 4 2" xfId="18757" xr:uid="{B2B66A1E-AD8D-41C6-A1A7-EE0BDD4764CE}"/>
    <cellStyle name="Currency 5 2 2 2 3 2 5" xfId="19466" xr:uid="{9879FA4C-3AC6-47C0-B6C5-7EA80556D084}"/>
    <cellStyle name="Currency 5 2 2 2 3 2 6" xfId="27913" xr:uid="{FBC721F5-A930-475D-A34D-32D9D0A2E9B5}"/>
    <cellStyle name="Currency 5 2 2 2 3 2 7" xfId="36360" xr:uid="{B09427F0-8317-440F-8E92-7747A2AFADA7}"/>
    <cellStyle name="Currency 5 2 2 2 3 2 8" xfId="10166" xr:uid="{FE88AB5A-7A85-451D-BDB1-D76E7D652BCF}"/>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2 2 2" xfId="26241" xr:uid="{DD7DFDA6-9F7E-4083-B97F-055454209F45}"/>
    <cellStyle name="Currency 5 2 2 2 3 3 2 2 3" xfId="34688" xr:uid="{DD7DA71E-BAF0-4850-8EC1-ADB61BCA1F8A}"/>
    <cellStyle name="Currency 5 2 2 2 3 3 2 2 4" xfId="43135" xr:uid="{C1A08545-1522-4494-AEBE-69943A8624EA}"/>
    <cellStyle name="Currency 5 2 2 2 3 3 2 2 5" xfId="16941" xr:uid="{5C24192A-20AE-4BE3-B544-646CAB3CCD31}"/>
    <cellStyle name="Currency 5 2 2 2 3 3 2 3" xfId="22024" xr:uid="{5AF847E1-234E-4C9E-ABE0-59C7C89161B8}"/>
    <cellStyle name="Currency 5 2 2 2 3 3 2 4" xfId="30471" xr:uid="{B3E61E6C-FD35-44CF-ABFE-041E70BB59C4}"/>
    <cellStyle name="Currency 5 2 2 2 3 3 2 5" xfId="38918" xr:uid="{2C6B90FD-DB58-496C-885F-D0B5587C8273}"/>
    <cellStyle name="Currency 5 2 2 2 3 3 2 6" xfId="12724" xr:uid="{62DB9364-381D-4323-9390-36F7F273A79B}"/>
    <cellStyle name="Currency 5 2 2 2 3 3 3" xfId="5470" xr:uid="{00000000-0005-0000-0000-0000A30B0000}"/>
    <cellStyle name="Currency 5 2 2 2 3 3 3 2" xfId="24096" xr:uid="{286D7482-1330-4AB2-B899-A58314EDE0B4}"/>
    <cellStyle name="Currency 5 2 2 2 3 3 3 3" xfId="32543" xr:uid="{88603030-D381-41E3-965B-0EB364788434}"/>
    <cellStyle name="Currency 5 2 2 2 3 3 3 4" xfId="40990" xr:uid="{21811463-E05D-452D-A85F-14A0FD389997}"/>
    <cellStyle name="Currency 5 2 2 2 3 3 3 5" xfId="14796" xr:uid="{16A34987-FCE3-4BF8-954C-1C842AB92B13}"/>
    <cellStyle name="Currency 5 2 2 2 3 3 4" xfId="19879" xr:uid="{3F38D84C-783D-44BB-9110-837340EED6DA}"/>
    <cellStyle name="Currency 5 2 2 2 3 3 5" xfId="28326" xr:uid="{079AEFE0-4831-4C79-B6BC-EA65363849B0}"/>
    <cellStyle name="Currency 5 2 2 2 3 3 6" xfId="36773" xr:uid="{EF83E166-6E58-405E-B324-0DD37800D056}"/>
    <cellStyle name="Currency 5 2 2 2 3 3 7" xfId="10579" xr:uid="{35B8539F-6405-44EE-B4FB-7D43FBEA625F}"/>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2 2 2" xfId="26654" xr:uid="{4B8B04B7-3928-4ED6-99BE-40F5F10CA0F6}"/>
    <cellStyle name="Currency 5 2 2 2 3 4 2 2 3" xfId="35101" xr:uid="{3BBDE2FD-A8C4-49C2-90B7-83F9CD87D514}"/>
    <cellStyle name="Currency 5 2 2 2 3 4 2 2 4" xfId="43548" xr:uid="{0ABC7BA3-1012-45D7-BC97-CA5E0609B7EA}"/>
    <cellStyle name="Currency 5 2 2 2 3 4 2 2 5" xfId="17354" xr:uid="{4D18BFF3-F460-48BA-BA84-1B5220CEAB48}"/>
    <cellStyle name="Currency 5 2 2 2 3 4 2 3" xfId="22437" xr:uid="{CCC1B1E5-D169-4008-BF42-873A5E8A338D}"/>
    <cellStyle name="Currency 5 2 2 2 3 4 2 4" xfId="30884" xr:uid="{CE155F41-4FC3-41E0-A89B-A209D27C1A51}"/>
    <cellStyle name="Currency 5 2 2 2 3 4 2 5" xfId="39331" xr:uid="{3ADB833E-2069-434F-B269-148900564A1F}"/>
    <cellStyle name="Currency 5 2 2 2 3 4 2 6" xfId="13137" xr:uid="{0BD065DE-95CF-4036-9CC7-068626374605}"/>
    <cellStyle name="Currency 5 2 2 2 3 4 3" xfId="5883" xr:uid="{00000000-0005-0000-0000-0000A70B0000}"/>
    <cellStyle name="Currency 5 2 2 2 3 4 3 2" xfId="24509" xr:uid="{9F8916F5-2487-49C4-87E7-F301523CB74C}"/>
    <cellStyle name="Currency 5 2 2 2 3 4 3 3" xfId="32956" xr:uid="{CD1DD768-4AD3-47B6-9CBA-BF9D374E6A51}"/>
    <cellStyle name="Currency 5 2 2 2 3 4 3 4" xfId="41403" xr:uid="{FFE6F5BF-7D45-49CC-8F21-EE2D961BB889}"/>
    <cellStyle name="Currency 5 2 2 2 3 4 3 5" xfId="15209" xr:uid="{16FBE390-4F25-4922-A2D9-700BAF3CAF1D}"/>
    <cellStyle name="Currency 5 2 2 2 3 4 4" xfId="20292" xr:uid="{631BF2C7-C93D-46C5-8D99-71F6A0E1A9D7}"/>
    <cellStyle name="Currency 5 2 2 2 3 4 5" xfId="28739" xr:uid="{FB67BFE8-03EB-4CF6-A4F1-3DA5510ECAC6}"/>
    <cellStyle name="Currency 5 2 2 2 3 4 6" xfId="37186" xr:uid="{BB320C39-8D2C-47C5-9CA5-AC277D2A953B}"/>
    <cellStyle name="Currency 5 2 2 2 3 4 7" xfId="10992" xr:uid="{052754C7-1FBD-444A-B359-53F36740CA29}"/>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2 2 2" xfId="27067" xr:uid="{D9D7127A-B89C-43E4-AFED-7A75941F78AC}"/>
    <cellStyle name="Currency 5 2 2 2 3 5 2 2 3" xfId="35514" xr:uid="{B5A66310-30EB-46D7-868C-8ADE5B9F9AF5}"/>
    <cellStyle name="Currency 5 2 2 2 3 5 2 2 4" xfId="43961" xr:uid="{15FE4599-32EC-4C5F-B734-AFD7D9360E70}"/>
    <cellStyle name="Currency 5 2 2 2 3 5 2 2 5" xfId="17767" xr:uid="{96F0DD5E-5349-4123-A2EC-40EE3CA0EFF7}"/>
    <cellStyle name="Currency 5 2 2 2 3 5 2 3" xfId="22850" xr:uid="{07181F1D-1DE2-4ECD-9C61-68E1BEE6DE51}"/>
    <cellStyle name="Currency 5 2 2 2 3 5 2 4" xfId="31297" xr:uid="{BC90A1F7-4E03-48D8-BE63-BE44A6862553}"/>
    <cellStyle name="Currency 5 2 2 2 3 5 2 5" xfId="39744" xr:uid="{A9B5273C-E15C-4650-831B-40B489CB0B9E}"/>
    <cellStyle name="Currency 5 2 2 2 3 5 2 6" xfId="13550" xr:uid="{2C3697EC-D5BC-4F02-9E61-EBC5CB340D79}"/>
    <cellStyle name="Currency 5 2 2 2 3 5 3" xfId="6296" xr:uid="{00000000-0005-0000-0000-0000AB0B0000}"/>
    <cellStyle name="Currency 5 2 2 2 3 5 3 2" xfId="24922" xr:uid="{E712D335-8356-4CF0-BAF7-5E605C8CA1AD}"/>
    <cellStyle name="Currency 5 2 2 2 3 5 3 3" xfId="33369" xr:uid="{F466D599-2697-48CC-BBF0-8E7253672AE1}"/>
    <cellStyle name="Currency 5 2 2 2 3 5 3 4" xfId="41816" xr:uid="{3A6CEA71-E610-41F0-B367-4F1BE9FA9BD7}"/>
    <cellStyle name="Currency 5 2 2 2 3 5 3 5" xfId="15622" xr:uid="{C7607930-F756-4920-AD24-3C3EED1F0E7B}"/>
    <cellStyle name="Currency 5 2 2 2 3 5 4" xfId="20705" xr:uid="{7E0D9DBE-E523-48C8-9F0F-E25A02BE0A5E}"/>
    <cellStyle name="Currency 5 2 2 2 3 5 5" xfId="29152" xr:uid="{1FCEE0AF-E1B2-423D-AD49-D79E6D64A0A3}"/>
    <cellStyle name="Currency 5 2 2 2 3 5 6" xfId="37599" xr:uid="{D83FE6ED-5506-492B-BBEE-8890C21BDBF8}"/>
    <cellStyle name="Currency 5 2 2 2 3 5 7" xfId="11405" xr:uid="{D3D55772-2B6F-46BE-814E-C904BBE06A27}"/>
    <cellStyle name="Currency 5 2 2 2 3 6" xfId="2425" xr:uid="{00000000-0005-0000-0000-0000AC0B0000}"/>
    <cellStyle name="Currency 5 2 2 2 3 6 2" xfId="6709" xr:uid="{00000000-0005-0000-0000-0000AD0B0000}"/>
    <cellStyle name="Currency 5 2 2 2 3 6 2 2" xfId="25335" xr:uid="{D933177B-0610-495D-BE21-EC795400B566}"/>
    <cellStyle name="Currency 5 2 2 2 3 6 2 3" xfId="33782" xr:uid="{7A003329-3AB2-4365-A6AC-B15419797A76}"/>
    <cellStyle name="Currency 5 2 2 2 3 6 2 4" xfId="42229" xr:uid="{AC8D50E9-376B-4EC6-9725-798184163DDA}"/>
    <cellStyle name="Currency 5 2 2 2 3 6 2 5" xfId="16035" xr:uid="{21934D24-F306-4DDC-B3BE-D5846BF70B29}"/>
    <cellStyle name="Currency 5 2 2 2 3 6 3" xfId="21118" xr:uid="{28B658BE-034E-4471-84C8-F15E92D67DAA}"/>
    <cellStyle name="Currency 5 2 2 2 3 6 4" xfId="29565" xr:uid="{BF3A4737-10F2-4F87-A171-A9F40238682B}"/>
    <cellStyle name="Currency 5 2 2 2 3 6 5" xfId="38012" xr:uid="{75FE4EB1-F74F-42A2-BD6C-6D84287C56D4}"/>
    <cellStyle name="Currency 5 2 2 2 3 6 6" xfId="11818" xr:uid="{67D0BA51-47AA-4F92-AC39-7A384446C27C}"/>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8 2 2" xfId="25652" xr:uid="{2A165EEB-D265-4131-A702-B004E3B3ADD1}"/>
    <cellStyle name="Currency 5 2 2 2 3 8 2 3" xfId="34099" xr:uid="{FB60058A-DC21-4B55-B19E-6E1E91F2A7F6}"/>
    <cellStyle name="Currency 5 2 2 2 3 8 2 4" xfId="42546" xr:uid="{A554DE5C-4A4B-4995-96E3-0B663AA872C3}"/>
    <cellStyle name="Currency 5 2 2 2 3 8 2 5" xfId="16352" xr:uid="{F5D2043F-3802-4E3C-A8AF-26A9A7CEA4A0}"/>
    <cellStyle name="Currency 5 2 2 2 3 8 3" xfId="21435" xr:uid="{3698D6D8-66CF-45B6-AFF0-E9288CD634AA}"/>
    <cellStyle name="Currency 5 2 2 2 3 8 4" xfId="29882" xr:uid="{A7F7B885-C24A-4B48-9020-CDA08772BD2C}"/>
    <cellStyle name="Currency 5 2 2 2 3 8 5" xfId="38329" xr:uid="{8CE016AF-4963-4A19-BB8F-0986FF35D4ED}"/>
    <cellStyle name="Currency 5 2 2 2 3 8 6" xfId="12135" xr:uid="{BA8F13EC-391E-4F31-AB09-84D00D26F183}"/>
    <cellStyle name="Currency 5 2 2 2 3 9" xfId="4643" xr:uid="{00000000-0005-0000-0000-0000B10B0000}"/>
    <cellStyle name="Currency 5 2 2 2 3 9 2" xfId="23269" xr:uid="{D87A7087-6BCF-4F80-8FA6-BE39B80FFC54}"/>
    <cellStyle name="Currency 5 2 2 2 3 9 3" xfId="31716" xr:uid="{424BE40E-FD48-400A-990F-1DBAEF199A43}"/>
    <cellStyle name="Currency 5 2 2 2 3 9 4" xfId="40163" xr:uid="{3BF039CE-B927-4CC8-BD30-FD5A8D68DFD4}"/>
    <cellStyle name="Currency 5 2 2 2 3 9 5" xfId="13969" xr:uid="{8D333C14-F3B3-4D64-8EEE-36ACB9203ECA}"/>
    <cellStyle name="Currency 5 2 2 2 4" xfId="723" xr:uid="{00000000-0005-0000-0000-0000B20B0000}"/>
    <cellStyle name="Currency 5 2 2 2 4 2" xfId="2977" xr:uid="{00000000-0005-0000-0000-0000B30B0000}"/>
    <cellStyle name="Currency 5 2 2 2 4 2 2" xfId="7199" xr:uid="{00000000-0005-0000-0000-0000B40B0000}"/>
    <cellStyle name="Currency 5 2 2 2 4 2 2 2" xfId="25825" xr:uid="{A88DE664-CF0F-4B59-B0CD-0C937B90B89D}"/>
    <cellStyle name="Currency 5 2 2 2 4 2 2 3" xfId="34272" xr:uid="{593D27CD-CF65-4A16-BDFD-77AD3236D1BD}"/>
    <cellStyle name="Currency 5 2 2 2 4 2 2 4" xfId="42719" xr:uid="{F618A041-C903-426D-AB18-016600C87D57}"/>
    <cellStyle name="Currency 5 2 2 2 4 2 2 5" xfId="16525" xr:uid="{AEA9CC54-63CC-4B62-9065-A28FA4D9C157}"/>
    <cellStyle name="Currency 5 2 2 2 4 2 3" xfId="21608" xr:uid="{BCC2B3EC-3623-41D2-9165-13A414999512}"/>
    <cellStyle name="Currency 5 2 2 2 4 2 4" xfId="30055" xr:uid="{58EE47EA-4584-46EE-9307-875383C66EDE}"/>
    <cellStyle name="Currency 5 2 2 2 4 2 5" xfId="38502" xr:uid="{2BD9D4D7-5522-4C22-85FD-C005E93DB794}"/>
    <cellStyle name="Currency 5 2 2 2 4 2 6" xfId="12308" xr:uid="{5AEC7D74-B3BC-4BB6-A495-0B8CB7270397}"/>
    <cellStyle name="Currency 5 2 2 2 4 3" xfId="5054" xr:uid="{00000000-0005-0000-0000-0000B50B0000}"/>
    <cellStyle name="Currency 5 2 2 2 4 3 2" xfId="23680" xr:uid="{EED91D63-E59A-41C9-BB7A-9685D063F815}"/>
    <cellStyle name="Currency 5 2 2 2 4 3 3" xfId="32127" xr:uid="{4428BEBF-C5FE-4DA6-9F37-F9567F224840}"/>
    <cellStyle name="Currency 5 2 2 2 4 3 4" xfId="40574" xr:uid="{E766759C-41B1-4D43-945C-19211CB388A4}"/>
    <cellStyle name="Currency 5 2 2 2 4 3 5" xfId="14380" xr:uid="{8AF2E92E-A545-40F1-947C-C740F48D7008}"/>
    <cellStyle name="Currency 5 2 2 2 4 4" xfId="9234" xr:uid="{AAF147FE-13D8-48BD-A722-062B96166D61}"/>
    <cellStyle name="Currency 5 2 2 2 4 4 2" xfId="18550" xr:uid="{210888AC-0987-45FD-A852-4549DCB29CC3}"/>
    <cellStyle name="Currency 5 2 2 2 4 5" xfId="19463" xr:uid="{312A47CB-6AAB-4E0B-B07C-6C914581580F}"/>
    <cellStyle name="Currency 5 2 2 2 4 6" xfId="27910" xr:uid="{D8A9ADA5-EBC9-429F-9687-AF2C7C4D3513}"/>
    <cellStyle name="Currency 5 2 2 2 4 7" xfId="36357" xr:uid="{F0D0726D-AC2A-4A05-B84C-02BC2DC2BFAC}"/>
    <cellStyle name="Currency 5 2 2 2 4 8" xfId="10163" xr:uid="{188FC0A0-462B-4105-B991-2CB694619A8A}"/>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2 2 2" xfId="26238" xr:uid="{53B94274-B695-44AC-B2E6-B80730B23F80}"/>
    <cellStyle name="Currency 5 2 2 2 5 2 2 3" xfId="34685" xr:uid="{E5D9B5B0-98A9-4298-B94B-5870DD9978F1}"/>
    <cellStyle name="Currency 5 2 2 2 5 2 2 4" xfId="43132" xr:uid="{43674BEF-53AF-4369-B498-600F1E50841B}"/>
    <cellStyle name="Currency 5 2 2 2 5 2 2 5" xfId="16938" xr:uid="{DD2B9B7D-AA5C-4E2E-8CB0-A22EF07180ED}"/>
    <cellStyle name="Currency 5 2 2 2 5 2 3" xfId="22021" xr:uid="{5B5C294B-37BE-4440-A519-40033A918C5B}"/>
    <cellStyle name="Currency 5 2 2 2 5 2 4" xfId="30468" xr:uid="{AC0A4CA0-3561-4B41-A176-596D16C31E16}"/>
    <cellStyle name="Currency 5 2 2 2 5 2 5" xfId="38915" xr:uid="{D8627601-D58D-4B89-B917-648902A4FF10}"/>
    <cellStyle name="Currency 5 2 2 2 5 2 6" xfId="12721" xr:uid="{EFBBCAF6-39B3-4916-A67F-92EC4CE68EAE}"/>
    <cellStyle name="Currency 5 2 2 2 5 3" xfId="5467" xr:uid="{00000000-0005-0000-0000-0000B90B0000}"/>
    <cellStyle name="Currency 5 2 2 2 5 3 2" xfId="24093" xr:uid="{9EE2737F-8989-43E0-BF65-140B34D9D5E5}"/>
    <cellStyle name="Currency 5 2 2 2 5 3 3" xfId="32540" xr:uid="{9B9A3CF8-3B0A-429D-89A2-8112EB178C37}"/>
    <cellStyle name="Currency 5 2 2 2 5 3 4" xfId="40987" xr:uid="{6C69DA25-4988-48A7-8571-71EF53DFED07}"/>
    <cellStyle name="Currency 5 2 2 2 5 3 5" xfId="14793" xr:uid="{4B7CA570-F648-49DD-96EE-074973EDBD47}"/>
    <cellStyle name="Currency 5 2 2 2 5 4" xfId="19876" xr:uid="{92ED099B-9359-4655-81BA-72791C62E420}"/>
    <cellStyle name="Currency 5 2 2 2 5 5" xfId="28323" xr:uid="{3791E310-B4B3-45A9-98A3-21FF8345DEB1}"/>
    <cellStyle name="Currency 5 2 2 2 5 6" xfId="36770" xr:uid="{F1290B86-6DE8-4E80-ABBA-F3DA814283F0}"/>
    <cellStyle name="Currency 5 2 2 2 5 7" xfId="10576" xr:uid="{CF714BE5-7C7D-4F39-A1BF-4DFA39001053}"/>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2 2 2" xfId="26651" xr:uid="{50E8E02A-6B08-4737-ACE3-441D73A995F2}"/>
    <cellStyle name="Currency 5 2 2 2 6 2 2 3" xfId="35098" xr:uid="{ABB74A27-44D9-4223-971A-BBFE272A0B33}"/>
    <cellStyle name="Currency 5 2 2 2 6 2 2 4" xfId="43545" xr:uid="{47B463FB-B492-4AEA-8802-F3D1BC01F2C4}"/>
    <cellStyle name="Currency 5 2 2 2 6 2 2 5" xfId="17351" xr:uid="{9CC86777-73B0-4421-843D-096D443BBC9A}"/>
    <cellStyle name="Currency 5 2 2 2 6 2 3" xfId="22434" xr:uid="{C388BDF5-3A41-4212-88CE-B0CDDF3BAC0E}"/>
    <cellStyle name="Currency 5 2 2 2 6 2 4" xfId="30881" xr:uid="{3CCEAB9F-E047-4EA3-BCC4-9030C5EC671E}"/>
    <cellStyle name="Currency 5 2 2 2 6 2 5" xfId="39328" xr:uid="{4C87EB73-8C0C-46CC-9353-F0FFCC90AC5F}"/>
    <cellStyle name="Currency 5 2 2 2 6 2 6" xfId="13134" xr:uid="{024564F5-A267-4495-8A00-E2FE85DF14FB}"/>
    <cellStyle name="Currency 5 2 2 2 6 3" xfId="5880" xr:uid="{00000000-0005-0000-0000-0000BD0B0000}"/>
    <cellStyle name="Currency 5 2 2 2 6 3 2" xfId="24506" xr:uid="{FD726971-2D47-4A28-994C-A5256E5EF7A4}"/>
    <cellStyle name="Currency 5 2 2 2 6 3 3" xfId="32953" xr:uid="{AFD67309-375F-4F97-A51A-22F56760BA5F}"/>
    <cellStyle name="Currency 5 2 2 2 6 3 4" xfId="41400" xr:uid="{76858FAB-72BF-4186-9671-55B948CB8727}"/>
    <cellStyle name="Currency 5 2 2 2 6 3 5" xfId="15206" xr:uid="{3422FDC2-A290-48AE-AF37-93C982180A24}"/>
    <cellStyle name="Currency 5 2 2 2 6 4" xfId="20289" xr:uid="{53102FCF-BAD8-48CC-9F6C-A1C033ED60A7}"/>
    <cellStyle name="Currency 5 2 2 2 6 5" xfId="28736" xr:uid="{DC2F1C22-73ED-416F-87D5-B2E53A273DD7}"/>
    <cellStyle name="Currency 5 2 2 2 6 6" xfId="37183" xr:uid="{6BD5945C-33A5-4E13-9933-26135AF0D880}"/>
    <cellStyle name="Currency 5 2 2 2 6 7" xfId="10989" xr:uid="{E56E3286-BA63-4B88-92D2-3896FA699D7A}"/>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2 2 2" xfId="27064" xr:uid="{54EAE809-A877-4219-8008-8FA52E690627}"/>
    <cellStyle name="Currency 5 2 2 2 7 2 2 3" xfId="35511" xr:uid="{4ED3ED27-E3A0-4681-8494-F360737D2469}"/>
    <cellStyle name="Currency 5 2 2 2 7 2 2 4" xfId="43958" xr:uid="{4DA6C267-678A-4DC2-AC4D-C9704E382BE0}"/>
    <cellStyle name="Currency 5 2 2 2 7 2 2 5" xfId="17764" xr:uid="{78D81C73-A91F-461C-8D00-4C3F1F03FF6E}"/>
    <cellStyle name="Currency 5 2 2 2 7 2 3" xfId="22847" xr:uid="{81F28C19-C0E8-4002-85E4-E094A9243465}"/>
    <cellStyle name="Currency 5 2 2 2 7 2 4" xfId="31294" xr:uid="{0D199DDF-4032-4B04-925D-5107B32EBE52}"/>
    <cellStyle name="Currency 5 2 2 2 7 2 5" xfId="39741" xr:uid="{75FC05A7-E350-4C4B-9AE8-C076A9A2D002}"/>
    <cellStyle name="Currency 5 2 2 2 7 2 6" xfId="13547" xr:uid="{FF397B85-1EF5-4E89-8C45-58E6011839A8}"/>
    <cellStyle name="Currency 5 2 2 2 7 3" xfId="6293" xr:uid="{00000000-0005-0000-0000-0000C10B0000}"/>
    <cellStyle name="Currency 5 2 2 2 7 3 2" xfId="24919" xr:uid="{3E7AF106-89FC-43B1-9E0A-2831080D8207}"/>
    <cellStyle name="Currency 5 2 2 2 7 3 3" xfId="33366" xr:uid="{D293E595-5543-49FA-B877-A59476AE858B}"/>
    <cellStyle name="Currency 5 2 2 2 7 3 4" xfId="41813" xr:uid="{C458EA95-159D-4DCD-87B5-2C873D889A29}"/>
    <cellStyle name="Currency 5 2 2 2 7 3 5" xfId="15619" xr:uid="{F1C95397-E04F-46E6-8DFA-F4559B88E1EB}"/>
    <cellStyle name="Currency 5 2 2 2 7 4" xfId="20702" xr:uid="{F074DCC8-9518-45E5-85CE-DE5D3E08B432}"/>
    <cellStyle name="Currency 5 2 2 2 7 5" xfId="29149" xr:uid="{C8695A6F-3148-41B2-A64D-4A74B648DA72}"/>
    <cellStyle name="Currency 5 2 2 2 7 6" xfId="37596" xr:uid="{3D0903F2-FD5F-40E3-B913-2780FC10A99B}"/>
    <cellStyle name="Currency 5 2 2 2 7 7" xfId="11402" xr:uid="{F980B01A-74B6-4B14-B43E-D7AE7A49368E}"/>
    <cellStyle name="Currency 5 2 2 2 8" xfId="2422" xr:uid="{00000000-0005-0000-0000-0000C20B0000}"/>
    <cellStyle name="Currency 5 2 2 2 8 2" xfId="6706" xr:uid="{00000000-0005-0000-0000-0000C30B0000}"/>
    <cellStyle name="Currency 5 2 2 2 8 2 2" xfId="25332" xr:uid="{793FE2AE-23DF-4B3E-BFC9-B1E745FF08DA}"/>
    <cellStyle name="Currency 5 2 2 2 8 2 3" xfId="33779" xr:uid="{D8441D8C-D39B-4E0C-A6F9-08ADE377B566}"/>
    <cellStyle name="Currency 5 2 2 2 8 2 4" xfId="42226" xr:uid="{111500A6-9A98-4002-8256-3718640AA64B}"/>
    <cellStyle name="Currency 5 2 2 2 8 2 5" xfId="16032" xr:uid="{FDB820BD-630A-4BD3-881C-EAE7AE905922}"/>
    <cellStyle name="Currency 5 2 2 2 8 3" xfId="21115" xr:uid="{88C74C62-089F-4D38-A362-3C7674560A61}"/>
    <cellStyle name="Currency 5 2 2 2 8 4" xfId="29562" xr:uid="{02011993-4AB3-46A0-BE82-53A680A1F431}"/>
    <cellStyle name="Currency 5 2 2 2 8 5" xfId="38009" xr:uid="{71722527-7DD9-4407-8AD9-353BAC455AA6}"/>
    <cellStyle name="Currency 5 2 2 2 8 6" xfId="11815" xr:uid="{CAD1E042-46E6-475F-9C39-95B73995E88B}"/>
    <cellStyle name="Currency 5 2 2 2 9" xfId="2719" xr:uid="{00000000-0005-0000-0000-0000C40B0000}"/>
    <cellStyle name="Currency 5 2 2 3" xfId="200" xr:uid="{00000000-0005-0000-0000-0000C50B0000}"/>
    <cellStyle name="Currency 5 2 2 3 10" xfId="4644" xr:uid="{00000000-0005-0000-0000-0000C60B0000}"/>
    <cellStyle name="Currency 5 2 2 3 10 2" xfId="23270" xr:uid="{1AE99F80-24A0-424A-8153-610D53CFE649}"/>
    <cellStyle name="Currency 5 2 2 3 10 3" xfId="31717" xr:uid="{10AB1E75-8044-4A97-873E-B845B40A46AA}"/>
    <cellStyle name="Currency 5 2 2 3 10 4" xfId="40164" xr:uid="{BF6DCBDD-C2C1-4C90-886E-ADF6A0B4445B}"/>
    <cellStyle name="Currency 5 2 2 3 10 5" xfId="13970" xr:uid="{4187E120-D972-4772-B50B-6719BD213152}"/>
    <cellStyle name="Currency 5 2 2 3 11" xfId="8890" xr:uid="{F313D4EC-7666-4BAA-9452-39176957C213}"/>
    <cellStyle name="Currency 5 2 2 3 11 2" xfId="18214" xr:uid="{FF4C6CC5-3DC8-4BA3-9A26-2C3AC8ACF4A0}"/>
    <cellStyle name="Currency 5 2 2 3 12" xfId="19053" xr:uid="{DAD388E4-0615-475A-B23A-27B13E1FEBA0}"/>
    <cellStyle name="Currency 5 2 2 3 13" xfId="27500" xr:uid="{08AC8586-22AA-410E-AFCF-0006B33D1066}"/>
    <cellStyle name="Currency 5 2 2 3 14" xfId="35947" xr:uid="{A0D230B2-8999-4EF3-96C5-2CB954A0BEF7}"/>
    <cellStyle name="Currency 5 2 2 3 15" xfId="9753" xr:uid="{50B6B9FA-A632-45A2-8830-1D0A4D63CC81}"/>
    <cellStyle name="Currency 5 2 2 3 2" xfId="201" xr:uid="{00000000-0005-0000-0000-0000C70B0000}"/>
    <cellStyle name="Currency 5 2 2 3 2 10" xfId="9097" xr:uid="{74199D2F-F17A-42DD-AC8B-D958FBFFCA8B}"/>
    <cellStyle name="Currency 5 2 2 3 2 10 2" xfId="18421" xr:uid="{7EDF9D9B-EEB5-4E61-AD55-B891FA23B3DE}"/>
    <cellStyle name="Currency 5 2 2 3 2 11" xfId="19054" xr:uid="{7C57794D-7B9D-46F5-AEAB-B7F48DC37AE1}"/>
    <cellStyle name="Currency 5 2 2 3 2 12" xfId="27501" xr:uid="{0694EE0A-DE2E-4169-A957-DCE3B30F5902}"/>
    <cellStyle name="Currency 5 2 2 3 2 13" xfId="35948" xr:uid="{B51B4EAB-45F6-4E73-9B43-9462D781F1A1}"/>
    <cellStyle name="Currency 5 2 2 3 2 14" xfId="9754" xr:uid="{B94D9724-2F33-460C-87F5-FA0A039465FF}"/>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2 2 2" xfId="25830" xr:uid="{6ADEA9DC-B002-43E1-8BB2-BFA69A42777A}"/>
    <cellStyle name="Currency 5 2 2 3 2 2 2 2 3" xfId="34277" xr:uid="{9A2275F1-4DA8-43A4-AB8E-4A35B53A376F}"/>
    <cellStyle name="Currency 5 2 2 3 2 2 2 2 4" xfId="42724" xr:uid="{A3811B5F-710F-40A9-BCEB-20C9D7A18AE6}"/>
    <cellStyle name="Currency 5 2 2 3 2 2 2 2 5" xfId="16530" xr:uid="{AE270083-BFB6-42E1-961E-F01D63A27E3F}"/>
    <cellStyle name="Currency 5 2 2 3 2 2 2 3" xfId="21613" xr:uid="{6C9DB41B-664E-4FE4-9FB5-BFA973089EB5}"/>
    <cellStyle name="Currency 5 2 2 3 2 2 2 4" xfId="30060" xr:uid="{8475A0E3-C440-4446-AC9E-19B2712A9D6A}"/>
    <cellStyle name="Currency 5 2 2 3 2 2 2 5" xfId="38507" xr:uid="{943D05C5-E3CE-499D-A584-E85A8801F81F}"/>
    <cellStyle name="Currency 5 2 2 3 2 2 2 6" xfId="12313" xr:uid="{90DC4BC8-D81A-4C21-B2A0-588187F93028}"/>
    <cellStyle name="Currency 5 2 2 3 2 2 3" xfId="5059" xr:uid="{00000000-0005-0000-0000-0000CB0B0000}"/>
    <cellStyle name="Currency 5 2 2 3 2 2 3 2" xfId="23685" xr:uid="{55C17ED3-A886-4FDB-ADF3-64706054666B}"/>
    <cellStyle name="Currency 5 2 2 3 2 2 3 3" xfId="32132" xr:uid="{D4C9FB70-495F-4FE5-BB52-12227B9D7D0E}"/>
    <cellStyle name="Currency 5 2 2 3 2 2 3 4" xfId="40579" xr:uid="{95EFCFF0-66ED-49D9-ABC0-42646F0F59B4}"/>
    <cellStyle name="Currency 5 2 2 3 2 2 3 5" xfId="14385" xr:uid="{DFB67F3A-2231-4ABB-A390-77D932B6691F}"/>
    <cellStyle name="Currency 5 2 2 3 2 2 4" xfId="9522" xr:uid="{58EAFCD4-DA5B-47CB-A637-29DA003AA3FD}"/>
    <cellStyle name="Currency 5 2 2 3 2 2 4 2" xfId="18838" xr:uid="{11F9749A-805F-4DEA-8394-85B59AB26294}"/>
    <cellStyle name="Currency 5 2 2 3 2 2 5" xfId="19468" xr:uid="{1831A1A3-9C40-4D9C-90FF-F38039211A13}"/>
    <cellStyle name="Currency 5 2 2 3 2 2 6" xfId="27915" xr:uid="{83D59845-EDC6-4D55-8BD8-91F413760440}"/>
    <cellStyle name="Currency 5 2 2 3 2 2 7" xfId="36362" xr:uid="{BC4BB201-40F0-45B1-ADC6-5DF0AD3FB612}"/>
    <cellStyle name="Currency 5 2 2 3 2 2 8" xfId="10168" xr:uid="{49E3AD57-1CAD-4175-B676-2A4CC7C6F748}"/>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2 2 2" xfId="26243" xr:uid="{D3495C43-2CC0-45FA-9E90-B296BA4A58BA}"/>
    <cellStyle name="Currency 5 2 2 3 2 3 2 2 3" xfId="34690" xr:uid="{89F3A823-812C-4A3D-A0E0-6EBCAD731FDD}"/>
    <cellStyle name="Currency 5 2 2 3 2 3 2 2 4" xfId="43137" xr:uid="{D7F998BE-DEDA-4991-BC2C-D3AE53010BBC}"/>
    <cellStyle name="Currency 5 2 2 3 2 3 2 2 5" xfId="16943" xr:uid="{6C31DC6D-2A9B-4A12-9509-7972B1F9AEA3}"/>
    <cellStyle name="Currency 5 2 2 3 2 3 2 3" xfId="22026" xr:uid="{39B73402-3C1F-4F20-90B5-10450EFDCFA5}"/>
    <cellStyle name="Currency 5 2 2 3 2 3 2 4" xfId="30473" xr:uid="{9284B15E-27AE-42A1-8E44-D737F499525A}"/>
    <cellStyle name="Currency 5 2 2 3 2 3 2 5" xfId="38920" xr:uid="{F0C0BD0D-DD85-49FF-AF4A-6B5E3A628232}"/>
    <cellStyle name="Currency 5 2 2 3 2 3 2 6" xfId="12726" xr:uid="{A7133ECA-0CA0-4D9E-8F9F-725554E5AD28}"/>
    <cellStyle name="Currency 5 2 2 3 2 3 3" xfId="5472" xr:uid="{00000000-0005-0000-0000-0000CF0B0000}"/>
    <cellStyle name="Currency 5 2 2 3 2 3 3 2" xfId="24098" xr:uid="{92EC3D3E-8058-4514-89C7-ED9086EAA9D4}"/>
    <cellStyle name="Currency 5 2 2 3 2 3 3 3" xfId="32545" xr:uid="{A563E42F-CD89-4BD6-9255-F3594D78A64B}"/>
    <cellStyle name="Currency 5 2 2 3 2 3 3 4" xfId="40992" xr:uid="{AB03F2FC-8DD1-47E8-A5C1-E262CEA326B4}"/>
    <cellStyle name="Currency 5 2 2 3 2 3 3 5" xfId="14798" xr:uid="{4A7287E3-46A2-458C-AA03-3560600007BF}"/>
    <cellStyle name="Currency 5 2 2 3 2 3 4" xfId="19881" xr:uid="{08C7B75F-1857-4F62-8144-40A73977B9A2}"/>
    <cellStyle name="Currency 5 2 2 3 2 3 5" xfId="28328" xr:uid="{EC7EA84F-FB38-44B0-8B8F-68FC87F82BA0}"/>
    <cellStyle name="Currency 5 2 2 3 2 3 6" xfId="36775" xr:uid="{C81D3077-B310-47D8-BF19-F42CBB70DAFD}"/>
    <cellStyle name="Currency 5 2 2 3 2 3 7" xfId="10581" xr:uid="{BC329052-2E9F-4E60-8E94-611B82DE82C9}"/>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2 2 2" xfId="26656" xr:uid="{19DE6F6B-3169-4CD6-A3E0-D2B39ED86EB1}"/>
    <cellStyle name="Currency 5 2 2 3 2 4 2 2 3" xfId="35103" xr:uid="{C7229822-2841-472E-B503-55783C72C778}"/>
    <cellStyle name="Currency 5 2 2 3 2 4 2 2 4" xfId="43550" xr:uid="{A5410AA6-1EC8-498E-84AB-5F20DDB9E942}"/>
    <cellStyle name="Currency 5 2 2 3 2 4 2 2 5" xfId="17356" xr:uid="{7E3F27EB-70A4-4EAE-9CFF-A6BF357FBD2D}"/>
    <cellStyle name="Currency 5 2 2 3 2 4 2 3" xfId="22439" xr:uid="{2E21A37C-ADF8-46AB-BB99-AB2518C4AAB3}"/>
    <cellStyle name="Currency 5 2 2 3 2 4 2 4" xfId="30886" xr:uid="{503FD994-E602-4D3A-AA59-ACA1C4D42C0E}"/>
    <cellStyle name="Currency 5 2 2 3 2 4 2 5" xfId="39333" xr:uid="{5E3FAB1C-C7E7-46A4-99A5-3D459BA6CE80}"/>
    <cellStyle name="Currency 5 2 2 3 2 4 2 6" xfId="13139" xr:uid="{421DA772-48D3-4C13-BE4A-DE0AE9F058CD}"/>
    <cellStyle name="Currency 5 2 2 3 2 4 3" xfId="5885" xr:uid="{00000000-0005-0000-0000-0000D30B0000}"/>
    <cellStyle name="Currency 5 2 2 3 2 4 3 2" xfId="24511" xr:uid="{5268B9CA-B04C-4630-BC98-17943C7D74E5}"/>
    <cellStyle name="Currency 5 2 2 3 2 4 3 3" xfId="32958" xr:uid="{0E1B8FE8-0F48-4326-BD88-7BAFCA44DD88}"/>
    <cellStyle name="Currency 5 2 2 3 2 4 3 4" xfId="41405" xr:uid="{D2D6DABB-5B35-42C1-AB75-44F83740E943}"/>
    <cellStyle name="Currency 5 2 2 3 2 4 3 5" xfId="15211" xr:uid="{150E9AB3-DA22-4AE0-A4D6-5BB8DED5B2B3}"/>
    <cellStyle name="Currency 5 2 2 3 2 4 4" xfId="20294" xr:uid="{FFFAA683-A798-45BE-B756-600BAF8F0952}"/>
    <cellStyle name="Currency 5 2 2 3 2 4 5" xfId="28741" xr:uid="{59938D8C-FA5E-4D1F-B8EE-03DB677CF334}"/>
    <cellStyle name="Currency 5 2 2 3 2 4 6" xfId="37188" xr:uid="{80583B0F-B818-41E3-8F7B-521FF6CDA898}"/>
    <cellStyle name="Currency 5 2 2 3 2 4 7" xfId="10994" xr:uid="{7DA78440-4858-42F6-8A26-E7955549B467}"/>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2 2 2" xfId="27069" xr:uid="{E33A9D85-DE27-49B1-A8DC-A24F0D160777}"/>
    <cellStyle name="Currency 5 2 2 3 2 5 2 2 3" xfId="35516" xr:uid="{9B28FCBA-F023-48EF-83FB-8D5E3E0904A2}"/>
    <cellStyle name="Currency 5 2 2 3 2 5 2 2 4" xfId="43963" xr:uid="{A9D47E16-B0A5-47AE-83F1-633663C55B39}"/>
    <cellStyle name="Currency 5 2 2 3 2 5 2 2 5" xfId="17769" xr:uid="{7065523E-70F4-4F1F-90C4-98C14308E0BB}"/>
    <cellStyle name="Currency 5 2 2 3 2 5 2 3" xfId="22852" xr:uid="{E4842FF5-EF7F-4320-BA72-7CDA1663C61A}"/>
    <cellStyle name="Currency 5 2 2 3 2 5 2 4" xfId="31299" xr:uid="{0ECA28F1-517A-4769-8385-D3AE84D4A63F}"/>
    <cellStyle name="Currency 5 2 2 3 2 5 2 5" xfId="39746" xr:uid="{1CA39F69-DEF7-4127-9918-7E0109157136}"/>
    <cellStyle name="Currency 5 2 2 3 2 5 2 6" xfId="13552" xr:uid="{8C219438-306E-4F6C-9EED-5112CF95C78C}"/>
    <cellStyle name="Currency 5 2 2 3 2 5 3" xfId="6298" xr:uid="{00000000-0005-0000-0000-0000D70B0000}"/>
    <cellStyle name="Currency 5 2 2 3 2 5 3 2" xfId="24924" xr:uid="{7FFB7ABD-B7F6-4817-BCC1-192FD26168C1}"/>
    <cellStyle name="Currency 5 2 2 3 2 5 3 3" xfId="33371" xr:uid="{C2557AAB-E9BD-4F82-ABEC-7355778BE0EB}"/>
    <cellStyle name="Currency 5 2 2 3 2 5 3 4" xfId="41818" xr:uid="{2BD6096F-4396-421E-A3B9-0CE4A80C2567}"/>
    <cellStyle name="Currency 5 2 2 3 2 5 3 5" xfId="15624" xr:uid="{7BF896D9-DEC2-4E96-B728-6F71D1E9EC0C}"/>
    <cellStyle name="Currency 5 2 2 3 2 5 4" xfId="20707" xr:uid="{10995969-AD95-430E-8619-E98426C56AA7}"/>
    <cellStyle name="Currency 5 2 2 3 2 5 5" xfId="29154" xr:uid="{3E6371C6-1B68-4B1E-B1D5-0A9ED5B3A57A}"/>
    <cellStyle name="Currency 5 2 2 3 2 5 6" xfId="37601" xr:uid="{93CF1E47-206F-40E2-A335-1D80E8CD1D69}"/>
    <cellStyle name="Currency 5 2 2 3 2 5 7" xfId="11407" xr:uid="{72537EEA-093B-4C52-A7A8-FD0C8083476D}"/>
    <cellStyle name="Currency 5 2 2 3 2 6" xfId="2427" xr:uid="{00000000-0005-0000-0000-0000D80B0000}"/>
    <cellStyle name="Currency 5 2 2 3 2 6 2" xfId="6711" xr:uid="{00000000-0005-0000-0000-0000D90B0000}"/>
    <cellStyle name="Currency 5 2 2 3 2 6 2 2" xfId="25337" xr:uid="{64B1B079-18CC-48D0-938E-11D9EC2F6056}"/>
    <cellStyle name="Currency 5 2 2 3 2 6 2 3" xfId="33784" xr:uid="{93251010-A54B-4AC5-9E56-6C77DECD24A4}"/>
    <cellStyle name="Currency 5 2 2 3 2 6 2 4" xfId="42231" xr:uid="{7A2B1E71-79A6-4D68-8E8F-B3F086F6451F}"/>
    <cellStyle name="Currency 5 2 2 3 2 6 2 5" xfId="16037" xr:uid="{4FDCCBCD-83AB-49FE-A6A4-0B4A4424C439}"/>
    <cellStyle name="Currency 5 2 2 3 2 6 3" xfId="21120" xr:uid="{16070438-E33C-4EC6-AC69-7B4DD587B913}"/>
    <cellStyle name="Currency 5 2 2 3 2 6 4" xfId="29567" xr:uid="{052F0F2F-B8F9-4074-9455-EC71B7A2C5DB}"/>
    <cellStyle name="Currency 5 2 2 3 2 6 5" xfId="38014" xr:uid="{08E7AF35-EA97-422B-A730-E2A0E8B4F282}"/>
    <cellStyle name="Currency 5 2 2 3 2 6 6" xfId="11820" xr:uid="{7D80E0F9-24F0-4D99-B4F8-BE494F730D98}"/>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8 2 2" xfId="25654" xr:uid="{040E4984-939A-4D64-A4B0-F721A23C3745}"/>
    <cellStyle name="Currency 5 2 2 3 2 8 2 3" xfId="34101" xr:uid="{B904563D-2823-4937-890B-0550034D51E6}"/>
    <cellStyle name="Currency 5 2 2 3 2 8 2 4" xfId="42548" xr:uid="{ECB09B3D-5BE6-48C1-AD2C-B89EDDBAC0D9}"/>
    <cellStyle name="Currency 5 2 2 3 2 8 2 5" xfId="16354" xr:uid="{38D56183-D685-41A7-98B4-0A06640C1CF0}"/>
    <cellStyle name="Currency 5 2 2 3 2 8 3" xfId="21437" xr:uid="{2B45B824-418F-455C-A8D2-C05F64BF07A6}"/>
    <cellStyle name="Currency 5 2 2 3 2 8 4" xfId="29884" xr:uid="{55500B0C-0677-4540-BA5A-6492A0615C56}"/>
    <cellStyle name="Currency 5 2 2 3 2 8 5" xfId="38331" xr:uid="{0D202FF1-058E-439A-9E10-65E4B8EED978}"/>
    <cellStyle name="Currency 5 2 2 3 2 8 6" xfId="12137" xr:uid="{5F9A598F-93E0-42FA-B707-ACFD0FEFEEF7}"/>
    <cellStyle name="Currency 5 2 2 3 2 9" xfId="4645" xr:uid="{00000000-0005-0000-0000-0000DD0B0000}"/>
    <cellStyle name="Currency 5 2 2 3 2 9 2" xfId="23271" xr:uid="{FC385F08-7789-4A82-9E94-A62362A35817}"/>
    <cellStyle name="Currency 5 2 2 3 2 9 3" xfId="31718" xr:uid="{EF9C4247-1764-43C1-8EB6-35A65446522C}"/>
    <cellStyle name="Currency 5 2 2 3 2 9 4" xfId="40165" xr:uid="{CE2A14F5-5C16-43B2-A022-3D39B7242430}"/>
    <cellStyle name="Currency 5 2 2 3 2 9 5" xfId="13971" xr:uid="{530FF647-EBA3-4AFB-9DE2-C010E8574EA5}"/>
    <cellStyle name="Currency 5 2 2 3 3" xfId="727" xr:uid="{00000000-0005-0000-0000-0000DE0B0000}"/>
    <cellStyle name="Currency 5 2 2 3 3 2" xfId="2981" xr:uid="{00000000-0005-0000-0000-0000DF0B0000}"/>
    <cellStyle name="Currency 5 2 2 3 3 2 2" xfId="7203" xr:uid="{00000000-0005-0000-0000-0000E00B0000}"/>
    <cellStyle name="Currency 5 2 2 3 3 2 2 2" xfId="25829" xr:uid="{E0DA4B4F-E4FA-487E-915C-F3DC984A4A9E}"/>
    <cellStyle name="Currency 5 2 2 3 3 2 2 3" xfId="34276" xr:uid="{6E24510F-3B85-457A-AD7E-0FE41DA02AE4}"/>
    <cellStyle name="Currency 5 2 2 3 3 2 2 4" xfId="42723" xr:uid="{7E0E2ABF-D694-47C3-8998-722930621430}"/>
    <cellStyle name="Currency 5 2 2 3 3 2 2 5" xfId="16529" xr:uid="{8C6E447A-D6DB-4608-BC59-EF0336F20784}"/>
    <cellStyle name="Currency 5 2 2 3 3 2 3" xfId="21612" xr:uid="{3DDA79CB-D4BB-4A99-AA4F-8E8A3BD2406F}"/>
    <cellStyle name="Currency 5 2 2 3 3 2 4" xfId="30059" xr:uid="{414B9A2D-2E7E-40EA-8F27-EDC196BBE607}"/>
    <cellStyle name="Currency 5 2 2 3 3 2 5" xfId="38506" xr:uid="{C904AF5C-9FA6-463E-822C-F7376EE279FC}"/>
    <cellStyle name="Currency 5 2 2 3 3 2 6" xfId="12312" xr:uid="{DC14E2F2-A1F3-423A-9E99-9881CAA24781}"/>
    <cellStyle name="Currency 5 2 2 3 3 3" xfId="5058" xr:uid="{00000000-0005-0000-0000-0000E10B0000}"/>
    <cellStyle name="Currency 5 2 2 3 3 3 2" xfId="23684" xr:uid="{2EE9783D-F953-47EC-9AAF-D2860A01588E}"/>
    <cellStyle name="Currency 5 2 2 3 3 3 3" xfId="32131" xr:uid="{D6681E75-3638-41CC-86BD-53BF8702DF9C}"/>
    <cellStyle name="Currency 5 2 2 3 3 3 4" xfId="40578" xr:uid="{8B94136E-754B-445D-A1DE-B671E01768F8}"/>
    <cellStyle name="Currency 5 2 2 3 3 3 5" xfId="14384" xr:uid="{C578DF83-2E46-4C60-85CF-9AAC266B0CF6}"/>
    <cellStyle name="Currency 5 2 2 3 3 4" xfId="9315" xr:uid="{A76EC348-1CDB-41C1-B9B8-9215FF30C619}"/>
    <cellStyle name="Currency 5 2 2 3 3 4 2" xfId="18631" xr:uid="{8BAAEDAB-7E69-4FFD-BC0D-786BFD45CCBA}"/>
    <cellStyle name="Currency 5 2 2 3 3 5" xfId="19467" xr:uid="{CC4CF4AA-EFF4-46F0-83C5-B750BA09DA84}"/>
    <cellStyle name="Currency 5 2 2 3 3 6" xfId="27914" xr:uid="{0ABFD453-2948-427B-AB45-DE0B90ED0285}"/>
    <cellStyle name="Currency 5 2 2 3 3 7" xfId="36361" xr:uid="{57F68DB2-9B9C-4E75-B5F8-1EA2163A9F5B}"/>
    <cellStyle name="Currency 5 2 2 3 3 8" xfId="10167" xr:uid="{638DD604-6D75-43BB-B671-7955B350D5C1}"/>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2 2 2" xfId="26242" xr:uid="{99E9EF4B-4815-45B1-954A-C1F63EB3A339}"/>
    <cellStyle name="Currency 5 2 2 3 4 2 2 3" xfId="34689" xr:uid="{376F4090-44D3-4D4E-B1B9-64BFC72279E7}"/>
    <cellStyle name="Currency 5 2 2 3 4 2 2 4" xfId="43136" xr:uid="{FB645C21-4378-457A-AEDA-3DD2A4650288}"/>
    <cellStyle name="Currency 5 2 2 3 4 2 2 5" xfId="16942" xr:uid="{CE38A237-C8EA-4CB4-9392-C9D6CAAEC03C}"/>
    <cellStyle name="Currency 5 2 2 3 4 2 3" xfId="22025" xr:uid="{B207F860-20E6-472B-A46D-638FE3793743}"/>
    <cellStyle name="Currency 5 2 2 3 4 2 4" xfId="30472" xr:uid="{A937CC18-6818-4566-9CA1-97F5A5432709}"/>
    <cellStyle name="Currency 5 2 2 3 4 2 5" xfId="38919" xr:uid="{99606BBE-A17E-483F-BAF6-2C27BEBC1C93}"/>
    <cellStyle name="Currency 5 2 2 3 4 2 6" xfId="12725" xr:uid="{23DCF5E9-3160-4323-8B86-AAD517161D6E}"/>
    <cellStyle name="Currency 5 2 2 3 4 3" xfId="5471" xr:uid="{00000000-0005-0000-0000-0000E50B0000}"/>
    <cellStyle name="Currency 5 2 2 3 4 3 2" xfId="24097" xr:uid="{4F3C6104-4FEF-469E-BBC7-5E6F48B67F37}"/>
    <cellStyle name="Currency 5 2 2 3 4 3 3" xfId="32544" xr:uid="{A9E058E8-D940-40F6-A8FC-D3A8650FF43D}"/>
    <cellStyle name="Currency 5 2 2 3 4 3 4" xfId="40991" xr:uid="{1A9D8933-858C-4F00-BAF8-84402102D47C}"/>
    <cellStyle name="Currency 5 2 2 3 4 3 5" xfId="14797" xr:uid="{3B4FB6F8-6E40-48E8-BE46-E35CF1461154}"/>
    <cellStyle name="Currency 5 2 2 3 4 4" xfId="19880" xr:uid="{3BD47C69-23EC-4A73-B0FB-C164A3C073BE}"/>
    <cellStyle name="Currency 5 2 2 3 4 5" xfId="28327" xr:uid="{EB921EAF-7D37-4ECE-888A-A1F49E17AEC4}"/>
    <cellStyle name="Currency 5 2 2 3 4 6" xfId="36774" xr:uid="{7444B2D4-4D26-420F-BB7F-ACDE790AB327}"/>
    <cellStyle name="Currency 5 2 2 3 4 7" xfId="10580" xr:uid="{B107ED32-49E1-4019-8A13-021AB899F85F}"/>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2 2 2" xfId="26655" xr:uid="{3D120B70-0E57-4D0B-8E5F-482B9257E5EE}"/>
    <cellStyle name="Currency 5 2 2 3 5 2 2 3" xfId="35102" xr:uid="{88AA4DA8-80C8-4AA5-BA3F-2E4D10A160DE}"/>
    <cellStyle name="Currency 5 2 2 3 5 2 2 4" xfId="43549" xr:uid="{9A65DECF-91C7-49B8-A4D3-31D465DCCD99}"/>
    <cellStyle name="Currency 5 2 2 3 5 2 2 5" xfId="17355" xr:uid="{D7CE7977-0FC2-4AB6-A527-C21CF21BF448}"/>
    <cellStyle name="Currency 5 2 2 3 5 2 3" xfId="22438" xr:uid="{15D0043F-84B9-4468-A383-C37DDBDA4D2D}"/>
    <cellStyle name="Currency 5 2 2 3 5 2 4" xfId="30885" xr:uid="{C1E50537-C542-4481-8950-4FD01903C005}"/>
    <cellStyle name="Currency 5 2 2 3 5 2 5" xfId="39332" xr:uid="{227CEE42-836B-430A-AECE-B96312A08C95}"/>
    <cellStyle name="Currency 5 2 2 3 5 2 6" xfId="13138" xr:uid="{6ECE4457-F10D-4FA4-AA3D-E182DFE0198C}"/>
    <cellStyle name="Currency 5 2 2 3 5 3" xfId="5884" xr:uid="{00000000-0005-0000-0000-0000E90B0000}"/>
    <cellStyle name="Currency 5 2 2 3 5 3 2" xfId="24510" xr:uid="{BE3C0232-BAD1-4C17-AFDE-1F6E63483CC7}"/>
    <cellStyle name="Currency 5 2 2 3 5 3 3" xfId="32957" xr:uid="{BD6F186D-4E07-4834-9B33-E8CF13FDABCC}"/>
    <cellStyle name="Currency 5 2 2 3 5 3 4" xfId="41404" xr:uid="{19C76CDE-7E62-4013-9B66-01027C76019A}"/>
    <cellStyle name="Currency 5 2 2 3 5 3 5" xfId="15210" xr:uid="{AA96E7EE-168D-47FD-A657-701F1534A442}"/>
    <cellStyle name="Currency 5 2 2 3 5 4" xfId="20293" xr:uid="{61C6AD60-9EBB-4020-A130-89F989066230}"/>
    <cellStyle name="Currency 5 2 2 3 5 5" xfId="28740" xr:uid="{8DBE6E16-88DD-4802-94BC-C8E0EB169AA3}"/>
    <cellStyle name="Currency 5 2 2 3 5 6" xfId="37187" xr:uid="{1F6E7A39-A2B1-488F-9790-FB3A206340BD}"/>
    <cellStyle name="Currency 5 2 2 3 5 7" xfId="10993" xr:uid="{92161B6A-E7A9-42B0-B002-B9613034B44D}"/>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2 2 2" xfId="27068" xr:uid="{217C3734-7F8A-466A-B17B-FCB9581E20B7}"/>
    <cellStyle name="Currency 5 2 2 3 6 2 2 3" xfId="35515" xr:uid="{70FF9BCB-F3A6-4B81-82F9-9228E07364BD}"/>
    <cellStyle name="Currency 5 2 2 3 6 2 2 4" xfId="43962" xr:uid="{AB1A290F-0442-43A1-A84E-98E2B3C6CD0E}"/>
    <cellStyle name="Currency 5 2 2 3 6 2 2 5" xfId="17768" xr:uid="{4CAE10B6-31BB-4A66-ADCE-E93668B1622A}"/>
    <cellStyle name="Currency 5 2 2 3 6 2 3" xfId="22851" xr:uid="{A048E77F-7CA0-46B9-BB1A-C34DEE3ED37D}"/>
    <cellStyle name="Currency 5 2 2 3 6 2 4" xfId="31298" xr:uid="{D9C541EF-127E-4C1A-BA37-45C186D07360}"/>
    <cellStyle name="Currency 5 2 2 3 6 2 5" xfId="39745" xr:uid="{97BF4CA9-E1EC-4D4F-B4E9-06194F161173}"/>
    <cellStyle name="Currency 5 2 2 3 6 2 6" xfId="13551" xr:uid="{4E6ABCC3-CFF9-4774-961B-99F964666E43}"/>
    <cellStyle name="Currency 5 2 2 3 6 3" xfId="6297" xr:uid="{00000000-0005-0000-0000-0000ED0B0000}"/>
    <cellStyle name="Currency 5 2 2 3 6 3 2" xfId="24923" xr:uid="{012F9865-57BE-43BC-AD74-FC1834F4E0B9}"/>
    <cellStyle name="Currency 5 2 2 3 6 3 3" xfId="33370" xr:uid="{E09903E5-C921-4C47-818E-C2621AD08D3E}"/>
    <cellStyle name="Currency 5 2 2 3 6 3 4" xfId="41817" xr:uid="{5183F6CE-05CD-4C1A-866B-7986559C0B96}"/>
    <cellStyle name="Currency 5 2 2 3 6 3 5" xfId="15623" xr:uid="{7A3E6497-2471-447B-B5E8-4127C35A282C}"/>
    <cellStyle name="Currency 5 2 2 3 6 4" xfId="20706" xr:uid="{648FA1AA-4447-4875-851C-A8DE09FCA666}"/>
    <cellStyle name="Currency 5 2 2 3 6 5" xfId="29153" xr:uid="{49F8D881-123B-4D14-AD43-9B73DE78341C}"/>
    <cellStyle name="Currency 5 2 2 3 6 6" xfId="37600" xr:uid="{FBB534E4-860F-463B-AA6E-79577451704E}"/>
    <cellStyle name="Currency 5 2 2 3 6 7" xfId="11406" xr:uid="{05CAFDBF-4119-4107-8F9E-E6B5611E9C9F}"/>
    <cellStyle name="Currency 5 2 2 3 7" xfId="2426" xr:uid="{00000000-0005-0000-0000-0000EE0B0000}"/>
    <cellStyle name="Currency 5 2 2 3 7 2" xfId="6710" xr:uid="{00000000-0005-0000-0000-0000EF0B0000}"/>
    <cellStyle name="Currency 5 2 2 3 7 2 2" xfId="25336" xr:uid="{50B94D05-7DD5-40C1-A560-85CF5C282048}"/>
    <cellStyle name="Currency 5 2 2 3 7 2 3" xfId="33783" xr:uid="{3FFEEDCD-02AF-4B64-ABC4-6988BC9B78BA}"/>
    <cellStyle name="Currency 5 2 2 3 7 2 4" xfId="42230" xr:uid="{149244CC-6698-4636-8E01-F31D7E195D7B}"/>
    <cellStyle name="Currency 5 2 2 3 7 2 5" xfId="16036" xr:uid="{820EF50B-31A3-411F-B05A-3009359F36BF}"/>
    <cellStyle name="Currency 5 2 2 3 7 3" xfId="21119" xr:uid="{23CC7FFE-8E7B-4EDE-900D-55E893B23C4C}"/>
    <cellStyle name="Currency 5 2 2 3 7 4" xfId="29566" xr:uid="{3183C028-F137-44DA-A1EF-E2D4EAFED371}"/>
    <cellStyle name="Currency 5 2 2 3 7 5" xfId="38013" xr:uid="{77929000-9673-4C13-BF9B-8C6CB789B68D}"/>
    <cellStyle name="Currency 5 2 2 3 7 6" xfId="11819" xr:uid="{38AA3304-00D1-46C8-BEE7-DF276BA39D9B}"/>
    <cellStyle name="Currency 5 2 2 3 8" xfId="2723" xr:uid="{00000000-0005-0000-0000-0000F00B0000}"/>
    <cellStyle name="Currency 5 2 2 3 9" xfId="2804" xr:uid="{00000000-0005-0000-0000-0000F10B0000}"/>
    <cellStyle name="Currency 5 2 2 3 9 2" xfId="7027" xr:uid="{00000000-0005-0000-0000-0000F20B0000}"/>
    <cellStyle name="Currency 5 2 2 3 9 2 2" xfId="25653" xr:uid="{E2CEC4C7-EA5E-44EE-98B5-0DED1074D6DB}"/>
    <cellStyle name="Currency 5 2 2 3 9 2 3" xfId="34100" xr:uid="{1C0BAE9A-9833-41E0-A537-B38F3FAE63EF}"/>
    <cellStyle name="Currency 5 2 2 3 9 2 4" xfId="42547" xr:uid="{CED6409C-3058-46AD-845C-A5E0E7108533}"/>
    <cellStyle name="Currency 5 2 2 3 9 2 5" xfId="16353" xr:uid="{DB61861F-7A87-4726-A561-9FBCB5DC803E}"/>
    <cellStyle name="Currency 5 2 2 3 9 3" xfId="21436" xr:uid="{92F877DC-2028-478C-9174-F42779857171}"/>
    <cellStyle name="Currency 5 2 2 3 9 4" xfId="29883" xr:uid="{70D6243C-1EF6-4410-99A6-FDB32718FBCD}"/>
    <cellStyle name="Currency 5 2 2 3 9 5" xfId="38330" xr:uid="{13B8C8CD-E1DA-41A6-AC05-CF8094BFFB40}"/>
    <cellStyle name="Currency 5 2 2 3 9 6" xfId="12136" xr:uid="{CC3BDF57-C9C6-433D-98B5-9BE43BEC847E}"/>
    <cellStyle name="Currency 5 2 2 4" xfId="202" xr:uid="{00000000-0005-0000-0000-0000F30B0000}"/>
    <cellStyle name="Currency 5 2 2 4 10" xfId="8994" xr:uid="{484CCE7A-1288-4C7F-ABD6-C45948DC4EC0}"/>
    <cellStyle name="Currency 5 2 2 4 10 2" xfId="18318" xr:uid="{85588C49-7A57-4CCB-AB19-ADC6D5C91659}"/>
    <cellStyle name="Currency 5 2 2 4 11" xfId="19055" xr:uid="{F0EDA75A-58D2-43A2-8551-2D3C9C8366BE}"/>
    <cellStyle name="Currency 5 2 2 4 12" xfId="27502" xr:uid="{30B2D41D-544E-466C-AA89-D2D731F30DEF}"/>
    <cellStyle name="Currency 5 2 2 4 13" xfId="35949" xr:uid="{C4AB0673-D490-43C9-9BF1-BF5B8A51CC23}"/>
    <cellStyle name="Currency 5 2 2 4 14" xfId="9755" xr:uid="{9B0897F5-0BE0-4095-AFE7-D244EA80F427}"/>
    <cellStyle name="Currency 5 2 2 4 2" xfId="729" xr:uid="{00000000-0005-0000-0000-0000F40B0000}"/>
    <cellStyle name="Currency 5 2 2 4 2 2" xfId="2983" xr:uid="{00000000-0005-0000-0000-0000F50B0000}"/>
    <cellStyle name="Currency 5 2 2 4 2 2 2" xfId="7205" xr:uid="{00000000-0005-0000-0000-0000F60B0000}"/>
    <cellStyle name="Currency 5 2 2 4 2 2 2 2" xfId="25831" xr:uid="{ADD41D64-92A5-4774-AEA5-A2B25BF93034}"/>
    <cellStyle name="Currency 5 2 2 4 2 2 2 3" xfId="34278" xr:uid="{9D543C11-77C6-4877-9C06-C8931779032C}"/>
    <cellStyle name="Currency 5 2 2 4 2 2 2 4" xfId="42725" xr:uid="{0A21A022-1081-456C-B22A-9F174333B7B9}"/>
    <cellStyle name="Currency 5 2 2 4 2 2 2 5" xfId="16531" xr:uid="{E230C2D0-469B-482D-9DCC-1821B9AED4E4}"/>
    <cellStyle name="Currency 5 2 2 4 2 2 3" xfId="21614" xr:uid="{60D6E3C5-7D35-43F0-8CB2-4B71C1A9CAA5}"/>
    <cellStyle name="Currency 5 2 2 4 2 2 4" xfId="30061" xr:uid="{E642BED4-BB3C-4E6F-9FCE-42C99209DCA7}"/>
    <cellStyle name="Currency 5 2 2 4 2 2 5" xfId="38508" xr:uid="{B1371D3A-BF9D-42EB-93E5-2C0B2BB69F74}"/>
    <cellStyle name="Currency 5 2 2 4 2 2 6" xfId="12314" xr:uid="{8AE640C8-9101-49F7-8F14-A06CBAEAB13B}"/>
    <cellStyle name="Currency 5 2 2 4 2 3" xfId="5060" xr:uid="{00000000-0005-0000-0000-0000F70B0000}"/>
    <cellStyle name="Currency 5 2 2 4 2 3 2" xfId="23686" xr:uid="{E80A0DA1-6D8F-4CDC-9515-5C91AD1B3ABE}"/>
    <cellStyle name="Currency 5 2 2 4 2 3 3" xfId="32133" xr:uid="{44DC8A43-6F59-4FC6-B3BC-07606DCA5E00}"/>
    <cellStyle name="Currency 5 2 2 4 2 3 4" xfId="40580" xr:uid="{E60260B4-99BB-4C3F-BCD2-66AD10DE0BD5}"/>
    <cellStyle name="Currency 5 2 2 4 2 3 5" xfId="14386" xr:uid="{0C326C90-50F5-4BFE-99E8-1AB5293E9B0E}"/>
    <cellStyle name="Currency 5 2 2 4 2 4" xfId="9419" xr:uid="{F03E4D2E-3BA9-4D5B-9C35-959DB128CBAE}"/>
    <cellStyle name="Currency 5 2 2 4 2 4 2" xfId="18735" xr:uid="{71205CBF-1519-4D2F-8040-F0AC9B17537F}"/>
    <cellStyle name="Currency 5 2 2 4 2 5" xfId="19469" xr:uid="{F15BF8A7-ACED-4D19-AD38-3845CB3A94A8}"/>
    <cellStyle name="Currency 5 2 2 4 2 6" xfId="27916" xr:uid="{CBB0A13B-AC92-44B3-A21D-5099B1D90B62}"/>
    <cellStyle name="Currency 5 2 2 4 2 7" xfId="36363" xr:uid="{E9A8E264-C47A-4A4D-A18D-19C21FC59A7F}"/>
    <cellStyle name="Currency 5 2 2 4 2 8" xfId="10169" xr:uid="{97247366-E975-4DF3-898E-1C21AFBCE180}"/>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2 2 2" xfId="26244" xr:uid="{724EB59B-A4A1-4881-AA9A-306EFCA07624}"/>
    <cellStyle name="Currency 5 2 2 4 3 2 2 3" xfId="34691" xr:uid="{7E52A7C4-137C-4218-BA23-F8ACB03F5788}"/>
    <cellStyle name="Currency 5 2 2 4 3 2 2 4" xfId="43138" xr:uid="{63FC451C-1B2D-44E5-82F1-1B3AA68503B6}"/>
    <cellStyle name="Currency 5 2 2 4 3 2 2 5" xfId="16944" xr:uid="{2DB66367-C78C-4867-AF42-9347AA344458}"/>
    <cellStyle name="Currency 5 2 2 4 3 2 3" xfId="22027" xr:uid="{8DFA502E-7ED0-4689-B534-83F28019F061}"/>
    <cellStyle name="Currency 5 2 2 4 3 2 4" xfId="30474" xr:uid="{68F312C7-AAC8-49DA-BE3E-3B0F65B51CD0}"/>
    <cellStyle name="Currency 5 2 2 4 3 2 5" xfId="38921" xr:uid="{02E28EF5-3F58-4C48-9D11-3725F7E8731B}"/>
    <cellStyle name="Currency 5 2 2 4 3 2 6" xfId="12727" xr:uid="{C854A75F-46B0-498D-8140-F683DEA010A6}"/>
    <cellStyle name="Currency 5 2 2 4 3 3" xfId="5473" xr:uid="{00000000-0005-0000-0000-0000FB0B0000}"/>
    <cellStyle name="Currency 5 2 2 4 3 3 2" xfId="24099" xr:uid="{A735CA0A-0950-4CA8-8841-285F0CF59E8B}"/>
    <cellStyle name="Currency 5 2 2 4 3 3 3" xfId="32546" xr:uid="{A0A62E44-1302-44A9-AAF3-9F4290443F26}"/>
    <cellStyle name="Currency 5 2 2 4 3 3 4" xfId="40993" xr:uid="{12198F1A-3D42-45EB-8147-00A2F8FBF3AD}"/>
    <cellStyle name="Currency 5 2 2 4 3 3 5" xfId="14799" xr:uid="{A229B7C6-D868-4D95-9442-E80180C888C2}"/>
    <cellStyle name="Currency 5 2 2 4 3 4" xfId="19882" xr:uid="{3F22A326-2F13-4179-8A9F-52A52702686A}"/>
    <cellStyle name="Currency 5 2 2 4 3 5" xfId="28329" xr:uid="{92921CA8-1450-49B6-89BA-A58D659527B6}"/>
    <cellStyle name="Currency 5 2 2 4 3 6" xfId="36776" xr:uid="{1BBC9F1A-F594-4613-9ADB-EE030E3BEF8D}"/>
    <cellStyle name="Currency 5 2 2 4 3 7" xfId="10582" xr:uid="{A22F0257-6A83-4C2B-ABC3-1583BC634C09}"/>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2 2 2" xfId="26657" xr:uid="{88272EA6-C47F-4230-8DD7-C4569A165FF6}"/>
    <cellStyle name="Currency 5 2 2 4 4 2 2 3" xfId="35104" xr:uid="{E46BF31A-7ECA-4664-BD15-768F01E5A9BD}"/>
    <cellStyle name="Currency 5 2 2 4 4 2 2 4" xfId="43551" xr:uid="{51D1DA9E-C3AC-4F73-82EA-766B9523158B}"/>
    <cellStyle name="Currency 5 2 2 4 4 2 2 5" xfId="17357" xr:uid="{D785ADF5-8BFD-4008-A613-B243035D86A2}"/>
    <cellStyle name="Currency 5 2 2 4 4 2 3" xfId="22440" xr:uid="{CF9AC859-C5FA-4531-83B0-B2C4137C08F7}"/>
    <cellStyle name="Currency 5 2 2 4 4 2 4" xfId="30887" xr:uid="{AF1C06B4-BC2F-451A-AB76-93E67B440D64}"/>
    <cellStyle name="Currency 5 2 2 4 4 2 5" xfId="39334" xr:uid="{B74AA533-98CB-41C3-B571-B395F438242E}"/>
    <cellStyle name="Currency 5 2 2 4 4 2 6" xfId="13140" xr:uid="{F4B9B40E-EA3B-41A6-AC45-2A04EBCD253F}"/>
    <cellStyle name="Currency 5 2 2 4 4 3" xfId="5886" xr:uid="{00000000-0005-0000-0000-0000FF0B0000}"/>
    <cellStyle name="Currency 5 2 2 4 4 3 2" xfId="24512" xr:uid="{CC8A93AA-9E9B-4E64-ADD1-E7C82C51003C}"/>
    <cellStyle name="Currency 5 2 2 4 4 3 3" xfId="32959" xr:uid="{ED0E52AC-7502-4865-AE38-1591EDD7F007}"/>
    <cellStyle name="Currency 5 2 2 4 4 3 4" xfId="41406" xr:uid="{64C1219D-B5FD-4328-B2A1-23F497C92076}"/>
    <cellStyle name="Currency 5 2 2 4 4 3 5" xfId="15212" xr:uid="{021FA9DB-18B9-487B-A074-4D67F01A4784}"/>
    <cellStyle name="Currency 5 2 2 4 4 4" xfId="20295" xr:uid="{49494CB7-438E-4FD1-90DC-CDE5DAE506B3}"/>
    <cellStyle name="Currency 5 2 2 4 4 5" xfId="28742" xr:uid="{75E56814-A838-49FA-9F5C-6EC53C680CC9}"/>
    <cellStyle name="Currency 5 2 2 4 4 6" xfId="37189" xr:uid="{473AAA78-3F32-48D5-8AB1-5289E6104E84}"/>
    <cellStyle name="Currency 5 2 2 4 4 7" xfId="10995" xr:uid="{8C4B1CCA-A6EB-445B-AEA6-4703BEFADEBF}"/>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2 2 2" xfId="27070" xr:uid="{2B0082CE-4CCE-40F4-8204-AB7F0B88D1BA}"/>
    <cellStyle name="Currency 5 2 2 4 5 2 2 3" xfId="35517" xr:uid="{B19ED2B9-5CF6-494E-B045-7BDE159B1538}"/>
    <cellStyle name="Currency 5 2 2 4 5 2 2 4" xfId="43964" xr:uid="{18B1B8CB-B9E5-442B-B000-9F4FE38F9D73}"/>
    <cellStyle name="Currency 5 2 2 4 5 2 2 5" xfId="17770" xr:uid="{D48DA916-950F-40A3-BD39-29ADCB365C8E}"/>
    <cellStyle name="Currency 5 2 2 4 5 2 3" xfId="22853" xr:uid="{BBDD59AE-9E4A-4AC1-951F-3F2DB6DE37E8}"/>
    <cellStyle name="Currency 5 2 2 4 5 2 4" xfId="31300" xr:uid="{65C5A1AF-8CB1-4B6D-9F56-4EF694EBEA74}"/>
    <cellStyle name="Currency 5 2 2 4 5 2 5" xfId="39747" xr:uid="{7C85D727-FFBB-48CF-8247-C1E166C2E5A7}"/>
    <cellStyle name="Currency 5 2 2 4 5 2 6" xfId="13553" xr:uid="{05B57A4C-5296-424E-9914-703E9F120178}"/>
    <cellStyle name="Currency 5 2 2 4 5 3" xfId="6299" xr:uid="{00000000-0005-0000-0000-0000030C0000}"/>
    <cellStyle name="Currency 5 2 2 4 5 3 2" xfId="24925" xr:uid="{C12E44DF-B4CD-4418-9975-3232AADA1564}"/>
    <cellStyle name="Currency 5 2 2 4 5 3 3" xfId="33372" xr:uid="{04E81DA4-0FF4-4703-B008-35CF875B3913}"/>
    <cellStyle name="Currency 5 2 2 4 5 3 4" xfId="41819" xr:uid="{F19DA31C-6928-4194-8F42-46A84752EDB5}"/>
    <cellStyle name="Currency 5 2 2 4 5 3 5" xfId="15625" xr:uid="{A2CDDC29-E04A-42DB-8468-F6E91A19ACAE}"/>
    <cellStyle name="Currency 5 2 2 4 5 4" xfId="20708" xr:uid="{D4C6DCC5-E6C5-43FF-A8F4-AE6EE07E46C6}"/>
    <cellStyle name="Currency 5 2 2 4 5 5" xfId="29155" xr:uid="{2F26065E-926D-4D7D-B624-949CAB58D6A7}"/>
    <cellStyle name="Currency 5 2 2 4 5 6" xfId="37602" xr:uid="{6E2CE8C5-CEC3-436B-9125-DA430B73BADE}"/>
    <cellStyle name="Currency 5 2 2 4 5 7" xfId="11408" xr:uid="{DC000A5B-79B5-49F2-831D-E9DEDE06D68E}"/>
    <cellStyle name="Currency 5 2 2 4 6" xfId="2428" xr:uid="{00000000-0005-0000-0000-0000040C0000}"/>
    <cellStyle name="Currency 5 2 2 4 6 2" xfId="6712" xr:uid="{00000000-0005-0000-0000-0000050C0000}"/>
    <cellStyle name="Currency 5 2 2 4 6 2 2" xfId="25338" xr:uid="{2FDB4F41-9D58-4419-A1CF-EB0A853CD7EF}"/>
    <cellStyle name="Currency 5 2 2 4 6 2 3" xfId="33785" xr:uid="{324E49D6-0EB4-47BD-A300-675ADBD95B12}"/>
    <cellStyle name="Currency 5 2 2 4 6 2 4" xfId="42232" xr:uid="{35020740-EAA9-478A-90DE-EE142FC9F2EA}"/>
    <cellStyle name="Currency 5 2 2 4 6 2 5" xfId="16038" xr:uid="{28E62915-70D0-4319-8D03-752FB8EFF9FF}"/>
    <cellStyle name="Currency 5 2 2 4 6 3" xfId="21121" xr:uid="{C97BB01E-C8FB-401B-A787-CF0E264EFD46}"/>
    <cellStyle name="Currency 5 2 2 4 6 4" xfId="29568" xr:uid="{37C44E3A-2F25-4D1B-9FB1-44AE719154FA}"/>
    <cellStyle name="Currency 5 2 2 4 6 5" xfId="38015" xr:uid="{0BB94BBC-9C62-4A5F-8925-CED97A06D081}"/>
    <cellStyle name="Currency 5 2 2 4 6 6" xfId="11821" xr:uid="{F3090100-67D0-4EA0-9510-9F6B82468D3F}"/>
    <cellStyle name="Currency 5 2 2 4 7" xfId="2725" xr:uid="{00000000-0005-0000-0000-0000060C0000}"/>
    <cellStyle name="Currency 5 2 2 4 8" xfId="2806" xr:uid="{00000000-0005-0000-0000-0000070C0000}"/>
    <cellStyle name="Currency 5 2 2 4 8 2" xfId="7029" xr:uid="{00000000-0005-0000-0000-0000080C0000}"/>
    <cellStyle name="Currency 5 2 2 4 8 2 2" xfId="25655" xr:uid="{B21CFFDA-95A0-41E1-9B75-3BB2C816868A}"/>
    <cellStyle name="Currency 5 2 2 4 8 2 3" xfId="34102" xr:uid="{ECD2444F-D8BC-489B-836F-70FB4925B5E8}"/>
    <cellStyle name="Currency 5 2 2 4 8 2 4" xfId="42549" xr:uid="{6144B99C-D0E3-4FBC-8386-F1646B5249CE}"/>
    <cellStyle name="Currency 5 2 2 4 8 2 5" xfId="16355" xr:uid="{BE10F243-BB4B-4FF9-8F6E-7491C58E9838}"/>
    <cellStyle name="Currency 5 2 2 4 8 3" xfId="21438" xr:uid="{4694A18C-F8AF-4522-A91C-98351826BC69}"/>
    <cellStyle name="Currency 5 2 2 4 8 4" xfId="29885" xr:uid="{340392A2-DACE-47F1-AEC1-C9CEF56A1344}"/>
    <cellStyle name="Currency 5 2 2 4 8 5" xfId="38332" xr:uid="{24DB8DA4-DD01-41A9-85BC-6CE5A716D1A4}"/>
    <cellStyle name="Currency 5 2 2 4 8 6" xfId="12138" xr:uid="{1C7B96D7-B4F9-4CB3-BD84-E217D1B4EFC3}"/>
    <cellStyle name="Currency 5 2 2 4 9" xfId="4646" xr:uid="{00000000-0005-0000-0000-0000090C0000}"/>
    <cellStyle name="Currency 5 2 2 4 9 2" xfId="23272" xr:uid="{A01907C3-0666-4D58-98AB-E00DFC0AAE89}"/>
    <cellStyle name="Currency 5 2 2 4 9 3" xfId="31719" xr:uid="{44B3FAC7-C2E6-46B5-8B06-24C40BBE6001}"/>
    <cellStyle name="Currency 5 2 2 4 9 4" xfId="40166" xr:uid="{FCAC1A01-53DD-4F51-B342-9BC87206B072}"/>
    <cellStyle name="Currency 5 2 2 4 9 5" xfId="13972" xr:uid="{701ED050-EA71-4971-8325-3D40AFF8AC8E}"/>
    <cellStyle name="Currency 5 2 2 5" xfId="203" xr:uid="{00000000-0005-0000-0000-00000A0C0000}"/>
    <cellStyle name="Currency 5 2 2 5 10" xfId="9211" xr:uid="{586E1D8D-A72F-44A2-BAB5-A0BAD4827F6D}"/>
    <cellStyle name="Currency 5 2 2 5 10 2" xfId="18528" xr:uid="{AF389261-4781-404E-9CE8-63FF42B2AB97}"/>
    <cellStyle name="Currency 5 2 2 5 11" xfId="19056" xr:uid="{08DCC2FC-C205-4208-9A94-9A033CA75444}"/>
    <cellStyle name="Currency 5 2 2 5 12" xfId="27503" xr:uid="{B9380475-A1EF-4341-8205-BC169CC92BF3}"/>
    <cellStyle name="Currency 5 2 2 5 13" xfId="35950" xr:uid="{CB061BB7-EFA1-4440-9790-3BB118450EB5}"/>
    <cellStyle name="Currency 5 2 2 5 14" xfId="9756" xr:uid="{ACD9C935-6F88-468A-9769-56788485CBF8}"/>
    <cellStyle name="Currency 5 2 2 5 2" xfId="730" xr:uid="{00000000-0005-0000-0000-00000B0C0000}"/>
    <cellStyle name="Currency 5 2 2 5 2 2" xfId="2984" xr:uid="{00000000-0005-0000-0000-00000C0C0000}"/>
    <cellStyle name="Currency 5 2 2 5 2 2 2" xfId="7206" xr:uid="{00000000-0005-0000-0000-00000D0C0000}"/>
    <cellStyle name="Currency 5 2 2 5 2 2 2 2" xfId="25832" xr:uid="{2AFE4275-357B-46CF-97F3-E03E6DCD8D9E}"/>
    <cellStyle name="Currency 5 2 2 5 2 2 2 3" xfId="34279" xr:uid="{867DE647-1D3A-4B70-AA73-9379D0D104AA}"/>
    <cellStyle name="Currency 5 2 2 5 2 2 2 4" xfId="42726" xr:uid="{1088C3F0-9373-440E-BE8F-3078007BCBB2}"/>
    <cellStyle name="Currency 5 2 2 5 2 2 2 5" xfId="16532" xr:uid="{B6E2FB6B-C537-4801-9AAD-0A452C9D0405}"/>
    <cellStyle name="Currency 5 2 2 5 2 2 3" xfId="21615" xr:uid="{3329C23B-9AC1-40CD-A66B-2F43F3BAE7CE}"/>
    <cellStyle name="Currency 5 2 2 5 2 2 4" xfId="30062" xr:uid="{6280060B-9560-419F-885C-7430658D0391}"/>
    <cellStyle name="Currency 5 2 2 5 2 2 5" xfId="38509" xr:uid="{79F5E3F8-B772-4B23-9E6E-6E31D4EECC61}"/>
    <cellStyle name="Currency 5 2 2 5 2 2 6" xfId="12315" xr:uid="{ACE314E4-9D08-4EB6-8DF9-B4C0DDE98981}"/>
    <cellStyle name="Currency 5 2 2 5 2 3" xfId="5061" xr:uid="{00000000-0005-0000-0000-00000E0C0000}"/>
    <cellStyle name="Currency 5 2 2 5 2 3 2" xfId="23687" xr:uid="{A97CBA12-BD58-4205-A853-6CD50B558F29}"/>
    <cellStyle name="Currency 5 2 2 5 2 3 3" xfId="32134" xr:uid="{820864DE-68BB-4396-971B-A974D4FA85FB}"/>
    <cellStyle name="Currency 5 2 2 5 2 3 4" xfId="40581" xr:uid="{A710EB73-8EC2-4EB0-A121-2B673AEBE726}"/>
    <cellStyle name="Currency 5 2 2 5 2 3 5" xfId="14387" xr:uid="{2374CAAA-CEA6-44B5-81AC-0F86D33C77FF}"/>
    <cellStyle name="Currency 5 2 2 5 2 4" xfId="9598" xr:uid="{EBD3270B-608E-49E1-8A20-C5ADF81FBC1B}"/>
    <cellStyle name="Currency 5 2 2 5 2 4 2" xfId="18903" xr:uid="{6A3CD148-D324-4C96-AC8B-062FB63F4537}"/>
    <cellStyle name="Currency 5 2 2 5 2 5" xfId="19470" xr:uid="{BA91C128-803D-46F6-8656-99B12A090240}"/>
    <cellStyle name="Currency 5 2 2 5 2 6" xfId="27917" xr:uid="{47EEBA22-1E75-4AD1-8B4A-AB9A0A341203}"/>
    <cellStyle name="Currency 5 2 2 5 2 7" xfId="36364" xr:uid="{E50E9BD0-7F3A-41AB-A53C-5A5B9036ACB0}"/>
    <cellStyle name="Currency 5 2 2 5 2 8" xfId="10170" xr:uid="{3A8D0C20-C452-42E2-8B91-17AE130D1574}"/>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2 2 2" xfId="26245" xr:uid="{635DBEF6-D40E-41AD-8737-0EE2084A2C56}"/>
    <cellStyle name="Currency 5 2 2 5 3 2 2 3" xfId="34692" xr:uid="{1ACDFDB4-5E98-4F56-B79A-0212AF60F672}"/>
    <cellStyle name="Currency 5 2 2 5 3 2 2 4" xfId="43139" xr:uid="{88A038E4-3B88-46F6-892C-61587207AE13}"/>
    <cellStyle name="Currency 5 2 2 5 3 2 2 5" xfId="16945" xr:uid="{45949848-D012-47BD-BE4E-B41C1EC81241}"/>
    <cellStyle name="Currency 5 2 2 5 3 2 3" xfId="22028" xr:uid="{5B89F292-AE94-4B95-992B-9D2EEA2A3F0A}"/>
    <cellStyle name="Currency 5 2 2 5 3 2 4" xfId="30475" xr:uid="{B253C9BE-7AA7-4A6B-B322-A9FA77E47718}"/>
    <cellStyle name="Currency 5 2 2 5 3 2 5" xfId="38922" xr:uid="{F7956040-9322-4FF9-853A-41701EE33ABB}"/>
    <cellStyle name="Currency 5 2 2 5 3 2 6" xfId="12728" xr:uid="{7F607F6C-B449-4E4F-8D0C-9DD73847C86B}"/>
    <cellStyle name="Currency 5 2 2 5 3 3" xfId="5474" xr:uid="{00000000-0005-0000-0000-0000120C0000}"/>
    <cellStyle name="Currency 5 2 2 5 3 3 2" xfId="24100" xr:uid="{5C07556F-AF1D-4B73-A09B-A2BF667F9394}"/>
    <cellStyle name="Currency 5 2 2 5 3 3 3" xfId="32547" xr:uid="{F9490626-5400-49B9-98C4-EBFA46A6E19B}"/>
    <cellStyle name="Currency 5 2 2 5 3 3 4" xfId="40994" xr:uid="{5653CEBA-23C8-4F63-9254-D349F4D4DBB7}"/>
    <cellStyle name="Currency 5 2 2 5 3 3 5" xfId="14800" xr:uid="{61E6076D-6123-4426-8C1E-188F066CBC94}"/>
    <cellStyle name="Currency 5 2 2 5 3 4" xfId="19883" xr:uid="{2E5918BE-3D57-40D6-9B75-040879E0A605}"/>
    <cellStyle name="Currency 5 2 2 5 3 5" xfId="28330" xr:uid="{813FAFC4-ED14-4015-AC57-4D488B266CEE}"/>
    <cellStyle name="Currency 5 2 2 5 3 6" xfId="36777" xr:uid="{EBBC9E8A-B128-4207-B3A4-7D0A202E0AE4}"/>
    <cellStyle name="Currency 5 2 2 5 3 7" xfId="10583" xr:uid="{03DF3B7E-ECA4-4B51-B5F3-DFFB3473A016}"/>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2 2 2" xfId="26658" xr:uid="{0A5F3F28-0C7A-40BA-86D3-3DB0F7C3C8DD}"/>
    <cellStyle name="Currency 5 2 2 5 4 2 2 3" xfId="35105" xr:uid="{9DED814A-0780-4FE0-A76F-5B4B0879722F}"/>
    <cellStyle name="Currency 5 2 2 5 4 2 2 4" xfId="43552" xr:uid="{970EAFA3-4664-4682-843C-6825A94C7AB9}"/>
    <cellStyle name="Currency 5 2 2 5 4 2 2 5" xfId="17358" xr:uid="{2195F48D-00DD-475E-9B26-2B5263678E22}"/>
    <cellStyle name="Currency 5 2 2 5 4 2 3" xfId="22441" xr:uid="{800F8AC6-F102-4AF6-8AA7-4AD256CDC035}"/>
    <cellStyle name="Currency 5 2 2 5 4 2 4" xfId="30888" xr:uid="{49148CAE-32AD-46C4-9D5F-AE5028BA8989}"/>
    <cellStyle name="Currency 5 2 2 5 4 2 5" xfId="39335" xr:uid="{B0E03C79-BF7C-4C01-BF2F-847DFA67A190}"/>
    <cellStyle name="Currency 5 2 2 5 4 2 6" xfId="13141" xr:uid="{841EBAE1-1E53-46C6-B64A-3B3A52829E86}"/>
    <cellStyle name="Currency 5 2 2 5 4 3" xfId="5887" xr:uid="{00000000-0005-0000-0000-0000160C0000}"/>
    <cellStyle name="Currency 5 2 2 5 4 3 2" xfId="24513" xr:uid="{EFDCD4AA-DAF0-4020-A969-6B2F26A5AA8F}"/>
    <cellStyle name="Currency 5 2 2 5 4 3 3" xfId="32960" xr:uid="{0552E789-BC59-4814-B6A8-8AEC62B05715}"/>
    <cellStyle name="Currency 5 2 2 5 4 3 4" xfId="41407" xr:uid="{13F72B0B-EAB8-4FB0-AB55-C3CCABBAF2C5}"/>
    <cellStyle name="Currency 5 2 2 5 4 3 5" xfId="15213" xr:uid="{0E142D1B-1E21-4F47-A90D-582D8DDD0641}"/>
    <cellStyle name="Currency 5 2 2 5 4 4" xfId="20296" xr:uid="{548C5674-51D0-4893-9D56-852D2F867D5F}"/>
    <cellStyle name="Currency 5 2 2 5 4 5" xfId="28743" xr:uid="{E305A81F-DA4B-477B-91E1-83B79CB90252}"/>
    <cellStyle name="Currency 5 2 2 5 4 6" xfId="37190" xr:uid="{465F507E-15FB-44B1-BB81-9E8ADEB049F4}"/>
    <cellStyle name="Currency 5 2 2 5 4 7" xfId="10996" xr:uid="{0D7F92E3-9FD3-4523-907F-0F20C95444B6}"/>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2 2 2" xfId="27071" xr:uid="{B313FB62-5475-491D-A221-4E241DE42D33}"/>
    <cellStyle name="Currency 5 2 2 5 5 2 2 3" xfId="35518" xr:uid="{7344E2CE-9BBC-4720-835A-0BCBD784B13E}"/>
    <cellStyle name="Currency 5 2 2 5 5 2 2 4" xfId="43965" xr:uid="{FEBF4232-898E-4B54-B72C-5B97CA6AC406}"/>
    <cellStyle name="Currency 5 2 2 5 5 2 2 5" xfId="17771" xr:uid="{3EA234EE-A5C0-41CB-B6B3-55407B265061}"/>
    <cellStyle name="Currency 5 2 2 5 5 2 3" xfId="22854" xr:uid="{F8BF4A95-BD6A-4B43-9F1D-1CB29E047EAD}"/>
    <cellStyle name="Currency 5 2 2 5 5 2 4" xfId="31301" xr:uid="{E87960CE-BFFF-4A79-AAF7-803955CCE127}"/>
    <cellStyle name="Currency 5 2 2 5 5 2 5" xfId="39748" xr:uid="{A726723C-0C69-4EB3-87E9-D2959BE4CA5A}"/>
    <cellStyle name="Currency 5 2 2 5 5 2 6" xfId="13554" xr:uid="{A781ED80-7B02-422C-9A73-AFE69B0E8929}"/>
    <cellStyle name="Currency 5 2 2 5 5 3" xfId="6300" xr:uid="{00000000-0005-0000-0000-00001A0C0000}"/>
    <cellStyle name="Currency 5 2 2 5 5 3 2" xfId="24926" xr:uid="{66A74D47-A822-480A-AB84-5B885FA22CC6}"/>
    <cellStyle name="Currency 5 2 2 5 5 3 3" xfId="33373" xr:uid="{0181CEA5-8652-40F5-8572-2E86A64D5AE3}"/>
    <cellStyle name="Currency 5 2 2 5 5 3 4" xfId="41820" xr:uid="{9AB9BBCE-C5BA-48E4-A2BD-32CECD9C8368}"/>
    <cellStyle name="Currency 5 2 2 5 5 3 5" xfId="15626" xr:uid="{7114EDD5-2159-4FBF-8FAD-00C16E028F7D}"/>
    <cellStyle name="Currency 5 2 2 5 5 4" xfId="20709" xr:uid="{4826310D-9774-4333-A1C8-FFF7F1494DE7}"/>
    <cellStyle name="Currency 5 2 2 5 5 5" xfId="29156" xr:uid="{9EFAE52D-4E7D-47C5-A3D6-6440C03E6BCC}"/>
    <cellStyle name="Currency 5 2 2 5 5 6" xfId="37603" xr:uid="{460721F8-304F-4CE4-9AB5-8322032D188D}"/>
    <cellStyle name="Currency 5 2 2 5 5 7" xfId="11409" xr:uid="{B10763A1-5338-4DFE-86A8-0658CC35CF98}"/>
    <cellStyle name="Currency 5 2 2 5 6" xfId="2429" xr:uid="{00000000-0005-0000-0000-00001B0C0000}"/>
    <cellStyle name="Currency 5 2 2 5 6 2" xfId="6713" xr:uid="{00000000-0005-0000-0000-00001C0C0000}"/>
    <cellStyle name="Currency 5 2 2 5 6 2 2" xfId="25339" xr:uid="{E2EC69DD-A1ED-4622-A6A7-D28853DC35C5}"/>
    <cellStyle name="Currency 5 2 2 5 6 2 3" xfId="33786" xr:uid="{F1808391-D474-4767-AEB5-2ECA91E838B7}"/>
    <cellStyle name="Currency 5 2 2 5 6 2 4" xfId="42233" xr:uid="{CD81D676-924C-484B-9558-360E1727C2C4}"/>
    <cellStyle name="Currency 5 2 2 5 6 2 5" xfId="16039" xr:uid="{63A7A8E5-242F-46C3-89FA-0700E8653D55}"/>
    <cellStyle name="Currency 5 2 2 5 6 3" xfId="21122" xr:uid="{FE110A8B-243D-4E53-8797-D0076C82631C}"/>
    <cellStyle name="Currency 5 2 2 5 6 4" xfId="29569" xr:uid="{C9B6A69C-B572-4B16-8F22-548C6E94C2D5}"/>
    <cellStyle name="Currency 5 2 2 5 6 5" xfId="38016" xr:uid="{4CFF9833-39AA-415B-821C-32ECE07C1DEB}"/>
    <cellStyle name="Currency 5 2 2 5 6 6" xfId="11822" xr:uid="{8EC6F337-E6F8-4A00-8B99-883EDAB72622}"/>
    <cellStyle name="Currency 5 2 2 5 7" xfId="2726" xr:uid="{00000000-0005-0000-0000-00001D0C0000}"/>
    <cellStyle name="Currency 5 2 2 5 8" xfId="2807" xr:uid="{00000000-0005-0000-0000-00001E0C0000}"/>
    <cellStyle name="Currency 5 2 2 5 8 2" xfId="7030" xr:uid="{00000000-0005-0000-0000-00001F0C0000}"/>
    <cellStyle name="Currency 5 2 2 5 8 2 2" xfId="25656" xr:uid="{04543FC8-82DC-475F-B498-7FC6768D94B2}"/>
    <cellStyle name="Currency 5 2 2 5 8 2 3" xfId="34103" xr:uid="{63C81332-F9BB-42F5-A12F-8A5CE6CAF31A}"/>
    <cellStyle name="Currency 5 2 2 5 8 2 4" xfId="42550" xr:uid="{29F4D31A-5FE5-4FA6-BC15-3896040D798C}"/>
    <cellStyle name="Currency 5 2 2 5 8 2 5" xfId="16356" xr:uid="{E637A4A8-6942-4838-8DD1-7A08FC88A3A4}"/>
    <cellStyle name="Currency 5 2 2 5 8 3" xfId="21439" xr:uid="{88B7DB20-30BD-4AEE-B170-34A61719955E}"/>
    <cellStyle name="Currency 5 2 2 5 8 4" xfId="29886" xr:uid="{C901B231-0A0C-4886-9360-9272973C6649}"/>
    <cellStyle name="Currency 5 2 2 5 8 5" xfId="38333" xr:uid="{F6C51EAB-79F7-4468-A910-B2A7B94D115E}"/>
    <cellStyle name="Currency 5 2 2 5 8 6" xfId="12139" xr:uid="{C21F33B7-DDE4-46F9-8E68-FA7240354767}"/>
    <cellStyle name="Currency 5 2 2 5 9" xfId="4647" xr:uid="{00000000-0005-0000-0000-0000200C0000}"/>
    <cellStyle name="Currency 5 2 2 5 9 2" xfId="23273" xr:uid="{F4371B9C-CE2C-4F81-8478-DF7951D7646D}"/>
    <cellStyle name="Currency 5 2 2 5 9 3" xfId="31720" xr:uid="{FAA565A2-D5DD-452E-8CCE-A0A124B57FBE}"/>
    <cellStyle name="Currency 5 2 2 5 9 4" xfId="40167" xr:uid="{E3A73598-2D2E-4C62-9C7E-6F2263AAF516}"/>
    <cellStyle name="Currency 5 2 2 5 9 5" xfId="13973" xr:uid="{77E89DBF-661F-4296-85DC-FF03CD93FA60}"/>
    <cellStyle name="Currency 5 2 2 6" xfId="9584" xr:uid="{DC5749FB-A314-4F8C-B61F-309C27A570F5}"/>
    <cellStyle name="Currency 5 2 2 7" xfId="8787" xr:uid="{822EE7D8-70A6-49D7-843D-E84C848DC397}"/>
    <cellStyle name="Currency 5 2 2 7 2" xfId="18111" xr:uid="{BF6A9C39-F057-4239-A61D-2330B2A1CC8C}"/>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0 2" xfId="23274" xr:uid="{B2FB4F1F-EE82-4DE6-9ADC-E656062D95CA}"/>
    <cellStyle name="Currency 5 2 4 10 3" xfId="31721" xr:uid="{B2CC0F08-72AB-4735-A9D3-516D17A0756F}"/>
    <cellStyle name="Currency 5 2 4 10 4" xfId="40168" xr:uid="{983E5B78-50BB-410B-80D4-40F1F5611B6C}"/>
    <cellStyle name="Currency 5 2 4 10 5" xfId="13974" xr:uid="{6851F2CD-FAE6-48A4-8EDE-BE9C3424FD04}"/>
    <cellStyle name="Currency 5 2 4 11" xfId="8859" xr:uid="{D3A5F8AD-5F4E-4BEA-A9B4-9A705A015524}"/>
    <cellStyle name="Currency 5 2 4 11 2" xfId="18183" xr:uid="{48F07172-3438-4EA0-AA82-C26D33592045}"/>
    <cellStyle name="Currency 5 2 4 12" xfId="19057" xr:uid="{2D4F4D4D-13FC-45DB-844C-1E024C56007E}"/>
    <cellStyle name="Currency 5 2 4 13" xfId="27504" xr:uid="{B16A6DD6-7A49-4701-AE91-AED26626188B}"/>
    <cellStyle name="Currency 5 2 4 14" xfId="35951" xr:uid="{441E6CB8-4274-4EF2-A86A-B49C9A72F259}"/>
    <cellStyle name="Currency 5 2 4 15" xfId="9757" xr:uid="{A5342F77-F1A3-4CD6-A31B-E98D7CC34B86}"/>
    <cellStyle name="Currency 5 2 4 2" xfId="206" xr:uid="{00000000-0005-0000-0000-0000250C0000}"/>
    <cellStyle name="Currency 5 2 4 2 10" xfId="9066" xr:uid="{2F7A28AF-2120-4AAF-A58B-33C2E07F597D}"/>
    <cellStyle name="Currency 5 2 4 2 10 2" xfId="18390" xr:uid="{36E43554-EFE0-4309-85D1-E0744AF321C6}"/>
    <cellStyle name="Currency 5 2 4 2 11" xfId="19058" xr:uid="{5DC2B620-FABB-4405-BC83-3B8B00D5714A}"/>
    <cellStyle name="Currency 5 2 4 2 12" xfId="27505" xr:uid="{44DD0D87-02EA-47BE-9F47-3EB69B10C0DC}"/>
    <cellStyle name="Currency 5 2 4 2 13" xfId="35952" xr:uid="{934CC7C7-3C0B-4BA4-893F-D40F24E6AD70}"/>
    <cellStyle name="Currency 5 2 4 2 14" xfId="9758" xr:uid="{39EDF905-CA83-4EBE-9E3F-C24B0D452046}"/>
    <cellStyle name="Currency 5 2 4 2 2" xfId="733" xr:uid="{00000000-0005-0000-0000-0000260C0000}"/>
    <cellStyle name="Currency 5 2 4 2 2 2" xfId="2986" xr:uid="{00000000-0005-0000-0000-0000270C0000}"/>
    <cellStyle name="Currency 5 2 4 2 2 2 2" xfId="7208" xr:uid="{00000000-0005-0000-0000-0000280C0000}"/>
    <cellStyle name="Currency 5 2 4 2 2 2 2 2" xfId="25834" xr:uid="{729F3230-5EBC-4F07-8A0F-6983D53C586F}"/>
    <cellStyle name="Currency 5 2 4 2 2 2 2 3" xfId="34281" xr:uid="{E1A18DC8-CD1B-4D84-9F60-72EB67A658A8}"/>
    <cellStyle name="Currency 5 2 4 2 2 2 2 4" xfId="42728" xr:uid="{19F87167-3A07-46F0-A251-5B03B5C048B0}"/>
    <cellStyle name="Currency 5 2 4 2 2 2 2 5" xfId="16534" xr:uid="{A6C950AE-C50A-4A7E-9F02-3DA35A9ADEA0}"/>
    <cellStyle name="Currency 5 2 4 2 2 2 3" xfId="21617" xr:uid="{A54CBA11-2E67-4390-88FE-C330159F6CFB}"/>
    <cellStyle name="Currency 5 2 4 2 2 2 4" xfId="30064" xr:uid="{3CE915B9-814D-40BC-AC36-2E4AF68E4C87}"/>
    <cellStyle name="Currency 5 2 4 2 2 2 5" xfId="38511" xr:uid="{733C3145-B1BF-43BB-9A77-D007DCEB98CB}"/>
    <cellStyle name="Currency 5 2 4 2 2 2 6" xfId="12317" xr:uid="{3FA83DC2-F72F-4E90-A9BA-4B237BBEB94D}"/>
    <cellStyle name="Currency 5 2 4 2 2 3" xfId="5063" xr:uid="{00000000-0005-0000-0000-0000290C0000}"/>
    <cellStyle name="Currency 5 2 4 2 2 3 2" xfId="23689" xr:uid="{6F3471AB-55BA-4CBF-9382-1C17F5C6B610}"/>
    <cellStyle name="Currency 5 2 4 2 2 3 3" xfId="32136" xr:uid="{65CD0A6E-3AF4-403B-BF42-91671379B3C4}"/>
    <cellStyle name="Currency 5 2 4 2 2 3 4" xfId="40583" xr:uid="{4C0171B1-F427-455D-B0AF-3F2BF802773B}"/>
    <cellStyle name="Currency 5 2 4 2 2 3 5" xfId="14389" xr:uid="{725B1FB6-8F98-48C5-8B37-50FA592E0110}"/>
    <cellStyle name="Currency 5 2 4 2 2 4" xfId="9491" xr:uid="{64B868C7-9024-4970-9E74-7DF82417BD7A}"/>
    <cellStyle name="Currency 5 2 4 2 2 4 2" xfId="18807" xr:uid="{60D1CA12-0615-4BC9-BECC-52E912800778}"/>
    <cellStyle name="Currency 5 2 4 2 2 5" xfId="19472" xr:uid="{DF48DE25-E958-4AA7-AC36-ED2184D6D6DA}"/>
    <cellStyle name="Currency 5 2 4 2 2 6" xfId="27919" xr:uid="{1695CF9F-D62F-4ED2-B788-E0ECCE00B4A2}"/>
    <cellStyle name="Currency 5 2 4 2 2 7" xfId="36366" xr:uid="{2D482314-59D7-4890-8144-671B0A67456F}"/>
    <cellStyle name="Currency 5 2 4 2 2 8" xfId="10172" xr:uid="{20990380-A117-4A9F-8FA8-43D4761D4DF2}"/>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2 2 2" xfId="26247" xr:uid="{08C8A631-4880-4FF8-B932-4292D417B5C3}"/>
    <cellStyle name="Currency 5 2 4 2 3 2 2 3" xfId="34694" xr:uid="{86A6D1F5-8116-4DC5-9A0F-A57ABB1EDDEF}"/>
    <cellStyle name="Currency 5 2 4 2 3 2 2 4" xfId="43141" xr:uid="{9ED9AD0B-0514-4D9D-8FAC-B063F50C7F4B}"/>
    <cellStyle name="Currency 5 2 4 2 3 2 2 5" xfId="16947" xr:uid="{C1660CDE-0D1F-4B92-98B6-ACD9675A212D}"/>
    <cellStyle name="Currency 5 2 4 2 3 2 3" xfId="22030" xr:uid="{8A848E9E-4B05-4F72-99AD-77AF8508D054}"/>
    <cellStyle name="Currency 5 2 4 2 3 2 4" xfId="30477" xr:uid="{B2735FE9-2A47-4776-B928-96B89299CE78}"/>
    <cellStyle name="Currency 5 2 4 2 3 2 5" xfId="38924" xr:uid="{D7215BEE-D6D4-407B-849C-39BC6A979D60}"/>
    <cellStyle name="Currency 5 2 4 2 3 2 6" xfId="12730" xr:uid="{36FB14B3-0457-4EDB-8206-9D1244469B0D}"/>
    <cellStyle name="Currency 5 2 4 2 3 3" xfId="5476" xr:uid="{00000000-0005-0000-0000-00002D0C0000}"/>
    <cellStyle name="Currency 5 2 4 2 3 3 2" xfId="24102" xr:uid="{57345039-F101-403C-8413-722F24D11B07}"/>
    <cellStyle name="Currency 5 2 4 2 3 3 3" xfId="32549" xr:uid="{EBC25097-D042-4004-951A-2BC05C58390F}"/>
    <cellStyle name="Currency 5 2 4 2 3 3 4" xfId="40996" xr:uid="{6919FEDC-2117-46BD-9E85-60326EE0362D}"/>
    <cellStyle name="Currency 5 2 4 2 3 3 5" xfId="14802" xr:uid="{C96AF587-7240-47E8-8119-1C06B9A86317}"/>
    <cellStyle name="Currency 5 2 4 2 3 4" xfId="19885" xr:uid="{A3DCC4AB-3CB3-42F6-9FA3-759B39AC4274}"/>
    <cellStyle name="Currency 5 2 4 2 3 5" xfId="28332" xr:uid="{E5BB0BC0-39A9-4620-AE96-E193ED4B55C0}"/>
    <cellStyle name="Currency 5 2 4 2 3 6" xfId="36779" xr:uid="{13094616-3577-40B3-B00B-BF328A84DF3D}"/>
    <cellStyle name="Currency 5 2 4 2 3 7" xfId="10585" xr:uid="{E1ACA5CC-38D8-4612-A6AC-64B2B655639B}"/>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2 2 2" xfId="26660" xr:uid="{868007C9-2455-4299-B337-4A2F300E256A}"/>
    <cellStyle name="Currency 5 2 4 2 4 2 2 3" xfId="35107" xr:uid="{DB3A04B6-237D-4F16-8D44-28F6C19475F2}"/>
    <cellStyle name="Currency 5 2 4 2 4 2 2 4" xfId="43554" xr:uid="{5B73FA59-70DC-464B-8010-F2F3069CAB31}"/>
    <cellStyle name="Currency 5 2 4 2 4 2 2 5" xfId="17360" xr:uid="{BF39EE4A-09BC-4FAB-A513-CD47749A0204}"/>
    <cellStyle name="Currency 5 2 4 2 4 2 3" xfId="22443" xr:uid="{51C75D3D-ABC2-4265-97EA-AD965571E468}"/>
    <cellStyle name="Currency 5 2 4 2 4 2 4" xfId="30890" xr:uid="{7430F595-3B50-4806-86BC-71FD3869CDD3}"/>
    <cellStyle name="Currency 5 2 4 2 4 2 5" xfId="39337" xr:uid="{EFE2F99D-B73D-4F55-A29F-94E66FACA456}"/>
    <cellStyle name="Currency 5 2 4 2 4 2 6" xfId="13143" xr:uid="{478F89FE-CCA6-4CE3-8475-5BB3393D180A}"/>
    <cellStyle name="Currency 5 2 4 2 4 3" xfId="5889" xr:uid="{00000000-0005-0000-0000-0000310C0000}"/>
    <cellStyle name="Currency 5 2 4 2 4 3 2" xfId="24515" xr:uid="{51370135-BBF3-4219-9BE1-AB980A466B60}"/>
    <cellStyle name="Currency 5 2 4 2 4 3 3" xfId="32962" xr:uid="{B42B505D-6404-476D-9F31-A6E34B71B90A}"/>
    <cellStyle name="Currency 5 2 4 2 4 3 4" xfId="41409" xr:uid="{DC5F1DBA-9D5D-41E7-AE68-9661B2D15C22}"/>
    <cellStyle name="Currency 5 2 4 2 4 3 5" xfId="15215" xr:uid="{4A28A11F-3888-4A1B-B72F-DB6F9A3B7DD0}"/>
    <cellStyle name="Currency 5 2 4 2 4 4" xfId="20298" xr:uid="{81DD1CCE-84D2-47D6-9307-DA9EF0A60AAB}"/>
    <cellStyle name="Currency 5 2 4 2 4 5" xfId="28745" xr:uid="{DF676F82-BB3D-4DD7-8EC7-EC6F4C8EAE63}"/>
    <cellStyle name="Currency 5 2 4 2 4 6" xfId="37192" xr:uid="{BFB63C23-4740-4BF5-88DB-ABBC5063BC54}"/>
    <cellStyle name="Currency 5 2 4 2 4 7" xfId="10998" xr:uid="{94DC3B44-21EE-4F51-97CC-BEC45C849307}"/>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2 2 2" xfId="27073" xr:uid="{506E99D6-FED2-47EC-A1BE-762966841F77}"/>
    <cellStyle name="Currency 5 2 4 2 5 2 2 3" xfId="35520" xr:uid="{BCA3641C-E25C-4558-987B-E1D73C5BBD96}"/>
    <cellStyle name="Currency 5 2 4 2 5 2 2 4" xfId="43967" xr:uid="{3341773F-14B5-4B02-8690-9E161EF4DCC9}"/>
    <cellStyle name="Currency 5 2 4 2 5 2 2 5" xfId="17773" xr:uid="{1E5753A7-6E02-47A4-91B0-0ECCEA183509}"/>
    <cellStyle name="Currency 5 2 4 2 5 2 3" xfId="22856" xr:uid="{4A81F74E-6F2C-4077-896A-E2A65E1E288B}"/>
    <cellStyle name="Currency 5 2 4 2 5 2 4" xfId="31303" xr:uid="{F92D4F8B-2643-40FE-80A1-BA87B965BA97}"/>
    <cellStyle name="Currency 5 2 4 2 5 2 5" xfId="39750" xr:uid="{723E878B-28A8-4421-ACAA-0619A5D50D16}"/>
    <cellStyle name="Currency 5 2 4 2 5 2 6" xfId="13556" xr:uid="{58FC1783-E8F8-4C3F-B5F6-A41338E432C5}"/>
    <cellStyle name="Currency 5 2 4 2 5 3" xfId="6302" xr:uid="{00000000-0005-0000-0000-0000350C0000}"/>
    <cellStyle name="Currency 5 2 4 2 5 3 2" xfId="24928" xr:uid="{C23BD863-6ACA-4ED5-8893-460855129F78}"/>
    <cellStyle name="Currency 5 2 4 2 5 3 3" xfId="33375" xr:uid="{0D40A9F9-B6E5-4B13-94BD-EA4B146FEC2E}"/>
    <cellStyle name="Currency 5 2 4 2 5 3 4" xfId="41822" xr:uid="{94638D0E-210D-4D52-A045-5EB638926D3F}"/>
    <cellStyle name="Currency 5 2 4 2 5 3 5" xfId="15628" xr:uid="{7530A048-9212-4F3D-87B5-EEB520C3FE5C}"/>
    <cellStyle name="Currency 5 2 4 2 5 4" xfId="20711" xr:uid="{8D8A6AC5-237B-470B-AFB4-9AF21573F53D}"/>
    <cellStyle name="Currency 5 2 4 2 5 5" xfId="29158" xr:uid="{29CB6F09-A684-47B4-8DF6-006A10632529}"/>
    <cellStyle name="Currency 5 2 4 2 5 6" xfId="37605" xr:uid="{EBE18AAF-5FB5-4FB8-B915-F7DE0944680A}"/>
    <cellStyle name="Currency 5 2 4 2 5 7" xfId="11411" xr:uid="{475959E8-B83A-4FEB-9268-7AEF431EC857}"/>
    <cellStyle name="Currency 5 2 4 2 6" xfId="2431" xr:uid="{00000000-0005-0000-0000-0000360C0000}"/>
    <cellStyle name="Currency 5 2 4 2 6 2" xfId="6715" xr:uid="{00000000-0005-0000-0000-0000370C0000}"/>
    <cellStyle name="Currency 5 2 4 2 6 2 2" xfId="25341" xr:uid="{4CF20FF6-B6F5-47FB-ACC8-0F0C140EF7E0}"/>
    <cellStyle name="Currency 5 2 4 2 6 2 3" xfId="33788" xr:uid="{847C96C6-51FB-4432-B895-C75726826198}"/>
    <cellStyle name="Currency 5 2 4 2 6 2 4" xfId="42235" xr:uid="{A31B5EA8-5826-4AAE-8DB5-BF4C77E2D765}"/>
    <cellStyle name="Currency 5 2 4 2 6 2 5" xfId="16041" xr:uid="{AC746CD4-A812-437A-A702-525D0F5167FB}"/>
    <cellStyle name="Currency 5 2 4 2 6 3" xfId="21124" xr:uid="{5932BF30-8D04-4A26-AB42-1150613A744E}"/>
    <cellStyle name="Currency 5 2 4 2 6 4" xfId="29571" xr:uid="{205B6443-CBA1-41DC-BF28-4629BD6A1233}"/>
    <cellStyle name="Currency 5 2 4 2 6 5" xfId="38018" xr:uid="{E266FE8E-9BDF-4C5E-B7A2-902EC74B67CF}"/>
    <cellStyle name="Currency 5 2 4 2 6 6" xfId="11824" xr:uid="{E385D025-C8EB-4487-B5AE-A15038BF9544}"/>
    <cellStyle name="Currency 5 2 4 2 7" xfId="2728" xr:uid="{00000000-0005-0000-0000-0000380C0000}"/>
    <cellStyle name="Currency 5 2 4 2 8" xfId="2809" xr:uid="{00000000-0005-0000-0000-0000390C0000}"/>
    <cellStyle name="Currency 5 2 4 2 8 2" xfId="7032" xr:uid="{00000000-0005-0000-0000-00003A0C0000}"/>
    <cellStyle name="Currency 5 2 4 2 8 2 2" xfId="25658" xr:uid="{86DEE4BA-4CAD-4FD0-AAA2-D4B8C29FD34A}"/>
    <cellStyle name="Currency 5 2 4 2 8 2 3" xfId="34105" xr:uid="{704F1C6A-0CB4-4FBF-BE6D-A31DE6ABB503}"/>
    <cellStyle name="Currency 5 2 4 2 8 2 4" xfId="42552" xr:uid="{ECF2611A-0767-4847-AA59-445CF69E3CDE}"/>
    <cellStyle name="Currency 5 2 4 2 8 2 5" xfId="16358" xr:uid="{AF50FCA8-944B-48A7-8964-68BAB2ED1F5C}"/>
    <cellStyle name="Currency 5 2 4 2 8 3" xfId="21441" xr:uid="{44B13224-D438-455B-B9BF-3C378542D107}"/>
    <cellStyle name="Currency 5 2 4 2 8 4" xfId="29888" xr:uid="{564C57E0-49EC-4DE7-8A8E-A80B0D280FB5}"/>
    <cellStyle name="Currency 5 2 4 2 8 5" xfId="38335" xr:uid="{2B39EA73-3A2C-4A3E-939E-67B211D2CB1A}"/>
    <cellStyle name="Currency 5 2 4 2 8 6" xfId="12141" xr:uid="{95CE0ADB-311A-412C-934E-CB8717529E29}"/>
    <cellStyle name="Currency 5 2 4 2 9" xfId="4649" xr:uid="{00000000-0005-0000-0000-00003B0C0000}"/>
    <cellStyle name="Currency 5 2 4 2 9 2" xfId="23275" xr:uid="{8AAB0B5C-3FE4-4776-891A-462E6197DCE8}"/>
    <cellStyle name="Currency 5 2 4 2 9 3" xfId="31722" xr:uid="{6DD111AD-3A30-46EE-B8FA-7615C4F38712}"/>
    <cellStyle name="Currency 5 2 4 2 9 4" xfId="40169" xr:uid="{C9211131-AD99-4854-AD92-D49669867135}"/>
    <cellStyle name="Currency 5 2 4 2 9 5" xfId="13975" xr:uid="{4FB8AC02-4E39-4913-9DF3-910AAC738AD1}"/>
    <cellStyle name="Currency 5 2 4 3" xfId="732" xr:uid="{00000000-0005-0000-0000-00003C0C0000}"/>
    <cellStyle name="Currency 5 2 4 3 2" xfId="2985" xr:uid="{00000000-0005-0000-0000-00003D0C0000}"/>
    <cellStyle name="Currency 5 2 4 3 2 2" xfId="7207" xr:uid="{00000000-0005-0000-0000-00003E0C0000}"/>
    <cellStyle name="Currency 5 2 4 3 2 2 2" xfId="25833" xr:uid="{465BB47A-BF7D-4B88-A113-C51BACD1CAD4}"/>
    <cellStyle name="Currency 5 2 4 3 2 2 3" xfId="34280" xr:uid="{EA5F54B1-BBA7-49ED-85C1-C7C740D6ED19}"/>
    <cellStyle name="Currency 5 2 4 3 2 2 4" xfId="42727" xr:uid="{E5823667-4C41-4F9C-8C09-D4796FE429C8}"/>
    <cellStyle name="Currency 5 2 4 3 2 2 5" xfId="16533" xr:uid="{C3C1A845-81C5-4706-8814-AA318089CAC5}"/>
    <cellStyle name="Currency 5 2 4 3 2 3" xfId="21616" xr:uid="{E93B1F33-88C2-4E9D-9BDA-B75166A8F4C9}"/>
    <cellStyle name="Currency 5 2 4 3 2 4" xfId="30063" xr:uid="{891D17C3-36EE-48D8-A94F-343A74E8D059}"/>
    <cellStyle name="Currency 5 2 4 3 2 5" xfId="38510" xr:uid="{6B0D58A0-E424-4C0F-95D0-33C4EFC86E4A}"/>
    <cellStyle name="Currency 5 2 4 3 2 6" xfId="12316" xr:uid="{42FD421E-D245-43C7-8A46-73EE91069ABD}"/>
    <cellStyle name="Currency 5 2 4 3 3" xfId="5062" xr:uid="{00000000-0005-0000-0000-00003F0C0000}"/>
    <cellStyle name="Currency 5 2 4 3 3 2" xfId="23688" xr:uid="{CB51AA18-B17B-4A62-80D3-B226F2D3C389}"/>
    <cellStyle name="Currency 5 2 4 3 3 3" xfId="32135" xr:uid="{81B15849-8FBF-4FF7-85D2-7DACF7839EE2}"/>
    <cellStyle name="Currency 5 2 4 3 3 4" xfId="40582" xr:uid="{127BB4D1-362E-4877-9824-E466D5DFE2A3}"/>
    <cellStyle name="Currency 5 2 4 3 3 5" xfId="14388" xr:uid="{A38FF19B-6918-4A48-A6A8-2957F65D8BE2}"/>
    <cellStyle name="Currency 5 2 4 3 4" xfId="9284" xr:uid="{1D0B72AC-AFAC-428F-8BF0-6DFF9565613D}"/>
    <cellStyle name="Currency 5 2 4 3 4 2" xfId="18600" xr:uid="{466B2086-A808-405E-A361-CBEF7479D9AB}"/>
    <cellStyle name="Currency 5 2 4 3 5" xfId="19471" xr:uid="{17E318BE-BAED-42A1-87CA-EE0F16A1D053}"/>
    <cellStyle name="Currency 5 2 4 3 6" xfId="27918" xr:uid="{7D6EF633-BD93-4CA4-8B6C-AAA22AEDADC2}"/>
    <cellStyle name="Currency 5 2 4 3 7" xfId="36365" xr:uid="{74FA5AF8-E09C-44E7-AD94-9B92E58BB285}"/>
    <cellStyle name="Currency 5 2 4 3 8" xfId="10171" xr:uid="{9483CEC7-1C51-4D69-80DD-9F39ADA2512A}"/>
    <cellStyle name="Currency 5 2 4 4" xfId="1167" xr:uid="{00000000-0005-0000-0000-0000400C0000}"/>
    <cellStyle name="Currency 5 2 4 4 2" xfId="3398" xr:uid="{00000000-0005-0000-0000-0000410C0000}"/>
    <cellStyle name="Currency 5 2 4 4 2 2" xfId="7620" xr:uid="{00000000-0005-0000-0000-0000420C0000}"/>
    <cellStyle name="Currency 5 2 4 4 2 2 2" xfId="26246" xr:uid="{5DC1479F-5A31-4D40-A972-548F4387D4B1}"/>
    <cellStyle name="Currency 5 2 4 4 2 2 3" xfId="34693" xr:uid="{3CAB3141-D8A4-4FAA-874D-AE69E58168F1}"/>
    <cellStyle name="Currency 5 2 4 4 2 2 4" xfId="43140" xr:uid="{58A14999-FE99-4AE5-A516-053C5894C139}"/>
    <cellStyle name="Currency 5 2 4 4 2 2 5" xfId="16946" xr:uid="{C4766611-9373-4ABE-B0F1-5D3F7BC1D62A}"/>
    <cellStyle name="Currency 5 2 4 4 2 3" xfId="22029" xr:uid="{B5922356-DFB5-4469-AB96-24B46C4D87BB}"/>
    <cellStyle name="Currency 5 2 4 4 2 4" xfId="30476" xr:uid="{14F0EA24-F78E-486B-8080-0B0C9283B6B1}"/>
    <cellStyle name="Currency 5 2 4 4 2 5" xfId="38923" xr:uid="{DBC85CD3-513A-4F8D-A9E2-6DF411339DCF}"/>
    <cellStyle name="Currency 5 2 4 4 2 6" xfId="12729" xr:uid="{1F3A5FEA-D86F-49F2-B81A-AF68D67DC1BB}"/>
    <cellStyle name="Currency 5 2 4 4 3" xfId="5475" xr:uid="{00000000-0005-0000-0000-0000430C0000}"/>
    <cellStyle name="Currency 5 2 4 4 3 2" xfId="24101" xr:uid="{F1ADF02C-58DC-4852-BF5F-F4A4339E380C}"/>
    <cellStyle name="Currency 5 2 4 4 3 3" xfId="32548" xr:uid="{C7D26C97-E1A2-4F16-A6A7-CC6271F13B0F}"/>
    <cellStyle name="Currency 5 2 4 4 3 4" xfId="40995" xr:uid="{11E452C6-BA98-4365-B20E-292C6ACBF3B9}"/>
    <cellStyle name="Currency 5 2 4 4 3 5" xfId="14801" xr:uid="{F2E3A8F1-C62B-4E77-B7FF-3A545A04DC79}"/>
    <cellStyle name="Currency 5 2 4 4 4" xfId="19884" xr:uid="{DB8E88D0-049A-4500-B424-FC68E2694FE2}"/>
    <cellStyle name="Currency 5 2 4 4 5" xfId="28331" xr:uid="{7BDADE15-8A7E-4A5C-9FCB-7DC403AB361E}"/>
    <cellStyle name="Currency 5 2 4 4 6" xfId="36778" xr:uid="{45325A7A-6EDD-4105-BA95-EB70680507C4}"/>
    <cellStyle name="Currency 5 2 4 4 7" xfId="10584" xr:uid="{D0A51CA6-00FD-4B94-BB51-2B86861C2DC3}"/>
    <cellStyle name="Currency 5 2 4 5" xfId="1581" xr:uid="{00000000-0005-0000-0000-0000440C0000}"/>
    <cellStyle name="Currency 5 2 4 5 2" xfId="3811" xr:uid="{00000000-0005-0000-0000-0000450C0000}"/>
    <cellStyle name="Currency 5 2 4 5 2 2" xfId="8033" xr:uid="{00000000-0005-0000-0000-0000460C0000}"/>
    <cellStyle name="Currency 5 2 4 5 2 2 2" xfId="26659" xr:uid="{0B4BE945-4224-4667-850B-19004FA12FC9}"/>
    <cellStyle name="Currency 5 2 4 5 2 2 3" xfId="35106" xr:uid="{47031551-1CE0-41FA-9E7F-A4CDAE68CB9A}"/>
    <cellStyle name="Currency 5 2 4 5 2 2 4" xfId="43553" xr:uid="{904B50B3-CC5C-460E-8E48-C7226A732453}"/>
    <cellStyle name="Currency 5 2 4 5 2 2 5" xfId="17359" xr:uid="{6B3D6385-1D2E-457F-AAF7-EA858A5B9DB0}"/>
    <cellStyle name="Currency 5 2 4 5 2 3" xfId="22442" xr:uid="{7752DB4C-B5C4-41EC-9141-DEC452374190}"/>
    <cellStyle name="Currency 5 2 4 5 2 4" xfId="30889" xr:uid="{B60ACB59-B300-437F-A470-89DB16D60036}"/>
    <cellStyle name="Currency 5 2 4 5 2 5" xfId="39336" xr:uid="{01D43C44-2334-4303-9A01-9FE15C040C9F}"/>
    <cellStyle name="Currency 5 2 4 5 2 6" xfId="13142" xr:uid="{7345CA14-7089-4765-B90B-00189E477D30}"/>
    <cellStyle name="Currency 5 2 4 5 3" xfId="5888" xr:uid="{00000000-0005-0000-0000-0000470C0000}"/>
    <cellStyle name="Currency 5 2 4 5 3 2" xfId="24514" xr:uid="{5DADF73F-07A8-4B17-A336-D4CE2629EB48}"/>
    <cellStyle name="Currency 5 2 4 5 3 3" xfId="32961" xr:uid="{778ADF58-B6DF-4FFF-8D48-A501220AD103}"/>
    <cellStyle name="Currency 5 2 4 5 3 4" xfId="41408" xr:uid="{F40FE8C1-D306-42CE-9156-4FEBE0E4CBA7}"/>
    <cellStyle name="Currency 5 2 4 5 3 5" xfId="15214" xr:uid="{81965A90-6323-427C-8D68-81EBD21C544B}"/>
    <cellStyle name="Currency 5 2 4 5 4" xfId="20297" xr:uid="{F850DBCA-0C2E-4DE8-B11D-30EEFA5DE111}"/>
    <cellStyle name="Currency 5 2 4 5 5" xfId="28744" xr:uid="{54F82322-544D-41C4-95F4-10BFB8CC3CA2}"/>
    <cellStyle name="Currency 5 2 4 5 6" xfId="37191" xr:uid="{25F7D58D-E481-44D1-A567-EFBAB5D44313}"/>
    <cellStyle name="Currency 5 2 4 5 7" xfId="10997" xr:uid="{94FDAFE2-0740-4D2F-9BD9-B37A094D700F}"/>
    <cellStyle name="Currency 5 2 4 6" xfId="1995" xr:uid="{00000000-0005-0000-0000-0000480C0000}"/>
    <cellStyle name="Currency 5 2 4 6 2" xfId="4224" xr:uid="{00000000-0005-0000-0000-0000490C0000}"/>
    <cellStyle name="Currency 5 2 4 6 2 2" xfId="8446" xr:uid="{00000000-0005-0000-0000-00004A0C0000}"/>
    <cellStyle name="Currency 5 2 4 6 2 2 2" xfId="27072" xr:uid="{02F12857-F09C-40AC-B9A3-13682C676654}"/>
    <cellStyle name="Currency 5 2 4 6 2 2 3" xfId="35519" xr:uid="{5DC460E0-A573-4DA9-BB98-ADE2DED11222}"/>
    <cellStyle name="Currency 5 2 4 6 2 2 4" xfId="43966" xr:uid="{BD30D14E-C411-452E-BFB9-B1D010F43812}"/>
    <cellStyle name="Currency 5 2 4 6 2 2 5" xfId="17772" xr:uid="{AC08C3ED-EBF5-418C-8E80-83631C891F4F}"/>
    <cellStyle name="Currency 5 2 4 6 2 3" xfId="22855" xr:uid="{FE22105D-B0CD-4D31-B034-8ABF4B15B611}"/>
    <cellStyle name="Currency 5 2 4 6 2 4" xfId="31302" xr:uid="{D0842BB7-D9B9-4424-9291-F432020DE62B}"/>
    <cellStyle name="Currency 5 2 4 6 2 5" xfId="39749" xr:uid="{E384CCEC-5CE9-45E7-951B-0C0C1CE47302}"/>
    <cellStyle name="Currency 5 2 4 6 2 6" xfId="13555" xr:uid="{2BC5BC59-2532-4496-A08F-A76805B09146}"/>
    <cellStyle name="Currency 5 2 4 6 3" xfId="6301" xr:uid="{00000000-0005-0000-0000-00004B0C0000}"/>
    <cellStyle name="Currency 5 2 4 6 3 2" xfId="24927" xr:uid="{4A1C2689-962C-495A-B70F-EDF00BCDA8EC}"/>
    <cellStyle name="Currency 5 2 4 6 3 3" xfId="33374" xr:uid="{F0014186-750C-459F-B66F-7BFAB206CA72}"/>
    <cellStyle name="Currency 5 2 4 6 3 4" xfId="41821" xr:uid="{B3EB95DC-50EE-490F-8C47-21A5898A20C2}"/>
    <cellStyle name="Currency 5 2 4 6 3 5" xfId="15627" xr:uid="{47C06729-BC45-40E6-927B-10688D39B9B8}"/>
    <cellStyle name="Currency 5 2 4 6 4" xfId="20710" xr:uid="{42A909A3-DFAD-4D9B-A88B-A933791739A2}"/>
    <cellStyle name="Currency 5 2 4 6 5" xfId="29157" xr:uid="{D0C76855-1510-443D-ADA7-2EED38BDA4EB}"/>
    <cellStyle name="Currency 5 2 4 6 6" xfId="37604" xr:uid="{B30BE218-32AF-4004-81EC-900234A27B4A}"/>
    <cellStyle name="Currency 5 2 4 6 7" xfId="11410" xr:uid="{B2BDFBB3-8538-45DD-826E-062678330FD0}"/>
    <cellStyle name="Currency 5 2 4 7" xfId="2430" xr:uid="{00000000-0005-0000-0000-00004C0C0000}"/>
    <cellStyle name="Currency 5 2 4 7 2" xfId="6714" xr:uid="{00000000-0005-0000-0000-00004D0C0000}"/>
    <cellStyle name="Currency 5 2 4 7 2 2" xfId="25340" xr:uid="{BFFABDA3-EFF5-4B01-BD6C-62D1176F919B}"/>
    <cellStyle name="Currency 5 2 4 7 2 3" xfId="33787" xr:uid="{F8FCBADA-D827-4246-94E8-6359FF23EDA5}"/>
    <cellStyle name="Currency 5 2 4 7 2 4" xfId="42234" xr:uid="{53D334DC-698E-4A11-9C14-DB5BC6994087}"/>
    <cellStyle name="Currency 5 2 4 7 2 5" xfId="16040" xr:uid="{9F2D6210-6525-4907-882D-CBF461084781}"/>
    <cellStyle name="Currency 5 2 4 7 3" xfId="21123" xr:uid="{C1CC11AD-0665-4C86-AC47-49EA93A4EB18}"/>
    <cellStyle name="Currency 5 2 4 7 4" xfId="29570" xr:uid="{D7C4DA22-9141-4BEB-A2AC-AB861E581C76}"/>
    <cellStyle name="Currency 5 2 4 7 5" xfId="38017" xr:uid="{C43AEC7B-A304-4D36-BDC4-980563000003}"/>
    <cellStyle name="Currency 5 2 4 7 6" xfId="11823" xr:uid="{F3B68C41-620F-4C90-8883-DEBF37FCA212}"/>
    <cellStyle name="Currency 5 2 4 8" xfId="2727" xr:uid="{00000000-0005-0000-0000-00004E0C0000}"/>
    <cellStyle name="Currency 5 2 4 9" xfId="2808" xr:uid="{00000000-0005-0000-0000-00004F0C0000}"/>
    <cellStyle name="Currency 5 2 4 9 2" xfId="7031" xr:uid="{00000000-0005-0000-0000-0000500C0000}"/>
    <cellStyle name="Currency 5 2 4 9 2 2" xfId="25657" xr:uid="{E8F81791-B6E0-4540-90A3-AABBF0A6E44C}"/>
    <cellStyle name="Currency 5 2 4 9 2 3" xfId="34104" xr:uid="{3DE13F99-2FCF-4E6E-880A-B307DD711DC5}"/>
    <cellStyle name="Currency 5 2 4 9 2 4" xfId="42551" xr:uid="{4F5A9E72-0F8B-4669-9792-9DB022E1EA0C}"/>
    <cellStyle name="Currency 5 2 4 9 2 5" xfId="16357" xr:uid="{8BE2135A-C265-46C1-9E10-FD6BCEB38805}"/>
    <cellStyle name="Currency 5 2 4 9 3" xfId="21440" xr:uid="{791E8A15-9F74-4FC1-9EEF-73928AFCCD17}"/>
    <cellStyle name="Currency 5 2 4 9 4" xfId="29887" xr:uid="{99B2460B-75B3-4125-93E0-8E6940B1CB96}"/>
    <cellStyle name="Currency 5 2 4 9 5" xfId="38334" xr:uid="{3DAD4F86-9CBF-4800-B135-2F0076F1A097}"/>
    <cellStyle name="Currency 5 2 4 9 6" xfId="12140" xr:uid="{29D889C0-A366-4F47-A833-B8C5DBDF7835}"/>
    <cellStyle name="Currency 5 2 5" xfId="207" xr:uid="{00000000-0005-0000-0000-0000510C0000}"/>
    <cellStyle name="Currency 5 2 5 10" xfId="8975" xr:uid="{3422EC31-C47F-46E0-A50C-FE05B1979387}"/>
    <cellStyle name="Currency 5 2 5 10 2" xfId="18299" xr:uid="{8744924B-626D-428B-956F-5E2CBAE1558B}"/>
    <cellStyle name="Currency 5 2 5 11" xfId="19059" xr:uid="{E491D050-C2FC-4311-B985-74C8E8408C15}"/>
    <cellStyle name="Currency 5 2 5 12" xfId="27506" xr:uid="{CEDEC818-9538-436E-81A0-DA377A864F00}"/>
    <cellStyle name="Currency 5 2 5 13" xfId="35953" xr:uid="{44F88AFC-1691-467A-9784-145D5C102B92}"/>
    <cellStyle name="Currency 5 2 5 14" xfId="9759" xr:uid="{186C5CF5-FF74-4888-A54D-2053F95BF1AF}"/>
    <cellStyle name="Currency 5 2 5 2" xfId="734" xr:uid="{00000000-0005-0000-0000-0000520C0000}"/>
    <cellStyle name="Currency 5 2 5 2 2" xfId="2987" xr:uid="{00000000-0005-0000-0000-0000530C0000}"/>
    <cellStyle name="Currency 5 2 5 2 2 2" xfId="7209" xr:uid="{00000000-0005-0000-0000-0000540C0000}"/>
    <cellStyle name="Currency 5 2 5 2 2 2 2" xfId="25835" xr:uid="{21AD8148-686C-41CF-AFE9-BAA80FD5357E}"/>
    <cellStyle name="Currency 5 2 5 2 2 2 3" xfId="34282" xr:uid="{2B66B157-5BA9-48E3-9E87-61CE9B6B82CA}"/>
    <cellStyle name="Currency 5 2 5 2 2 2 4" xfId="42729" xr:uid="{7823F193-E311-4147-9286-481307FD1665}"/>
    <cellStyle name="Currency 5 2 5 2 2 2 5" xfId="16535" xr:uid="{A37B1020-D4BB-4BC8-932C-89D0702E629C}"/>
    <cellStyle name="Currency 5 2 5 2 2 3" xfId="21618" xr:uid="{F4D8E887-D76D-4D79-9AE4-67D87E4C885D}"/>
    <cellStyle name="Currency 5 2 5 2 2 4" xfId="30065" xr:uid="{9F1C2FB7-4FA2-4E90-B047-C3CAA8CF638F}"/>
    <cellStyle name="Currency 5 2 5 2 2 5" xfId="38512" xr:uid="{13BC257F-C657-431F-AA6F-555462148390}"/>
    <cellStyle name="Currency 5 2 5 2 2 6" xfId="12318" xr:uid="{15DB7D13-2E03-4514-B939-B0B83AB5D1D5}"/>
    <cellStyle name="Currency 5 2 5 2 3" xfId="5064" xr:uid="{00000000-0005-0000-0000-0000550C0000}"/>
    <cellStyle name="Currency 5 2 5 2 3 2" xfId="23690" xr:uid="{E1E1447E-640C-47E0-A2F7-8FFE82BE63CC}"/>
    <cellStyle name="Currency 5 2 5 2 3 3" xfId="32137" xr:uid="{AAA45CCC-6975-4E8B-A4A8-9F00411F630F}"/>
    <cellStyle name="Currency 5 2 5 2 3 4" xfId="40584" xr:uid="{F7EDC91A-A651-43B1-9D2B-21DF492ED41A}"/>
    <cellStyle name="Currency 5 2 5 2 3 5" xfId="14390" xr:uid="{12289A7F-A73F-401B-9354-95114D440203}"/>
    <cellStyle name="Currency 5 2 5 2 4" xfId="9400" xr:uid="{6620DDCD-05C0-4AFD-8A83-F1190101CCB3}"/>
    <cellStyle name="Currency 5 2 5 2 4 2" xfId="18716" xr:uid="{7FCC4037-9E49-40A0-8CA9-C6BA5E032A66}"/>
    <cellStyle name="Currency 5 2 5 2 5" xfId="19473" xr:uid="{4353A13F-9F88-4B0B-BDF9-A8405BD0E7F2}"/>
    <cellStyle name="Currency 5 2 5 2 6" xfId="27920" xr:uid="{3443DFB9-AD67-4F53-9E51-5CA06353BB7C}"/>
    <cellStyle name="Currency 5 2 5 2 7" xfId="36367" xr:uid="{71217849-CC2D-4EDB-986F-3E58445BEF95}"/>
    <cellStyle name="Currency 5 2 5 2 8" xfId="10173" xr:uid="{4BE97A7D-07D6-4CC1-A0C6-3566C443927B}"/>
    <cellStyle name="Currency 5 2 5 3" xfId="1169" xr:uid="{00000000-0005-0000-0000-0000560C0000}"/>
    <cellStyle name="Currency 5 2 5 3 2" xfId="3400" xr:uid="{00000000-0005-0000-0000-0000570C0000}"/>
    <cellStyle name="Currency 5 2 5 3 2 2" xfId="7622" xr:uid="{00000000-0005-0000-0000-0000580C0000}"/>
    <cellStyle name="Currency 5 2 5 3 2 2 2" xfId="26248" xr:uid="{95DEDCCC-7AD4-490A-873C-C7F9A03F860A}"/>
    <cellStyle name="Currency 5 2 5 3 2 2 3" xfId="34695" xr:uid="{F5358CD8-F1CB-4909-8F04-E7037E853DF3}"/>
    <cellStyle name="Currency 5 2 5 3 2 2 4" xfId="43142" xr:uid="{81DCAC25-6975-45BF-AD8C-384EEF987586}"/>
    <cellStyle name="Currency 5 2 5 3 2 2 5" xfId="16948" xr:uid="{34A56E59-36AA-4969-B3BF-2843BD7150DA}"/>
    <cellStyle name="Currency 5 2 5 3 2 3" xfId="22031" xr:uid="{D89AF366-91BA-47AC-95AA-24D79C6BEB1C}"/>
    <cellStyle name="Currency 5 2 5 3 2 4" xfId="30478" xr:uid="{75DCB69A-B089-403F-8CBB-3A7265023D9B}"/>
    <cellStyle name="Currency 5 2 5 3 2 5" xfId="38925" xr:uid="{C2CF1889-0ABD-44A1-99B8-CBF188329A88}"/>
    <cellStyle name="Currency 5 2 5 3 2 6" xfId="12731" xr:uid="{F36BEBC2-64C2-4018-BDF9-11375D9D1F1D}"/>
    <cellStyle name="Currency 5 2 5 3 3" xfId="5477" xr:uid="{00000000-0005-0000-0000-0000590C0000}"/>
    <cellStyle name="Currency 5 2 5 3 3 2" xfId="24103" xr:uid="{0969FFF7-EDDA-4FDD-A8BE-D8BB5D8A16AA}"/>
    <cellStyle name="Currency 5 2 5 3 3 3" xfId="32550" xr:uid="{B7684781-058E-47FD-9A05-23D82A357AB8}"/>
    <cellStyle name="Currency 5 2 5 3 3 4" xfId="40997" xr:uid="{CAE449C9-E4DC-457F-83C2-7E1927A98EC5}"/>
    <cellStyle name="Currency 5 2 5 3 3 5" xfId="14803" xr:uid="{4C6BC9B7-7BC4-4461-976F-5758F0B415D3}"/>
    <cellStyle name="Currency 5 2 5 3 4" xfId="19886" xr:uid="{5514F5AF-7893-40DA-B46F-431DF412C8B1}"/>
    <cellStyle name="Currency 5 2 5 3 5" xfId="28333" xr:uid="{E51D916B-205F-4A81-AF88-36C86A799066}"/>
    <cellStyle name="Currency 5 2 5 3 6" xfId="36780" xr:uid="{C2E0472B-EBD9-4042-8B60-3C7FBF4B9E08}"/>
    <cellStyle name="Currency 5 2 5 3 7" xfId="10586" xr:uid="{44DB2654-8E2C-41FE-9883-02A7B271E57B}"/>
    <cellStyle name="Currency 5 2 5 4" xfId="1583" xr:uid="{00000000-0005-0000-0000-00005A0C0000}"/>
    <cellStyle name="Currency 5 2 5 4 2" xfId="3813" xr:uid="{00000000-0005-0000-0000-00005B0C0000}"/>
    <cellStyle name="Currency 5 2 5 4 2 2" xfId="8035" xr:uid="{00000000-0005-0000-0000-00005C0C0000}"/>
    <cellStyle name="Currency 5 2 5 4 2 2 2" xfId="26661" xr:uid="{095264C4-AF27-496B-ACA6-ED10070E1BBC}"/>
    <cellStyle name="Currency 5 2 5 4 2 2 3" xfId="35108" xr:uid="{B2725CB6-0631-48E8-A40B-D57774DBF8E1}"/>
    <cellStyle name="Currency 5 2 5 4 2 2 4" xfId="43555" xr:uid="{748C1FB1-2E3D-4B72-BA2C-5C3DE34EBD6B}"/>
    <cellStyle name="Currency 5 2 5 4 2 2 5" xfId="17361" xr:uid="{FF281F8F-8A3B-4228-8969-227A7F40B1B8}"/>
    <cellStyle name="Currency 5 2 5 4 2 3" xfId="22444" xr:uid="{AFB068FD-56F2-4BFE-A436-C2A740C3F439}"/>
    <cellStyle name="Currency 5 2 5 4 2 4" xfId="30891" xr:uid="{86010C5B-A86A-4E9F-94C9-7A1BBF1EF2EE}"/>
    <cellStyle name="Currency 5 2 5 4 2 5" xfId="39338" xr:uid="{B9DFCB0F-AB65-45C1-A44A-BA40CC434D02}"/>
    <cellStyle name="Currency 5 2 5 4 2 6" xfId="13144" xr:uid="{5D2B9FD7-5F14-4824-9CE1-A078301E0DF3}"/>
    <cellStyle name="Currency 5 2 5 4 3" xfId="5890" xr:uid="{00000000-0005-0000-0000-00005D0C0000}"/>
    <cellStyle name="Currency 5 2 5 4 3 2" xfId="24516" xr:uid="{6B8969E4-8C27-4366-93C0-B40E204D0067}"/>
    <cellStyle name="Currency 5 2 5 4 3 3" xfId="32963" xr:uid="{DC9EBAD9-0E74-4F83-B9EF-5BCE17BA3D62}"/>
    <cellStyle name="Currency 5 2 5 4 3 4" xfId="41410" xr:uid="{28B3949D-7F41-4B7E-B3CE-A65D225AA70F}"/>
    <cellStyle name="Currency 5 2 5 4 3 5" xfId="15216" xr:uid="{9ECAA772-7FC6-4055-AA80-3F5095AA4A33}"/>
    <cellStyle name="Currency 5 2 5 4 4" xfId="20299" xr:uid="{6B4F1BD5-8959-4E14-87C2-1D3C21E10B31}"/>
    <cellStyle name="Currency 5 2 5 4 5" xfId="28746" xr:uid="{74392384-FEFB-4595-9A09-B06A71A77D57}"/>
    <cellStyle name="Currency 5 2 5 4 6" xfId="37193" xr:uid="{D7645D9F-B625-41E3-80C1-5441BAFB4118}"/>
    <cellStyle name="Currency 5 2 5 4 7" xfId="10999" xr:uid="{6148B151-4F15-4627-9259-2DDBECC3EF46}"/>
    <cellStyle name="Currency 5 2 5 5" xfId="1997" xr:uid="{00000000-0005-0000-0000-00005E0C0000}"/>
    <cellStyle name="Currency 5 2 5 5 2" xfId="4226" xr:uid="{00000000-0005-0000-0000-00005F0C0000}"/>
    <cellStyle name="Currency 5 2 5 5 2 2" xfId="8448" xr:uid="{00000000-0005-0000-0000-0000600C0000}"/>
    <cellStyle name="Currency 5 2 5 5 2 2 2" xfId="27074" xr:uid="{3E2063C8-8EFA-492D-A196-C28A05ACF7C2}"/>
    <cellStyle name="Currency 5 2 5 5 2 2 3" xfId="35521" xr:uid="{D5E70C2F-5414-47F1-A330-F41D3E6571BD}"/>
    <cellStyle name="Currency 5 2 5 5 2 2 4" xfId="43968" xr:uid="{1E9E4F07-BECE-4A43-A015-064632E79481}"/>
    <cellStyle name="Currency 5 2 5 5 2 2 5" xfId="17774" xr:uid="{60457A2F-C0FF-4C6B-98A0-118A493CA91F}"/>
    <cellStyle name="Currency 5 2 5 5 2 3" xfId="22857" xr:uid="{91AC99B5-601D-44A4-BFE4-9F6F47F65D90}"/>
    <cellStyle name="Currency 5 2 5 5 2 4" xfId="31304" xr:uid="{D22E9D23-854C-4B2B-9570-CA7280980070}"/>
    <cellStyle name="Currency 5 2 5 5 2 5" xfId="39751" xr:uid="{931B28C5-4E7F-464B-881C-32373FDBDCB4}"/>
    <cellStyle name="Currency 5 2 5 5 2 6" xfId="13557" xr:uid="{FBFE2D30-BBD2-40E8-8DB0-025C2358F926}"/>
    <cellStyle name="Currency 5 2 5 5 3" xfId="6303" xr:uid="{00000000-0005-0000-0000-0000610C0000}"/>
    <cellStyle name="Currency 5 2 5 5 3 2" xfId="24929" xr:uid="{0C1F4122-2DA0-4A6F-923E-DB63C46EBFE1}"/>
    <cellStyle name="Currency 5 2 5 5 3 3" xfId="33376" xr:uid="{3C4DB673-3315-4428-94E1-B348201C8A6C}"/>
    <cellStyle name="Currency 5 2 5 5 3 4" xfId="41823" xr:uid="{89213740-FDCC-4896-9E9E-1C1C045BF641}"/>
    <cellStyle name="Currency 5 2 5 5 3 5" xfId="15629" xr:uid="{17FEEC5D-EF77-4EE3-B2BB-1DE9CD34257A}"/>
    <cellStyle name="Currency 5 2 5 5 4" xfId="20712" xr:uid="{8480A340-96CA-4642-B367-9FCBF76312CE}"/>
    <cellStyle name="Currency 5 2 5 5 5" xfId="29159" xr:uid="{36676607-742C-4FC0-B233-334891284143}"/>
    <cellStyle name="Currency 5 2 5 5 6" xfId="37606" xr:uid="{94764472-30E8-4203-A3D7-DA60DE7CD70F}"/>
    <cellStyle name="Currency 5 2 5 5 7" xfId="11412" xr:uid="{D621F710-82F0-45A6-BDF5-CECCDE2E4E1A}"/>
    <cellStyle name="Currency 5 2 5 6" xfId="2432" xr:uid="{00000000-0005-0000-0000-0000620C0000}"/>
    <cellStyle name="Currency 5 2 5 6 2" xfId="6716" xr:uid="{00000000-0005-0000-0000-0000630C0000}"/>
    <cellStyle name="Currency 5 2 5 6 2 2" xfId="25342" xr:uid="{5CAA7B13-73D5-4C2F-8179-81C346FDE564}"/>
    <cellStyle name="Currency 5 2 5 6 2 3" xfId="33789" xr:uid="{401E2804-EFB3-481D-B803-B7A2E90721A5}"/>
    <cellStyle name="Currency 5 2 5 6 2 4" xfId="42236" xr:uid="{F8FEBED6-C91D-403F-9547-6EB18C21ADB6}"/>
    <cellStyle name="Currency 5 2 5 6 2 5" xfId="16042" xr:uid="{0320DC93-4142-4E78-A9D1-8544B51F843D}"/>
    <cellStyle name="Currency 5 2 5 6 3" xfId="21125" xr:uid="{3C244C66-DC2B-4E12-8D9E-EF5A2CF3479D}"/>
    <cellStyle name="Currency 5 2 5 6 4" xfId="29572" xr:uid="{78A6C188-5B34-46B5-A342-67DFDBC1DE32}"/>
    <cellStyle name="Currency 5 2 5 6 5" xfId="38019" xr:uid="{2D9D23C2-6075-45F9-889A-BCAF516CD3C1}"/>
    <cellStyle name="Currency 5 2 5 6 6" xfId="11825" xr:uid="{47BB90D4-D2F9-42E7-959E-3BB9A4D3A32D}"/>
    <cellStyle name="Currency 5 2 5 7" xfId="2729" xr:uid="{00000000-0005-0000-0000-0000640C0000}"/>
    <cellStyle name="Currency 5 2 5 8" xfId="2810" xr:uid="{00000000-0005-0000-0000-0000650C0000}"/>
    <cellStyle name="Currency 5 2 5 8 2" xfId="7033" xr:uid="{00000000-0005-0000-0000-0000660C0000}"/>
    <cellStyle name="Currency 5 2 5 8 2 2" xfId="25659" xr:uid="{C8DA4CD8-8D48-4B6C-8543-81C8662ADBCC}"/>
    <cellStyle name="Currency 5 2 5 8 2 3" xfId="34106" xr:uid="{8AD61D1B-23AE-463D-B533-A36C0549D8AB}"/>
    <cellStyle name="Currency 5 2 5 8 2 4" xfId="42553" xr:uid="{9DCEE7CB-5F83-476A-A3EE-3A76417288FD}"/>
    <cellStyle name="Currency 5 2 5 8 2 5" xfId="16359" xr:uid="{6F5539B1-1CCC-4190-A9DE-F401E41DD818}"/>
    <cellStyle name="Currency 5 2 5 8 3" xfId="21442" xr:uid="{B761508A-EA19-4902-AC29-C17255EFD520}"/>
    <cellStyle name="Currency 5 2 5 8 4" xfId="29889" xr:uid="{431DE042-5050-483E-B0FA-8308049923F3}"/>
    <cellStyle name="Currency 5 2 5 8 5" xfId="38336" xr:uid="{52EACE37-7047-44F4-8349-86A423CF034C}"/>
    <cellStyle name="Currency 5 2 5 8 6" xfId="12142" xr:uid="{F322B6E6-2077-4527-AC46-9BF57B5B6728}"/>
    <cellStyle name="Currency 5 2 5 9" xfId="4650" xr:uid="{00000000-0005-0000-0000-0000670C0000}"/>
    <cellStyle name="Currency 5 2 5 9 2" xfId="23276" xr:uid="{8F007A5E-1ADB-4152-A3D5-2240A4365603}"/>
    <cellStyle name="Currency 5 2 5 9 3" xfId="31723" xr:uid="{EA5DB8C5-97E6-4F6B-B1A9-A74FECA65D7F}"/>
    <cellStyle name="Currency 5 2 5 9 4" xfId="40170" xr:uid="{E2FD6BE3-F7F1-4AF8-BDFE-3D9CB6142EC7}"/>
    <cellStyle name="Currency 5 2 5 9 5" xfId="13976" xr:uid="{0E0EF985-82DD-466D-A9A4-982D991576FD}"/>
    <cellStyle name="Currency 5 2 6" xfId="208" xr:uid="{00000000-0005-0000-0000-0000680C0000}"/>
    <cellStyle name="Currency 5 2 6 10" xfId="9178" xr:uid="{19F6D70E-88E4-4E39-A1A9-3FF3D840E2F9}"/>
    <cellStyle name="Currency 5 2 6 10 2" xfId="18497" xr:uid="{B8A468E3-4282-4737-84F0-56ECDBABA4AE}"/>
    <cellStyle name="Currency 5 2 6 11" xfId="19060" xr:uid="{D583A7E2-1DE3-4D4D-81D7-BD92E2F43C7B}"/>
    <cellStyle name="Currency 5 2 6 12" xfId="27507" xr:uid="{398B482B-399C-46F3-8977-F433814D3A56}"/>
    <cellStyle name="Currency 5 2 6 13" xfId="35954" xr:uid="{1BAD8D52-C0C8-4451-8DE0-9A2518173E9D}"/>
    <cellStyle name="Currency 5 2 6 14" xfId="9760" xr:uid="{3C88969C-332B-45C6-8DF3-0164BFFAA96F}"/>
    <cellStyle name="Currency 5 2 6 2" xfId="735" xr:uid="{00000000-0005-0000-0000-0000690C0000}"/>
    <cellStyle name="Currency 5 2 6 2 2" xfId="2988" xr:uid="{00000000-0005-0000-0000-00006A0C0000}"/>
    <cellStyle name="Currency 5 2 6 2 2 2" xfId="7210" xr:uid="{00000000-0005-0000-0000-00006B0C0000}"/>
    <cellStyle name="Currency 5 2 6 2 2 2 2" xfId="25836" xr:uid="{D36AC993-70E2-4131-B45C-07EE8247EC2E}"/>
    <cellStyle name="Currency 5 2 6 2 2 2 3" xfId="34283" xr:uid="{B355A7F7-75FF-4ACB-B0FE-74D449F692F4}"/>
    <cellStyle name="Currency 5 2 6 2 2 2 4" xfId="42730" xr:uid="{0A7369D3-CC41-498B-B07D-0E3915651B65}"/>
    <cellStyle name="Currency 5 2 6 2 2 2 5" xfId="16536" xr:uid="{A317250D-A8E8-4030-AA1D-D30F1D9182D1}"/>
    <cellStyle name="Currency 5 2 6 2 2 3" xfId="21619" xr:uid="{C2CB5ABB-F9E6-4866-B93A-E2E0B1AC78E3}"/>
    <cellStyle name="Currency 5 2 6 2 2 4" xfId="30066" xr:uid="{5047D292-CD8B-4EC2-86CD-6033DC26FC24}"/>
    <cellStyle name="Currency 5 2 6 2 2 5" xfId="38513" xr:uid="{7C4DADBF-00D5-41C5-A284-EED37A232EBA}"/>
    <cellStyle name="Currency 5 2 6 2 2 6" xfId="12319" xr:uid="{BB58E774-0A14-43B2-85CB-284CF8F05D1F}"/>
    <cellStyle name="Currency 5 2 6 2 3" xfId="5065" xr:uid="{00000000-0005-0000-0000-00006C0C0000}"/>
    <cellStyle name="Currency 5 2 6 2 3 2" xfId="23691" xr:uid="{FFFDF062-8F3F-41B8-B3A7-2CD1D1658DB9}"/>
    <cellStyle name="Currency 5 2 6 2 3 3" xfId="32138" xr:uid="{7E2B0D9F-4ECC-4A12-ACEE-0DACD8A1FEFD}"/>
    <cellStyle name="Currency 5 2 6 2 3 4" xfId="40585" xr:uid="{25C40938-C695-4517-B501-B2D90F5E7A2E}"/>
    <cellStyle name="Currency 5 2 6 2 3 5" xfId="14391" xr:uid="{3C60E3E5-A0D4-4F5D-B8F1-83E6D59A11E6}"/>
    <cellStyle name="Currency 5 2 6 2 4" xfId="9599" xr:uid="{C2EE182C-D73D-4E6C-9671-0484CB4E8D68}"/>
    <cellStyle name="Currency 5 2 6 2 4 2" xfId="18904" xr:uid="{77400F39-AB7E-407B-8B94-3911A2600406}"/>
    <cellStyle name="Currency 5 2 6 2 5" xfId="19474" xr:uid="{8A3EB3EB-7ACA-4B37-B59A-6A2E7709AAE0}"/>
    <cellStyle name="Currency 5 2 6 2 6" xfId="27921" xr:uid="{2A58AD44-F39E-48B2-8544-7AE5B04EFADF}"/>
    <cellStyle name="Currency 5 2 6 2 7" xfId="36368" xr:uid="{CE7F5983-EC8D-41E2-A89A-0BC1D00A301B}"/>
    <cellStyle name="Currency 5 2 6 2 8" xfId="10174" xr:uid="{72EBC7EF-C5D3-4AD5-A9C7-632E95FC19D3}"/>
    <cellStyle name="Currency 5 2 6 3" xfId="1170" xr:uid="{00000000-0005-0000-0000-00006D0C0000}"/>
    <cellStyle name="Currency 5 2 6 3 2" xfId="3401" xr:uid="{00000000-0005-0000-0000-00006E0C0000}"/>
    <cellStyle name="Currency 5 2 6 3 2 2" xfId="7623" xr:uid="{00000000-0005-0000-0000-00006F0C0000}"/>
    <cellStyle name="Currency 5 2 6 3 2 2 2" xfId="26249" xr:uid="{6CB4C562-532A-4905-A173-01B8325DEFA3}"/>
    <cellStyle name="Currency 5 2 6 3 2 2 3" xfId="34696" xr:uid="{20F0FCAD-60A5-4875-9D1E-1E930ED76158}"/>
    <cellStyle name="Currency 5 2 6 3 2 2 4" xfId="43143" xr:uid="{BCF79441-CEDF-4E53-9006-089205CD73BB}"/>
    <cellStyle name="Currency 5 2 6 3 2 2 5" xfId="16949" xr:uid="{3350EE83-C8CE-4E63-BCBE-8CB44DFD7108}"/>
    <cellStyle name="Currency 5 2 6 3 2 3" xfId="22032" xr:uid="{1FE3C4C1-9CD0-4E93-B46D-FC711F25A68D}"/>
    <cellStyle name="Currency 5 2 6 3 2 4" xfId="30479" xr:uid="{06CD5997-1F22-42FE-A736-7579CE8EDAD7}"/>
    <cellStyle name="Currency 5 2 6 3 2 5" xfId="38926" xr:uid="{C3162F53-ECEB-4482-9F6B-F1A0AF62255F}"/>
    <cellStyle name="Currency 5 2 6 3 2 6" xfId="12732" xr:uid="{071951AD-FAD6-4120-A1AD-87640F734CF6}"/>
    <cellStyle name="Currency 5 2 6 3 3" xfId="5478" xr:uid="{00000000-0005-0000-0000-0000700C0000}"/>
    <cellStyle name="Currency 5 2 6 3 3 2" xfId="24104" xr:uid="{0A991E15-2A10-4EC9-A8C1-76112E5E3892}"/>
    <cellStyle name="Currency 5 2 6 3 3 3" xfId="32551" xr:uid="{B94B369C-B728-41F9-BD71-AABC1EEA7C61}"/>
    <cellStyle name="Currency 5 2 6 3 3 4" xfId="40998" xr:uid="{EBF224C4-8EEE-421C-A808-D5B7F1AC24AA}"/>
    <cellStyle name="Currency 5 2 6 3 3 5" xfId="14804" xr:uid="{E45D785C-9E82-4A29-9281-359D75935252}"/>
    <cellStyle name="Currency 5 2 6 3 4" xfId="19887" xr:uid="{7CF0D5D8-0162-49EE-BD64-A0657A098268}"/>
    <cellStyle name="Currency 5 2 6 3 5" xfId="28334" xr:uid="{E8C64A04-89F1-47D3-8A7B-A00FF4E4754E}"/>
    <cellStyle name="Currency 5 2 6 3 6" xfId="36781" xr:uid="{C6C5E0A7-5F7A-49F0-B193-5034AD18B483}"/>
    <cellStyle name="Currency 5 2 6 3 7" xfId="10587" xr:uid="{1B1B2832-61F9-439E-B0F0-95F204B8D02C}"/>
    <cellStyle name="Currency 5 2 6 4" xfId="1584" xr:uid="{00000000-0005-0000-0000-0000710C0000}"/>
    <cellStyle name="Currency 5 2 6 4 2" xfId="3814" xr:uid="{00000000-0005-0000-0000-0000720C0000}"/>
    <cellStyle name="Currency 5 2 6 4 2 2" xfId="8036" xr:uid="{00000000-0005-0000-0000-0000730C0000}"/>
    <cellStyle name="Currency 5 2 6 4 2 2 2" xfId="26662" xr:uid="{D611D2AA-1561-4390-A234-20E9401AE023}"/>
    <cellStyle name="Currency 5 2 6 4 2 2 3" xfId="35109" xr:uid="{71525385-D5E9-4F83-B6F1-13FA4D038D53}"/>
    <cellStyle name="Currency 5 2 6 4 2 2 4" xfId="43556" xr:uid="{B78202D7-4BEE-411B-9777-9BDED93C5520}"/>
    <cellStyle name="Currency 5 2 6 4 2 2 5" xfId="17362" xr:uid="{8096C85C-081A-4B99-B1A4-29FE0E943789}"/>
    <cellStyle name="Currency 5 2 6 4 2 3" xfId="22445" xr:uid="{F8820548-8F0D-4D4F-81BD-49EBD0E84F57}"/>
    <cellStyle name="Currency 5 2 6 4 2 4" xfId="30892" xr:uid="{2DE8C40A-4471-49DA-9834-E4A0166A39E1}"/>
    <cellStyle name="Currency 5 2 6 4 2 5" xfId="39339" xr:uid="{01907276-DB32-41A2-BB8D-9831085CDCE7}"/>
    <cellStyle name="Currency 5 2 6 4 2 6" xfId="13145" xr:uid="{8EB7A5E0-1686-487F-B878-06716DE272F9}"/>
    <cellStyle name="Currency 5 2 6 4 3" xfId="5891" xr:uid="{00000000-0005-0000-0000-0000740C0000}"/>
    <cellStyle name="Currency 5 2 6 4 3 2" xfId="24517" xr:uid="{5ACE8AF1-3FA9-44C3-8EE5-D3D373AF2005}"/>
    <cellStyle name="Currency 5 2 6 4 3 3" xfId="32964" xr:uid="{696ABA2F-CDA5-40C3-91B6-A9B0620C97BC}"/>
    <cellStyle name="Currency 5 2 6 4 3 4" xfId="41411" xr:uid="{BC4B3448-7F79-4BCB-BDCB-3717F2EE99CA}"/>
    <cellStyle name="Currency 5 2 6 4 3 5" xfId="15217" xr:uid="{428E9A73-F858-44C9-A2D3-E66B5DED22F1}"/>
    <cellStyle name="Currency 5 2 6 4 4" xfId="20300" xr:uid="{84665094-8352-4941-A2E5-0EA9979C3C03}"/>
    <cellStyle name="Currency 5 2 6 4 5" xfId="28747" xr:uid="{716AB07B-744D-4188-B815-CC6C60D37A66}"/>
    <cellStyle name="Currency 5 2 6 4 6" xfId="37194" xr:uid="{2C78D197-6A11-4B51-8B70-04A1FAA1E018}"/>
    <cellStyle name="Currency 5 2 6 4 7" xfId="11000" xr:uid="{F0EE1BB8-EF09-47F7-847B-A82EF855A4A4}"/>
    <cellStyle name="Currency 5 2 6 5" xfId="1998" xr:uid="{00000000-0005-0000-0000-0000750C0000}"/>
    <cellStyle name="Currency 5 2 6 5 2" xfId="4227" xr:uid="{00000000-0005-0000-0000-0000760C0000}"/>
    <cellStyle name="Currency 5 2 6 5 2 2" xfId="8449" xr:uid="{00000000-0005-0000-0000-0000770C0000}"/>
    <cellStyle name="Currency 5 2 6 5 2 2 2" xfId="27075" xr:uid="{F0BF1F76-D101-4628-8607-42273D521972}"/>
    <cellStyle name="Currency 5 2 6 5 2 2 3" xfId="35522" xr:uid="{45FB8C95-2C2C-4878-8D03-13E7F108F0C6}"/>
    <cellStyle name="Currency 5 2 6 5 2 2 4" xfId="43969" xr:uid="{2B75F3CD-04DB-478E-8E5A-E7C2678109B0}"/>
    <cellStyle name="Currency 5 2 6 5 2 2 5" xfId="17775" xr:uid="{C280C806-6A2F-41C7-A9CF-0A8F69ED4AC6}"/>
    <cellStyle name="Currency 5 2 6 5 2 3" xfId="22858" xr:uid="{B3AE1AFA-15CE-4A47-8628-C294F5995E6E}"/>
    <cellStyle name="Currency 5 2 6 5 2 4" xfId="31305" xr:uid="{43290055-D9E3-4CB3-96B8-B023933D59AF}"/>
    <cellStyle name="Currency 5 2 6 5 2 5" xfId="39752" xr:uid="{2FBD0976-1910-417F-91D0-69CF2A3B2289}"/>
    <cellStyle name="Currency 5 2 6 5 2 6" xfId="13558" xr:uid="{3C4D318D-F073-41AF-826B-73BD9DAC750D}"/>
    <cellStyle name="Currency 5 2 6 5 3" xfId="6304" xr:uid="{00000000-0005-0000-0000-0000780C0000}"/>
    <cellStyle name="Currency 5 2 6 5 3 2" xfId="24930" xr:uid="{8F7FED3E-FDB5-465E-A0E7-11132DDBEFBC}"/>
    <cellStyle name="Currency 5 2 6 5 3 3" xfId="33377" xr:uid="{4DD39C1C-BB23-428E-BBED-85AAE840E7A8}"/>
    <cellStyle name="Currency 5 2 6 5 3 4" xfId="41824" xr:uid="{CF5878F3-3BF6-4234-8507-0908428FD188}"/>
    <cellStyle name="Currency 5 2 6 5 3 5" xfId="15630" xr:uid="{23CD9967-13BB-485D-9C71-4B5740D0BD5E}"/>
    <cellStyle name="Currency 5 2 6 5 4" xfId="20713" xr:uid="{81BFB87B-BDEE-437F-9FAA-6D91144E5519}"/>
    <cellStyle name="Currency 5 2 6 5 5" xfId="29160" xr:uid="{61A2340D-DB8C-4163-A3C3-F4E3CC84CD78}"/>
    <cellStyle name="Currency 5 2 6 5 6" xfId="37607" xr:uid="{EAFED625-FD78-4523-AFF4-A3914D32801E}"/>
    <cellStyle name="Currency 5 2 6 5 7" xfId="11413" xr:uid="{BAAD114D-0F91-4339-B227-F334B5E2A10A}"/>
    <cellStyle name="Currency 5 2 6 6" xfId="2433" xr:uid="{00000000-0005-0000-0000-0000790C0000}"/>
    <cellStyle name="Currency 5 2 6 6 2" xfId="6717" xr:uid="{00000000-0005-0000-0000-00007A0C0000}"/>
    <cellStyle name="Currency 5 2 6 6 2 2" xfId="25343" xr:uid="{4A281AA2-9AD9-4A9D-A84C-113AA6CD5C08}"/>
    <cellStyle name="Currency 5 2 6 6 2 3" xfId="33790" xr:uid="{D61A896D-B45D-4FB7-87AC-080BAF3B16A6}"/>
    <cellStyle name="Currency 5 2 6 6 2 4" xfId="42237" xr:uid="{E9F731E1-3D2B-48E4-A7EE-4907D1BFB816}"/>
    <cellStyle name="Currency 5 2 6 6 2 5" xfId="16043" xr:uid="{A1C0F4DD-1D38-4D05-B6CC-85A5979CFFB5}"/>
    <cellStyle name="Currency 5 2 6 6 3" xfId="21126" xr:uid="{2D517EB1-1C0C-4295-8DD8-881329CAEFA7}"/>
    <cellStyle name="Currency 5 2 6 6 4" xfId="29573" xr:uid="{4B6076A3-56CB-4FA5-BEAB-29E4DFB841C5}"/>
    <cellStyle name="Currency 5 2 6 6 5" xfId="38020" xr:uid="{A080EF26-2569-46FC-8ED7-04CD3D5655CF}"/>
    <cellStyle name="Currency 5 2 6 6 6" xfId="11826" xr:uid="{8A17201B-CFA6-4714-9A75-F43082F73B63}"/>
    <cellStyle name="Currency 5 2 6 7" xfId="2730" xr:uid="{00000000-0005-0000-0000-00007B0C0000}"/>
    <cellStyle name="Currency 5 2 6 8" xfId="2811" xr:uid="{00000000-0005-0000-0000-00007C0C0000}"/>
    <cellStyle name="Currency 5 2 6 8 2" xfId="7034" xr:uid="{00000000-0005-0000-0000-00007D0C0000}"/>
    <cellStyle name="Currency 5 2 6 8 2 2" xfId="25660" xr:uid="{00F83722-E32A-40CC-992A-A08E96FC6A63}"/>
    <cellStyle name="Currency 5 2 6 8 2 3" xfId="34107" xr:uid="{7B41417A-4E51-4C1E-94B1-6D1D6E0A0C80}"/>
    <cellStyle name="Currency 5 2 6 8 2 4" xfId="42554" xr:uid="{E3083B98-BCDE-43A4-967F-A440BF3E82AC}"/>
    <cellStyle name="Currency 5 2 6 8 2 5" xfId="16360" xr:uid="{6DAA48DD-5F94-4A83-BA0C-1201E29B9E72}"/>
    <cellStyle name="Currency 5 2 6 8 3" xfId="21443" xr:uid="{593ADBB1-A68F-4F4E-8A77-7A8E1CCD525C}"/>
    <cellStyle name="Currency 5 2 6 8 4" xfId="29890" xr:uid="{A8FFE78B-9634-46FD-88B2-26DC971A0048}"/>
    <cellStyle name="Currency 5 2 6 8 5" xfId="38337" xr:uid="{937C5796-25CD-468D-918D-F815F02435F9}"/>
    <cellStyle name="Currency 5 2 6 8 6" xfId="12143" xr:uid="{87E4F334-F9D6-4E5E-AD40-CCD110694A7D}"/>
    <cellStyle name="Currency 5 2 6 9" xfId="4651" xr:uid="{00000000-0005-0000-0000-00007E0C0000}"/>
    <cellStyle name="Currency 5 2 6 9 2" xfId="23277" xr:uid="{A81EFB98-F84B-4C5D-912F-D9A1A4C97D26}"/>
    <cellStyle name="Currency 5 2 6 9 3" xfId="31724" xr:uid="{450CBEFD-178C-4C34-8D86-2573000BF4B4}"/>
    <cellStyle name="Currency 5 2 6 9 4" xfId="40171" xr:uid="{B9A1F668-8976-42D5-977C-22827DF4820A}"/>
    <cellStyle name="Currency 5 2 6 9 5" xfId="13977" xr:uid="{8C77B288-43DD-4599-8DA0-B2964D329C57}"/>
    <cellStyle name="Currency 5 2 7" xfId="722" xr:uid="{00000000-0005-0000-0000-00007F0C0000}"/>
    <cellStyle name="Currency 5 2 8" xfId="8756" xr:uid="{D16196A2-D0A3-46A2-9B14-6B017B4CC82F}"/>
    <cellStyle name="Currency 5 2 8 2" xfId="18080" xr:uid="{C07F1C5E-28B0-4413-B19B-582179E159F8}"/>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0 2 2" xfId="25661" xr:uid="{F73BB6CB-CD5F-45F9-9C1E-C5FFDA24AB33}"/>
    <cellStyle name="Currency 5 3 2 10 2 3" xfId="34108" xr:uid="{BEC2C84C-B6AB-4585-A3BD-3A2016459CE7}"/>
    <cellStyle name="Currency 5 3 2 10 2 4" xfId="42555" xr:uid="{DF3B3DF9-6B90-4CD3-A7DD-EC041D438257}"/>
    <cellStyle name="Currency 5 3 2 10 2 5" xfId="16361" xr:uid="{67F7ACFA-B40F-483E-B8D7-6CFF0BEE7F14}"/>
    <cellStyle name="Currency 5 3 2 10 3" xfId="21444" xr:uid="{209EE415-0DCF-44C5-BF24-CD8DE0D28D57}"/>
    <cellStyle name="Currency 5 3 2 10 4" xfId="29891" xr:uid="{77953ACE-4DBA-42AA-8091-5F4ACC4C7483}"/>
    <cellStyle name="Currency 5 3 2 10 5" xfId="38338" xr:uid="{7AC16E28-3201-49D8-A4D9-D9517416E8FA}"/>
    <cellStyle name="Currency 5 3 2 10 6" xfId="12144" xr:uid="{7B142973-201A-442A-8CE7-22B90E1EA2EA}"/>
    <cellStyle name="Currency 5 3 2 11" xfId="4652" xr:uid="{00000000-0005-0000-0000-0000840C0000}"/>
    <cellStyle name="Currency 5 3 2 11 2" xfId="23278" xr:uid="{9A646FF3-F93D-4AF9-99AD-89520A86E313}"/>
    <cellStyle name="Currency 5 3 2 11 3" xfId="31725" xr:uid="{6697A223-881C-406F-A63D-1AF12D67C5C5}"/>
    <cellStyle name="Currency 5 3 2 11 4" xfId="40172" xr:uid="{F2CBBBE5-CF38-4180-9780-94EFC1CB630E}"/>
    <cellStyle name="Currency 5 3 2 11 5" xfId="13978" xr:uid="{C83A7856-EA0E-41FD-868B-08C65621A152}"/>
    <cellStyle name="Currency 5 3 2 12" xfId="8810" xr:uid="{C5234FF9-D509-4CD8-ADA1-D3604CCF3D1F}"/>
    <cellStyle name="Currency 5 3 2 12 2" xfId="18134" xr:uid="{9C59E2A2-8969-4963-95E3-DB916AB52A86}"/>
    <cellStyle name="Currency 5 3 2 13" xfId="19061" xr:uid="{8C2A5EBA-EB9D-41A9-99C3-D0533948C7C1}"/>
    <cellStyle name="Currency 5 3 2 14" xfId="27508" xr:uid="{8F71EE45-6398-4D4C-8A40-916EEC3D2128}"/>
    <cellStyle name="Currency 5 3 2 15" xfId="35955" xr:uid="{6AEA16DF-352D-430B-988E-7DF9E3008742}"/>
    <cellStyle name="Currency 5 3 2 16" xfId="9761" xr:uid="{D2AB7E50-6F34-4E84-AAA5-64DE9C08BC66}"/>
    <cellStyle name="Currency 5 3 2 2" xfId="211" xr:uid="{00000000-0005-0000-0000-0000850C0000}"/>
    <cellStyle name="Currency 5 3 2 2 10" xfId="4653" xr:uid="{00000000-0005-0000-0000-0000860C0000}"/>
    <cellStyle name="Currency 5 3 2 2 10 2" xfId="23279" xr:uid="{8342A1D3-8C12-4361-A9F9-671CA6525E9A}"/>
    <cellStyle name="Currency 5 3 2 2 10 3" xfId="31726" xr:uid="{2E10B5C0-65AD-49B4-AEA7-6E71CA668292}"/>
    <cellStyle name="Currency 5 3 2 2 10 4" xfId="40173" xr:uid="{B2D3BCD7-D802-4040-BD31-6307D88A2BA1}"/>
    <cellStyle name="Currency 5 3 2 2 10 5" xfId="13979" xr:uid="{1C2375DB-883A-4BFF-A492-72AAF2B94252}"/>
    <cellStyle name="Currency 5 3 2 2 11" xfId="8913" xr:uid="{FE033F82-2F16-4925-9899-F927AB9AA612}"/>
    <cellStyle name="Currency 5 3 2 2 11 2" xfId="18237" xr:uid="{A3A2E0CC-34B7-491C-864B-37CFF6A6ACC1}"/>
    <cellStyle name="Currency 5 3 2 2 12" xfId="19062" xr:uid="{F4FA4046-F834-4923-A282-E3A63F61B3BF}"/>
    <cellStyle name="Currency 5 3 2 2 13" xfId="27509" xr:uid="{066D1C09-C519-48C9-966E-C470AFC3084A}"/>
    <cellStyle name="Currency 5 3 2 2 14" xfId="35956" xr:uid="{CB737FA0-2004-42DC-A776-82E50B438627}"/>
    <cellStyle name="Currency 5 3 2 2 15" xfId="9762" xr:uid="{49E25B6F-6764-4154-B457-EC3940D840CF}"/>
    <cellStyle name="Currency 5 3 2 2 2" xfId="212" xr:uid="{00000000-0005-0000-0000-0000870C0000}"/>
    <cellStyle name="Currency 5 3 2 2 2 10" xfId="9120" xr:uid="{D5536A1F-8418-4CB5-B1E0-470AD716374A}"/>
    <cellStyle name="Currency 5 3 2 2 2 10 2" xfId="18444" xr:uid="{95FAEE03-2265-4297-A88E-12D03463BCC2}"/>
    <cellStyle name="Currency 5 3 2 2 2 11" xfId="19063" xr:uid="{234E81C8-1712-422E-877C-D79B4F1CBFFC}"/>
    <cellStyle name="Currency 5 3 2 2 2 12" xfId="27510" xr:uid="{20F79565-9A93-496A-8C3F-3A42D6A206CE}"/>
    <cellStyle name="Currency 5 3 2 2 2 13" xfId="35957" xr:uid="{548E8C46-75C6-4D9B-AE6E-C2829690A9FE}"/>
    <cellStyle name="Currency 5 3 2 2 2 14" xfId="9763" xr:uid="{434C5954-1F2A-4670-80A3-4CE55D1C2770}"/>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2 2 2" xfId="25839" xr:uid="{599DE27C-E571-43FF-86D7-85D07EF24AA9}"/>
    <cellStyle name="Currency 5 3 2 2 2 2 2 2 3" xfId="34286" xr:uid="{3A5A0C68-71BE-4F9A-989F-8D44AD77438F}"/>
    <cellStyle name="Currency 5 3 2 2 2 2 2 2 4" xfId="42733" xr:uid="{34FF7C06-8AFC-4E01-821A-BE0370B344AD}"/>
    <cellStyle name="Currency 5 3 2 2 2 2 2 2 5" xfId="16539" xr:uid="{2DF9DC51-7D52-4BB8-B53B-A381CA34C900}"/>
    <cellStyle name="Currency 5 3 2 2 2 2 2 3" xfId="21622" xr:uid="{864AD46F-39FD-4C04-9AA9-0F9B5E4B404A}"/>
    <cellStyle name="Currency 5 3 2 2 2 2 2 4" xfId="30069" xr:uid="{3A1DEF4D-983D-4F66-925E-E417AA6627A2}"/>
    <cellStyle name="Currency 5 3 2 2 2 2 2 5" xfId="38516" xr:uid="{BBF14DB7-2CE5-4228-BDBF-B67464AF0038}"/>
    <cellStyle name="Currency 5 3 2 2 2 2 2 6" xfId="12322" xr:uid="{3917787F-0E97-45E4-B802-9A2E8E982B13}"/>
    <cellStyle name="Currency 5 3 2 2 2 2 3" xfId="5068" xr:uid="{00000000-0005-0000-0000-00008B0C0000}"/>
    <cellStyle name="Currency 5 3 2 2 2 2 3 2" xfId="23694" xr:uid="{8B5E24E5-4ADD-4BAC-991E-3B692AC4FF69}"/>
    <cellStyle name="Currency 5 3 2 2 2 2 3 3" xfId="32141" xr:uid="{D83B4B28-3985-400E-B59A-93E5A06F4795}"/>
    <cellStyle name="Currency 5 3 2 2 2 2 3 4" xfId="40588" xr:uid="{5E341FA8-DFBF-4D1B-9A77-2ED61F99FC45}"/>
    <cellStyle name="Currency 5 3 2 2 2 2 3 5" xfId="14394" xr:uid="{206B4D8C-AC39-4D40-BD5A-0246C2D68C4E}"/>
    <cellStyle name="Currency 5 3 2 2 2 2 4" xfId="9545" xr:uid="{F6C268D6-0334-42F7-AE4F-535ADD09B625}"/>
    <cellStyle name="Currency 5 3 2 2 2 2 4 2" xfId="18861" xr:uid="{F687DD9B-3D17-493A-9860-F6E5D979AC77}"/>
    <cellStyle name="Currency 5 3 2 2 2 2 5" xfId="19477" xr:uid="{A0FE736F-5D2C-43E4-A32A-E6142C4E2225}"/>
    <cellStyle name="Currency 5 3 2 2 2 2 6" xfId="27924" xr:uid="{460A42F7-5341-4BFA-80F0-3D44F3DD5D5D}"/>
    <cellStyle name="Currency 5 3 2 2 2 2 7" xfId="36371" xr:uid="{5E6FF23A-0153-4293-A3BD-246159AD9412}"/>
    <cellStyle name="Currency 5 3 2 2 2 2 8" xfId="10177" xr:uid="{E6154285-A89E-4CD9-8951-EB4AC45D8B98}"/>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2 2 2" xfId="26252" xr:uid="{7324A16F-B8A6-478A-8A9F-C6AF46D5DDE1}"/>
    <cellStyle name="Currency 5 3 2 2 2 3 2 2 3" xfId="34699" xr:uid="{77B592EA-3D96-41F4-95E4-92B62E918E7A}"/>
    <cellStyle name="Currency 5 3 2 2 2 3 2 2 4" xfId="43146" xr:uid="{A772EADC-9FE9-4A43-AA7F-DBACB963B445}"/>
    <cellStyle name="Currency 5 3 2 2 2 3 2 2 5" xfId="16952" xr:uid="{303A59BB-35E1-4F4D-87A3-AA2CB3E7A66C}"/>
    <cellStyle name="Currency 5 3 2 2 2 3 2 3" xfId="22035" xr:uid="{CAD2EA05-4CC5-4BB5-A9BF-81E7E90E11C2}"/>
    <cellStyle name="Currency 5 3 2 2 2 3 2 4" xfId="30482" xr:uid="{F4A1BDDC-6E4A-4339-9EDE-D9DFCA8DBE51}"/>
    <cellStyle name="Currency 5 3 2 2 2 3 2 5" xfId="38929" xr:uid="{CC073D4B-57CC-4D3C-B8CB-35EB4778D1D2}"/>
    <cellStyle name="Currency 5 3 2 2 2 3 2 6" xfId="12735" xr:uid="{22B36055-0E13-43BD-ABB0-16C20957F258}"/>
    <cellStyle name="Currency 5 3 2 2 2 3 3" xfId="5481" xr:uid="{00000000-0005-0000-0000-00008F0C0000}"/>
    <cellStyle name="Currency 5 3 2 2 2 3 3 2" xfId="24107" xr:uid="{8ED8F9EE-5C24-4F6C-8065-1732683B9ABA}"/>
    <cellStyle name="Currency 5 3 2 2 2 3 3 3" xfId="32554" xr:uid="{8804A71B-BDC1-41BC-AC61-A390A497886C}"/>
    <cellStyle name="Currency 5 3 2 2 2 3 3 4" xfId="41001" xr:uid="{96EE0A88-8225-4330-9ED5-5A1382DA944A}"/>
    <cellStyle name="Currency 5 3 2 2 2 3 3 5" xfId="14807" xr:uid="{D5C88825-69C4-4A25-9BD4-EDBBDF63D8E6}"/>
    <cellStyle name="Currency 5 3 2 2 2 3 4" xfId="19890" xr:uid="{A188AAC3-FE0E-402D-8387-05E075284E10}"/>
    <cellStyle name="Currency 5 3 2 2 2 3 5" xfId="28337" xr:uid="{DA947E87-56A5-4283-A9BD-929B8E38D4F2}"/>
    <cellStyle name="Currency 5 3 2 2 2 3 6" xfId="36784" xr:uid="{DA09AC34-BD61-4D40-B2EA-4C023B808E01}"/>
    <cellStyle name="Currency 5 3 2 2 2 3 7" xfId="10590" xr:uid="{FEF2C331-0112-4D52-94F8-9C4F539FAD12}"/>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2 2 2" xfId="26665" xr:uid="{E5A9C8C3-4C43-4BC6-80EE-2FABA78FABD5}"/>
    <cellStyle name="Currency 5 3 2 2 2 4 2 2 3" xfId="35112" xr:uid="{62FBE5CF-2535-481B-AE59-425B8FD96E12}"/>
    <cellStyle name="Currency 5 3 2 2 2 4 2 2 4" xfId="43559" xr:uid="{6297E316-D57A-4FF2-89A9-3129F26A5596}"/>
    <cellStyle name="Currency 5 3 2 2 2 4 2 2 5" xfId="17365" xr:uid="{09395CC0-34E3-438E-B53F-0D6E397EB86B}"/>
    <cellStyle name="Currency 5 3 2 2 2 4 2 3" xfId="22448" xr:uid="{50FD9BBB-7072-4D8A-BF65-44DCB9F855F4}"/>
    <cellStyle name="Currency 5 3 2 2 2 4 2 4" xfId="30895" xr:uid="{C61CD912-FD74-4CB9-B59E-842D1FF73DF0}"/>
    <cellStyle name="Currency 5 3 2 2 2 4 2 5" xfId="39342" xr:uid="{CDBB33FB-9B4A-4FD3-BC3B-D33776CE701E}"/>
    <cellStyle name="Currency 5 3 2 2 2 4 2 6" xfId="13148" xr:uid="{918216AF-129F-4941-AC03-C9EACE13A874}"/>
    <cellStyle name="Currency 5 3 2 2 2 4 3" xfId="5894" xr:uid="{00000000-0005-0000-0000-0000930C0000}"/>
    <cellStyle name="Currency 5 3 2 2 2 4 3 2" xfId="24520" xr:uid="{73C45B6D-7B65-4B67-973C-A0F0E7C67405}"/>
    <cellStyle name="Currency 5 3 2 2 2 4 3 3" xfId="32967" xr:uid="{2B91F10D-55D8-4A9C-9FCE-274273313AB3}"/>
    <cellStyle name="Currency 5 3 2 2 2 4 3 4" xfId="41414" xr:uid="{C022D512-D35C-4BB2-9C86-854D268731F0}"/>
    <cellStyle name="Currency 5 3 2 2 2 4 3 5" xfId="15220" xr:uid="{93605ECD-928F-46AB-BA70-7154B9470BAF}"/>
    <cellStyle name="Currency 5 3 2 2 2 4 4" xfId="20303" xr:uid="{9D62AED7-4BB2-435A-BA20-DDA66299F3E1}"/>
    <cellStyle name="Currency 5 3 2 2 2 4 5" xfId="28750" xr:uid="{4C0C3994-A407-4645-B7B7-3A3ADBB73ED4}"/>
    <cellStyle name="Currency 5 3 2 2 2 4 6" xfId="37197" xr:uid="{BA360CA5-0507-4850-9FB4-250F2619B14E}"/>
    <cellStyle name="Currency 5 3 2 2 2 4 7" xfId="11003" xr:uid="{E877BAD3-6FC1-4C09-B651-E45C66E418F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2 2 2" xfId="27078" xr:uid="{9F38F49C-A93A-4E83-B5AF-E46BD9EE7C07}"/>
    <cellStyle name="Currency 5 3 2 2 2 5 2 2 3" xfId="35525" xr:uid="{5FD139B4-D4D4-4D7B-9BC3-413A482D2E43}"/>
    <cellStyle name="Currency 5 3 2 2 2 5 2 2 4" xfId="43972" xr:uid="{DF338F00-2AF8-4BFC-BA94-5F66CE2F1ACE}"/>
    <cellStyle name="Currency 5 3 2 2 2 5 2 2 5" xfId="17778" xr:uid="{656A8F61-6A75-46AB-93BB-E1D8D7F86853}"/>
    <cellStyle name="Currency 5 3 2 2 2 5 2 3" xfId="22861" xr:uid="{3BE315B0-4248-446B-9029-20F14A7BE45A}"/>
    <cellStyle name="Currency 5 3 2 2 2 5 2 4" xfId="31308" xr:uid="{F9DBAC45-2B11-4592-BEE7-C47C9EC6A234}"/>
    <cellStyle name="Currency 5 3 2 2 2 5 2 5" xfId="39755" xr:uid="{EADDED83-6777-4C01-AB15-20FEBC112701}"/>
    <cellStyle name="Currency 5 3 2 2 2 5 2 6" xfId="13561" xr:uid="{E368178A-44A1-41D5-AF1F-F857B5E0689B}"/>
    <cellStyle name="Currency 5 3 2 2 2 5 3" xfId="6307" xr:uid="{00000000-0005-0000-0000-0000970C0000}"/>
    <cellStyle name="Currency 5 3 2 2 2 5 3 2" xfId="24933" xr:uid="{82A0DE9C-907B-474E-B73F-D2D31DF5CB4C}"/>
    <cellStyle name="Currency 5 3 2 2 2 5 3 3" xfId="33380" xr:uid="{D89D75A1-2561-4591-B9AA-D40A25D2F885}"/>
    <cellStyle name="Currency 5 3 2 2 2 5 3 4" xfId="41827" xr:uid="{51C223C2-C115-4A5B-93B4-B90CDA6FD8C3}"/>
    <cellStyle name="Currency 5 3 2 2 2 5 3 5" xfId="15633" xr:uid="{9368EEF6-23EA-4EBA-A755-A026083494FD}"/>
    <cellStyle name="Currency 5 3 2 2 2 5 4" xfId="20716" xr:uid="{01BC679A-E7D9-42CA-B486-0549E0D26D12}"/>
    <cellStyle name="Currency 5 3 2 2 2 5 5" xfId="29163" xr:uid="{2E62A91E-4490-4925-BEAE-7D09BA4910C5}"/>
    <cellStyle name="Currency 5 3 2 2 2 5 6" xfId="37610" xr:uid="{397FE51E-0196-4ED1-9BC0-E5EF835CCE24}"/>
    <cellStyle name="Currency 5 3 2 2 2 5 7" xfId="11416" xr:uid="{C611C004-67CE-481A-973D-D770D0A2F567}"/>
    <cellStyle name="Currency 5 3 2 2 2 6" xfId="2436" xr:uid="{00000000-0005-0000-0000-0000980C0000}"/>
    <cellStyle name="Currency 5 3 2 2 2 6 2" xfId="6720" xr:uid="{00000000-0005-0000-0000-0000990C0000}"/>
    <cellStyle name="Currency 5 3 2 2 2 6 2 2" xfId="25346" xr:uid="{A2C8331F-AAAE-47BD-81C4-2DF7868593D4}"/>
    <cellStyle name="Currency 5 3 2 2 2 6 2 3" xfId="33793" xr:uid="{E15F8D4B-746B-4DFF-B616-18B84F0DCAD8}"/>
    <cellStyle name="Currency 5 3 2 2 2 6 2 4" xfId="42240" xr:uid="{5D2E3169-13BB-4AAC-9208-4454EED1225F}"/>
    <cellStyle name="Currency 5 3 2 2 2 6 2 5" xfId="16046" xr:uid="{C35E5FDE-4BCA-46E3-B078-D2E843EB2597}"/>
    <cellStyle name="Currency 5 3 2 2 2 6 3" xfId="21129" xr:uid="{78A31FA1-48E9-4863-8666-6E28C5A87F49}"/>
    <cellStyle name="Currency 5 3 2 2 2 6 4" xfId="29576" xr:uid="{5FB6D348-C2B9-4A62-81A1-26B4ED591B67}"/>
    <cellStyle name="Currency 5 3 2 2 2 6 5" xfId="38023" xr:uid="{3DAD54F7-27DB-46CF-85BF-F073D4245568}"/>
    <cellStyle name="Currency 5 3 2 2 2 6 6" xfId="11829" xr:uid="{F7A61D2A-ECC3-4580-9E30-CB98AF60E333}"/>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8 2 2" xfId="25663" xr:uid="{6D2D10E6-F410-40D1-BBD6-019D78B754E5}"/>
    <cellStyle name="Currency 5 3 2 2 2 8 2 3" xfId="34110" xr:uid="{8B52983F-8914-4C92-98E6-3E822F836B61}"/>
    <cellStyle name="Currency 5 3 2 2 2 8 2 4" xfId="42557" xr:uid="{1D13A172-6401-45C0-9B31-2798AE795905}"/>
    <cellStyle name="Currency 5 3 2 2 2 8 2 5" xfId="16363" xr:uid="{B45562CD-BABF-4E21-BEBA-8DCBB569FD23}"/>
    <cellStyle name="Currency 5 3 2 2 2 8 3" xfId="21446" xr:uid="{E65D1F4D-494B-4BAC-A112-44D68F463131}"/>
    <cellStyle name="Currency 5 3 2 2 2 8 4" xfId="29893" xr:uid="{30EFC00F-59E8-4964-A423-15EE16C51D66}"/>
    <cellStyle name="Currency 5 3 2 2 2 8 5" xfId="38340" xr:uid="{C7C7A8ED-928E-4CEC-9004-950AFB83A3D3}"/>
    <cellStyle name="Currency 5 3 2 2 2 8 6" xfId="12146" xr:uid="{93398867-75B6-49B7-9DB0-0488302D2184}"/>
    <cellStyle name="Currency 5 3 2 2 2 9" xfId="4654" xr:uid="{00000000-0005-0000-0000-00009D0C0000}"/>
    <cellStyle name="Currency 5 3 2 2 2 9 2" xfId="23280" xr:uid="{A85EE3AF-3577-419F-9253-E228ED7973AC}"/>
    <cellStyle name="Currency 5 3 2 2 2 9 3" xfId="31727" xr:uid="{D79D2DEE-D7DE-4370-9E54-FF286A289B12}"/>
    <cellStyle name="Currency 5 3 2 2 2 9 4" xfId="40174" xr:uid="{2E240E18-7D23-4C0B-B9E6-F7BFD3FEED1C}"/>
    <cellStyle name="Currency 5 3 2 2 2 9 5" xfId="13980" xr:uid="{C8AF7332-58C9-4BE6-828E-E873F6AC0868}"/>
    <cellStyle name="Currency 5 3 2 2 3" xfId="737" xr:uid="{00000000-0005-0000-0000-00009E0C0000}"/>
    <cellStyle name="Currency 5 3 2 2 3 2" xfId="2990" xr:uid="{00000000-0005-0000-0000-00009F0C0000}"/>
    <cellStyle name="Currency 5 3 2 2 3 2 2" xfId="7212" xr:uid="{00000000-0005-0000-0000-0000A00C0000}"/>
    <cellStyle name="Currency 5 3 2 2 3 2 2 2" xfId="25838" xr:uid="{92AF1A5C-C9D8-4C23-952A-CA1D02EC3AA0}"/>
    <cellStyle name="Currency 5 3 2 2 3 2 2 3" xfId="34285" xr:uid="{D5FB48BA-B5C9-4AA2-AB3F-F12CD4BEC259}"/>
    <cellStyle name="Currency 5 3 2 2 3 2 2 4" xfId="42732" xr:uid="{A372D5A1-BE57-461C-9869-8B6732D6F109}"/>
    <cellStyle name="Currency 5 3 2 2 3 2 2 5" xfId="16538" xr:uid="{4392633B-24E1-4017-BABA-47F141D592A7}"/>
    <cellStyle name="Currency 5 3 2 2 3 2 3" xfId="21621" xr:uid="{3D07D257-EEB1-4B74-8423-1985223FDA4F}"/>
    <cellStyle name="Currency 5 3 2 2 3 2 4" xfId="30068" xr:uid="{464DD798-0180-4CB6-95ED-96C8446C5185}"/>
    <cellStyle name="Currency 5 3 2 2 3 2 5" xfId="38515" xr:uid="{B80762BC-FD8B-422C-8FD1-D28D663F83D3}"/>
    <cellStyle name="Currency 5 3 2 2 3 2 6" xfId="12321" xr:uid="{53FCB50E-9848-4C47-B55E-B26FA0BDCD1C}"/>
    <cellStyle name="Currency 5 3 2 2 3 3" xfId="5067" xr:uid="{00000000-0005-0000-0000-0000A10C0000}"/>
    <cellStyle name="Currency 5 3 2 2 3 3 2" xfId="23693" xr:uid="{F9FAA64A-BAE9-4755-A149-4390243CFEC4}"/>
    <cellStyle name="Currency 5 3 2 2 3 3 3" xfId="32140" xr:uid="{A8AAC763-A145-4976-890F-D85764F55818}"/>
    <cellStyle name="Currency 5 3 2 2 3 3 4" xfId="40587" xr:uid="{E9470702-79DA-45F9-81C1-DB0320A18475}"/>
    <cellStyle name="Currency 5 3 2 2 3 3 5" xfId="14393" xr:uid="{BE57597E-D34D-4C31-83F8-EEB64EE13F82}"/>
    <cellStyle name="Currency 5 3 2 2 3 4" xfId="9338" xr:uid="{E79296CA-9516-4DDA-84B2-A3B13AAA9D9D}"/>
    <cellStyle name="Currency 5 3 2 2 3 4 2" xfId="18654" xr:uid="{0A9C1ADF-3CEB-4DF2-9C23-AE931BA84664}"/>
    <cellStyle name="Currency 5 3 2 2 3 5" xfId="19476" xr:uid="{CD5F6243-314A-4712-AA5E-E640C249BD9C}"/>
    <cellStyle name="Currency 5 3 2 2 3 6" xfId="27923" xr:uid="{52B5A853-6EDD-4D51-96A0-889F5F5823B0}"/>
    <cellStyle name="Currency 5 3 2 2 3 7" xfId="36370" xr:uid="{65E28C4C-413D-4BF8-83E7-884F78D3AC7D}"/>
    <cellStyle name="Currency 5 3 2 2 3 8" xfId="10176" xr:uid="{AFF36562-DE96-4785-B464-D543D42F5630}"/>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2 2 2" xfId="26251" xr:uid="{383CFC68-39A5-4075-8FDD-C31CED2D567F}"/>
    <cellStyle name="Currency 5 3 2 2 4 2 2 3" xfId="34698" xr:uid="{9A50F20C-489F-4623-A7B3-C6738DE05804}"/>
    <cellStyle name="Currency 5 3 2 2 4 2 2 4" xfId="43145" xr:uid="{C9CACFD1-EA83-4EF3-9276-AE92818C5D87}"/>
    <cellStyle name="Currency 5 3 2 2 4 2 2 5" xfId="16951" xr:uid="{E9018A42-E545-42BC-BE9A-17C8A1BE8A22}"/>
    <cellStyle name="Currency 5 3 2 2 4 2 3" xfId="22034" xr:uid="{4C364749-AFEF-4A9C-B876-7F6E8F0F6E71}"/>
    <cellStyle name="Currency 5 3 2 2 4 2 4" xfId="30481" xr:uid="{81C9F81A-351E-40A0-BBB0-30F1C06E55E1}"/>
    <cellStyle name="Currency 5 3 2 2 4 2 5" xfId="38928" xr:uid="{A8302552-AB7F-4647-A60E-BC54E0E08DBA}"/>
    <cellStyle name="Currency 5 3 2 2 4 2 6" xfId="12734" xr:uid="{26EEE175-3721-4F65-8BA4-E9DF27A334B4}"/>
    <cellStyle name="Currency 5 3 2 2 4 3" xfId="5480" xr:uid="{00000000-0005-0000-0000-0000A50C0000}"/>
    <cellStyle name="Currency 5 3 2 2 4 3 2" xfId="24106" xr:uid="{1E67E00E-F3C5-4DF0-9447-32023C5A16E8}"/>
    <cellStyle name="Currency 5 3 2 2 4 3 3" xfId="32553" xr:uid="{0C31EA71-0E9A-4103-A51B-8748CD71FAE3}"/>
    <cellStyle name="Currency 5 3 2 2 4 3 4" xfId="41000" xr:uid="{EA33E34D-B55A-4A61-B74E-1456E2AA3E4A}"/>
    <cellStyle name="Currency 5 3 2 2 4 3 5" xfId="14806" xr:uid="{1B2DD142-EF50-4AD4-9EF7-030F6FC2B374}"/>
    <cellStyle name="Currency 5 3 2 2 4 4" xfId="19889" xr:uid="{8745075C-1BF2-40CC-9F88-0CBC135C6D40}"/>
    <cellStyle name="Currency 5 3 2 2 4 5" xfId="28336" xr:uid="{D680D531-F732-453C-ACB8-E2B6A840E3C1}"/>
    <cellStyle name="Currency 5 3 2 2 4 6" xfId="36783" xr:uid="{401F2E09-7817-4635-872C-31063EE85223}"/>
    <cellStyle name="Currency 5 3 2 2 4 7" xfId="10589" xr:uid="{BF8ED89A-06C7-46E1-BCB2-E7E8C809094E}"/>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2 2 2" xfId="26664" xr:uid="{5738BD4D-5D2E-4D9B-8336-369338E21C84}"/>
    <cellStyle name="Currency 5 3 2 2 5 2 2 3" xfId="35111" xr:uid="{387995AB-7D22-408A-9F33-122BEEF85ACC}"/>
    <cellStyle name="Currency 5 3 2 2 5 2 2 4" xfId="43558" xr:uid="{60CF11E5-26A7-49F3-BC7D-DE322BA4A654}"/>
    <cellStyle name="Currency 5 3 2 2 5 2 2 5" xfId="17364" xr:uid="{187F0551-2669-414F-BF10-24A55327FB3C}"/>
    <cellStyle name="Currency 5 3 2 2 5 2 3" xfId="22447" xr:uid="{20163095-561C-46D6-88F0-650597EFB616}"/>
    <cellStyle name="Currency 5 3 2 2 5 2 4" xfId="30894" xr:uid="{08F81EF2-74FD-4188-A90A-2D74D563C91F}"/>
    <cellStyle name="Currency 5 3 2 2 5 2 5" xfId="39341" xr:uid="{16CACDB9-DE93-4085-A2FB-82997B0BACFE}"/>
    <cellStyle name="Currency 5 3 2 2 5 2 6" xfId="13147" xr:uid="{CD722D1E-6CB6-4717-8786-E4AE6D0176D1}"/>
    <cellStyle name="Currency 5 3 2 2 5 3" xfId="5893" xr:uid="{00000000-0005-0000-0000-0000A90C0000}"/>
    <cellStyle name="Currency 5 3 2 2 5 3 2" xfId="24519" xr:uid="{711340ED-77F6-495C-BCA3-27874EFCDF2A}"/>
    <cellStyle name="Currency 5 3 2 2 5 3 3" xfId="32966" xr:uid="{E85EA6BC-C6DE-4197-8784-0F1CD2D9C7C0}"/>
    <cellStyle name="Currency 5 3 2 2 5 3 4" xfId="41413" xr:uid="{7E0BAD96-DA45-4190-AB8D-52416419D335}"/>
    <cellStyle name="Currency 5 3 2 2 5 3 5" xfId="15219" xr:uid="{ABDAE5C1-6063-4596-98C5-C4444B46A8FA}"/>
    <cellStyle name="Currency 5 3 2 2 5 4" xfId="20302" xr:uid="{5B162350-8FFC-4342-97EC-5E14D19318B3}"/>
    <cellStyle name="Currency 5 3 2 2 5 5" xfId="28749" xr:uid="{B065CC55-901B-4A80-82A4-A0D333077FE1}"/>
    <cellStyle name="Currency 5 3 2 2 5 6" xfId="37196" xr:uid="{9E17EA32-4BD8-432D-BE0A-A2729B30A175}"/>
    <cellStyle name="Currency 5 3 2 2 5 7" xfId="11002" xr:uid="{CB8B3BDB-8EA7-4F9E-919A-44B3EAF5AA1E}"/>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2 2 2" xfId="27077" xr:uid="{2B9E2B62-1A9F-4B1B-B5AF-4D3D28A938AB}"/>
    <cellStyle name="Currency 5 3 2 2 6 2 2 3" xfId="35524" xr:uid="{5B86D716-6B41-4AD7-ACF3-D51B85D5E227}"/>
    <cellStyle name="Currency 5 3 2 2 6 2 2 4" xfId="43971" xr:uid="{B078F945-6B25-4179-A280-E4295B065145}"/>
    <cellStyle name="Currency 5 3 2 2 6 2 2 5" xfId="17777" xr:uid="{91877810-01BA-41F3-91D8-5CDE184CA14F}"/>
    <cellStyle name="Currency 5 3 2 2 6 2 3" xfId="22860" xr:uid="{21184181-9EE3-4441-A835-B5A56E9AECF2}"/>
    <cellStyle name="Currency 5 3 2 2 6 2 4" xfId="31307" xr:uid="{56A0513D-EB1D-4A63-9A61-08812936CDDA}"/>
    <cellStyle name="Currency 5 3 2 2 6 2 5" xfId="39754" xr:uid="{09B0F564-019E-4069-B3E5-EF90CA829A6B}"/>
    <cellStyle name="Currency 5 3 2 2 6 2 6" xfId="13560" xr:uid="{ABA5E31E-72A6-4306-8B79-A52EEC67F631}"/>
    <cellStyle name="Currency 5 3 2 2 6 3" xfId="6306" xr:uid="{00000000-0005-0000-0000-0000AD0C0000}"/>
    <cellStyle name="Currency 5 3 2 2 6 3 2" xfId="24932" xr:uid="{DD43EF8D-8D5F-4141-985C-2CB7C17888BB}"/>
    <cellStyle name="Currency 5 3 2 2 6 3 3" xfId="33379" xr:uid="{B7A97D4E-DDA5-44E8-A05E-05F18F15E9FF}"/>
    <cellStyle name="Currency 5 3 2 2 6 3 4" xfId="41826" xr:uid="{8F7FE074-3E2E-4D0E-84F5-0AF29F86244A}"/>
    <cellStyle name="Currency 5 3 2 2 6 3 5" xfId="15632" xr:uid="{C996738F-BBAC-40C5-8542-A599C6F21892}"/>
    <cellStyle name="Currency 5 3 2 2 6 4" xfId="20715" xr:uid="{FB35053F-B93C-46D9-8613-008CA0FB2C37}"/>
    <cellStyle name="Currency 5 3 2 2 6 5" xfId="29162" xr:uid="{81ECF3BF-6F6D-4539-AAE4-2649A8B01D89}"/>
    <cellStyle name="Currency 5 3 2 2 6 6" xfId="37609" xr:uid="{7E6484FD-AC48-4337-9C71-EDAEBFD78E16}"/>
    <cellStyle name="Currency 5 3 2 2 6 7" xfId="11415" xr:uid="{B715DF1B-3095-4E52-A185-5960A3899901}"/>
    <cellStyle name="Currency 5 3 2 2 7" xfId="2435" xr:uid="{00000000-0005-0000-0000-0000AE0C0000}"/>
    <cellStyle name="Currency 5 3 2 2 7 2" xfId="6719" xr:uid="{00000000-0005-0000-0000-0000AF0C0000}"/>
    <cellStyle name="Currency 5 3 2 2 7 2 2" xfId="25345" xr:uid="{C8D9F6F8-D1FD-46C1-8F81-9CCFEE759C6C}"/>
    <cellStyle name="Currency 5 3 2 2 7 2 3" xfId="33792" xr:uid="{B9F0F460-0317-423D-BD2C-35869EB05853}"/>
    <cellStyle name="Currency 5 3 2 2 7 2 4" xfId="42239" xr:uid="{BD42C3E3-0AC0-4C65-B257-C627ED17BE8D}"/>
    <cellStyle name="Currency 5 3 2 2 7 2 5" xfId="16045" xr:uid="{F4C9D2D1-485C-4FD8-8BA2-F7F3AC0A8B99}"/>
    <cellStyle name="Currency 5 3 2 2 7 3" xfId="21128" xr:uid="{638DE067-548C-4402-8E3F-0D5CBFFD35DE}"/>
    <cellStyle name="Currency 5 3 2 2 7 4" xfId="29575" xr:uid="{3BFE12D8-4DCF-49DB-AFF9-79AE86CE4873}"/>
    <cellStyle name="Currency 5 3 2 2 7 5" xfId="38022" xr:uid="{C6026E68-ADEF-4012-9D10-D4B68937F421}"/>
    <cellStyle name="Currency 5 3 2 2 7 6" xfId="11828" xr:uid="{9CC46013-78FA-4A9A-813C-C45F4029FF7D}"/>
    <cellStyle name="Currency 5 3 2 2 8" xfId="2732" xr:uid="{00000000-0005-0000-0000-0000B00C0000}"/>
    <cellStyle name="Currency 5 3 2 2 9" xfId="2813" xr:uid="{00000000-0005-0000-0000-0000B10C0000}"/>
    <cellStyle name="Currency 5 3 2 2 9 2" xfId="7036" xr:uid="{00000000-0005-0000-0000-0000B20C0000}"/>
    <cellStyle name="Currency 5 3 2 2 9 2 2" xfId="25662" xr:uid="{DF9D1F13-8F77-4E9C-8C22-83F70D0D1177}"/>
    <cellStyle name="Currency 5 3 2 2 9 2 3" xfId="34109" xr:uid="{9D7F2276-1D8E-4A53-87BB-491317AD2204}"/>
    <cellStyle name="Currency 5 3 2 2 9 2 4" xfId="42556" xr:uid="{6B5BD3CC-F336-4478-9935-62555E7FB9AD}"/>
    <cellStyle name="Currency 5 3 2 2 9 2 5" xfId="16362" xr:uid="{B6C862E4-0AC7-4195-8653-AF075CAF3943}"/>
    <cellStyle name="Currency 5 3 2 2 9 3" xfId="21445" xr:uid="{B10C3101-F6CB-4B75-85EC-C555BE885FD7}"/>
    <cellStyle name="Currency 5 3 2 2 9 4" xfId="29892" xr:uid="{5F7BB86E-3AD3-44F9-86C2-769F72E9EC58}"/>
    <cellStyle name="Currency 5 3 2 2 9 5" xfId="38339" xr:uid="{AD05EE89-403A-448E-8CF6-E0662205766D}"/>
    <cellStyle name="Currency 5 3 2 2 9 6" xfId="12145" xr:uid="{12169CE3-35EC-4446-8F5F-D59AB7E53394}"/>
    <cellStyle name="Currency 5 3 2 3" xfId="213" xr:uid="{00000000-0005-0000-0000-0000B30C0000}"/>
    <cellStyle name="Currency 5 3 2 3 10" xfId="9017" xr:uid="{A6213F8D-EE09-4095-B9BE-99C55DEE210F}"/>
    <cellStyle name="Currency 5 3 2 3 10 2" xfId="18341" xr:uid="{E0D3AD3C-F749-4D53-9EDB-4C0F5BBAD11A}"/>
    <cellStyle name="Currency 5 3 2 3 11" xfId="19064" xr:uid="{5F9F93BA-A816-4AEE-A3A1-352600D640F0}"/>
    <cellStyle name="Currency 5 3 2 3 12" xfId="27511" xr:uid="{9CC74529-83C2-4CB4-83F5-FC07503BDBE9}"/>
    <cellStyle name="Currency 5 3 2 3 13" xfId="35958" xr:uid="{44D4D3FE-B192-4102-B7A4-A926C543173B}"/>
    <cellStyle name="Currency 5 3 2 3 14" xfId="9764" xr:uid="{924A6D1F-CD86-4028-9416-35B0610C84D0}"/>
    <cellStyle name="Currency 5 3 2 3 2" xfId="739" xr:uid="{00000000-0005-0000-0000-0000B40C0000}"/>
    <cellStyle name="Currency 5 3 2 3 2 2" xfId="2992" xr:uid="{00000000-0005-0000-0000-0000B50C0000}"/>
    <cellStyle name="Currency 5 3 2 3 2 2 2" xfId="7214" xr:uid="{00000000-0005-0000-0000-0000B60C0000}"/>
    <cellStyle name="Currency 5 3 2 3 2 2 2 2" xfId="25840" xr:uid="{0A7201C8-E49F-477B-BFFA-464DC9FAB0DD}"/>
    <cellStyle name="Currency 5 3 2 3 2 2 2 3" xfId="34287" xr:uid="{1D3D9C89-AA68-4B1B-8B23-DEC3B6F90377}"/>
    <cellStyle name="Currency 5 3 2 3 2 2 2 4" xfId="42734" xr:uid="{17FB8907-3920-4931-B2CE-93948076DD05}"/>
    <cellStyle name="Currency 5 3 2 3 2 2 2 5" xfId="16540" xr:uid="{BCDD86FF-A9D2-4E85-B301-F08C377F17C1}"/>
    <cellStyle name="Currency 5 3 2 3 2 2 3" xfId="21623" xr:uid="{D993EAF4-7B5B-4E23-BC1D-CC28C4E409F4}"/>
    <cellStyle name="Currency 5 3 2 3 2 2 4" xfId="30070" xr:uid="{24A2EB85-FCCA-48E8-B58C-99F34CEECE65}"/>
    <cellStyle name="Currency 5 3 2 3 2 2 5" xfId="38517" xr:uid="{6FB8D037-C8EE-49BB-BC6A-94D5081CFCA3}"/>
    <cellStyle name="Currency 5 3 2 3 2 2 6" xfId="12323" xr:uid="{B251DF91-E463-489A-9E55-44E050267140}"/>
    <cellStyle name="Currency 5 3 2 3 2 3" xfId="5069" xr:uid="{00000000-0005-0000-0000-0000B70C0000}"/>
    <cellStyle name="Currency 5 3 2 3 2 3 2" xfId="23695" xr:uid="{C0867053-6409-4E78-A4DF-C068CD5F919A}"/>
    <cellStyle name="Currency 5 3 2 3 2 3 3" xfId="32142" xr:uid="{BB610E7F-5317-42AA-AD4E-50AB7FA69B09}"/>
    <cellStyle name="Currency 5 3 2 3 2 3 4" xfId="40589" xr:uid="{C97880BF-15A2-4165-B5D4-7572E23AEEF5}"/>
    <cellStyle name="Currency 5 3 2 3 2 3 5" xfId="14395" xr:uid="{ABE02DA9-D952-4AB6-80C5-89C1CCD2A0D9}"/>
    <cellStyle name="Currency 5 3 2 3 2 4" xfId="9442" xr:uid="{AE48BD1F-B5DA-4007-BBEE-128FE2FE74D7}"/>
    <cellStyle name="Currency 5 3 2 3 2 4 2" xfId="18758" xr:uid="{FEB1782A-9D87-4AEF-83A1-680D7D4E679E}"/>
    <cellStyle name="Currency 5 3 2 3 2 5" xfId="19478" xr:uid="{E0653803-2FFB-4879-8D48-AC7BA4DC68A9}"/>
    <cellStyle name="Currency 5 3 2 3 2 6" xfId="27925" xr:uid="{2D612927-3366-40B3-9099-AE17BB59B608}"/>
    <cellStyle name="Currency 5 3 2 3 2 7" xfId="36372" xr:uid="{1849B476-3915-4AC2-BAEE-44ACAF20502F}"/>
    <cellStyle name="Currency 5 3 2 3 2 8" xfId="10178" xr:uid="{1BC5230E-87A9-46A1-B662-6D48C0F3AAC1}"/>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2 2 2" xfId="26253" xr:uid="{EBFB1845-0A4E-4355-A910-C6D704C04FED}"/>
    <cellStyle name="Currency 5 3 2 3 3 2 2 3" xfId="34700" xr:uid="{43E617A7-032A-417D-B81A-3353F3FC26FF}"/>
    <cellStyle name="Currency 5 3 2 3 3 2 2 4" xfId="43147" xr:uid="{43FD6FD9-BD02-4FC6-AE3F-D4FB6F6B8CF8}"/>
    <cellStyle name="Currency 5 3 2 3 3 2 2 5" xfId="16953" xr:uid="{EBE6A7D8-BD1B-4E37-AABA-9BD6B3BB8B0D}"/>
    <cellStyle name="Currency 5 3 2 3 3 2 3" xfId="22036" xr:uid="{1F497088-61C4-4948-BE4F-EE10407FCB74}"/>
    <cellStyle name="Currency 5 3 2 3 3 2 4" xfId="30483" xr:uid="{C310F806-C79B-446F-84C2-4AB6C435B678}"/>
    <cellStyle name="Currency 5 3 2 3 3 2 5" xfId="38930" xr:uid="{58753D46-575B-4EAD-B035-B4B9797A73D7}"/>
    <cellStyle name="Currency 5 3 2 3 3 2 6" xfId="12736" xr:uid="{8795C995-880A-4FB2-AE0C-8F8B4EF5D70A}"/>
    <cellStyle name="Currency 5 3 2 3 3 3" xfId="5482" xr:uid="{00000000-0005-0000-0000-0000BB0C0000}"/>
    <cellStyle name="Currency 5 3 2 3 3 3 2" xfId="24108" xr:uid="{A115CF05-8076-409D-B805-454492CED0EE}"/>
    <cellStyle name="Currency 5 3 2 3 3 3 3" xfId="32555" xr:uid="{DA2CAD00-83D3-447C-A070-41C175173E86}"/>
    <cellStyle name="Currency 5 3 2 3 3 3 4" xfId="41002" xr:uid="{1EBF2076-9089-4930-AFB2-55620F55E14C}"/>
    <cellStyle name="Currency 5 3 2 3 3 3 5" xfId="14808" xr:uid="{6725869E-03D6-4EE5-83F7-01C02BC2F76E}"/>
    <cellStyle name="Currency 5 3 2 3 3 4" xfId="19891" xr:uid="{77023B5F-68AB-4B02-BA45-294FC55E7DAB}"/>
    <cellStyle name="Currency 5 3 2 3 3 5" xfId="28338" xr:uid="{D6C0EF25-4652-4EFA-B33A-18E38AFB4F70}"/>
    <cellStyle name="Currency 5 3 2 3 3 6" xfId="36785" xr:uid="{44AF69C5-FF15-4854-AE5A-9EA9FDE6BEE0}"/>
    <cellStyle name="Currency 5 3 2 3 3 7" xfId="10591" xr:uid="{EC8B1681-F010-4D88-9084-F18644870BFA}"/>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2 2 2" xfId="26666" xr:uid="{E243302E-DEAD-444C-A149-525C409CCC8B}"/>
    <cellStyle name="Currency 5 3 2 3 4 2 2 3" xfId="35113" xr:uid="{4AF08507-E580-472C-B30D-550A6F815CC2}"/>
    <cellStyle name="Currency 5 3 2 3 4 2 2 4" xfId="43560" xr:uid="{E068BF5E-AAEF-49EA-9C30-7D8B088D1567}"/>
    <cellStyle name="Currency 5 3 2 3 4 2 2 5" xfId="17366" xr:uid="{642F2A6B-ADB0-4F57-90A0-9AA7F562CAA0}"/>
    <cellStyle name="Currency 5 3 2 3 4 2 3" xfId="22449" xr:uid="{C01F0731-2E09-4401-9525-AC7BF054F54C}"/>
    <cellStyle name="Currency 5 3 2 3 4 2 4" xfId="30896" xr:uid="{9C6A21A8-7320-4738-ABDB-0F49B5B88081}"/>
    <cellStyle name="Currency 5 3 2 3 4 2 5" xfId="39343" xr:uid="{BD813287-B2BF-40D8-A532-6299CB077B6B}"/>
    <cellStyle name="Currency 5 3 2 3 4 2 6" xfId="13149" xr:uid="{7E94C893-4F44-4529-A9D7-EC4FB0219B3A}"/>
    <cellStyle name="Currency 5 3 2 3 4 3" xfId="5895" xr:uid="{00000000-0005-0000-0000-0000BF0C0000}"/>
    <cellStyle name="Currency 5 3 2 3 4 3 2" xfId="24521" xr:uid="{773D2F0B-EDBD-4773-B169-4D5E2ADCB7C2}"/>
    <cellStyle name="Currency 5 3 2 3 4 3 3" xfId="32968" xr:uid="{3D70AEF2-616A-4217-A998-66369EB05AE6}"/>
    <cellStyle name="Currency 5 3 2 3 4 3 4" xfId="41415" xr:uid="{06ED3584-BDFD-4819-AEEF-2FFE58F5CD51}"/>
    <cellStyle name="Currency 5 3 2 3 4 3 5" xfId="15221" xr:uid="{7B815630-BC22-4D32-A452-206E2CE7B19A}"/>
    <cellStyle name="Currency 5 3 2 3 4 4" xfId="20304" xr:uid="{B09F6E0A-B400-4F16-8FF3-2C760001C2EE}"/>
    <cellStyle name="Currency 5 3 2 3 4 5" xfId="28751" xr:uid="{6F39FCAD-BF15-4684-A97B-E74FC29DE1AC}"/>
    <cellStyle name="Currency 5 3 2 3 4 6" xfId="37198" xr:uid="{2D3CD766-A52A-4B16-B9DE-17986E28B7C2}"/>
    <cellStyle name="Currency 5 3 2 3 4 7" xfId="11004" xr:uid="{F92380A0-FE4A-4D5E-82C3-E4E8FA22B6FC}"/>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2 2 2" xfId="27079" xr:uid="{3704DC6F-F818-4E37-A40C-49FCB5588FF0}"/>
    <cellStyle name="Currency 5 3 2 3 5 2 2 3" xfId="35526" xr:uid="{13284A92-FCBE-40E6-8C5C-DB896075C3E0}"/>
    <cellStyle name="Currency 5 3 2 3 5 2 2 4" xfId="43973" xr:uid="{8AE43329-0D2F-4249-A27F-64DC932C7EC2}"/>
    <cellStyle name="Currency 5 3 2 3 5 2 2 5" xfId="17779" xr:uid="{20CFB5FA-6A33-4CEB-A66B-17D098286C3E}"/>
    <cellStyle name="Currency 5 3 2 3 5 2 3" xfId="22862" xr:uid="{760A2571-4BDD-4573-89AF-D98FEE701988}"/>
    <cellStyle name="Currency 5 3 2 3 5 2 4" xfId="31309" xr:uid="{33342566-9FF3-497F-937E-4EE0130744C4}"/>
    <cellStyle name="Currency 5 3 2 3 5 2 5" xfId="39756" xr:uid="{5BCB2B13-BEBB-47AA-94F5-184D54AB6CAE}"/>
    <cellStyle name="Currency 5 3 2 3 5 2 6" xfId="13562" xr:uid="{38DD726D-C12D-4C53-90C3-3A05919FA5D4}"/>
    <cellStyle name="Currency 5 3 2 3 5 3" xfId="6308" xr:uid="{00000000-0005-0000-0000-0000C30C0000}"/>
    <cellStyle name="Currency 5 3 2 3 5 3 2" xfId="24934" xr:uid="{BADBDBBB-F01B-4D49-8060-1AE05A5C33E6}"/>
    <cellStyle name="Currency 5 3 2 3 5 3 3" xfId="33381" xr:uid="{593CC3A0-2A26-436D-8AD1-FD9C1C70DB6A}"/>
    <cellStyle name="Currency 5 3 2 3 5 3 4" xfId="41828" xr:uid="{48BFF318-DBA8-491A-AB67-DE7394936A4E}"/>
    <cellStyle name="Currency 5 3 2 3 5 3 5" xfId="15634" xr:uid="{C922EE04-732E-4CB0-B71D-018ECD427839}"/>
    <cellStyle name="Currency 5 3 2 3 5 4" xfId="20717" xr:uid="{BFC94DC5-006A-40CB-AE82-F80A64A49A6F}"/>
    <cellStyle name="Currency 5 3 2 3 5 5" xfId="29164" xr:uid="{F7941546-EAA8-432C-961B-5DB1123BC542}"/>
    <cellStyle name="Currency 5 3 2 3 5 6" xfId="37611" xr:uid="{797E0B92-06BB-48BC-8517-B44352EBFA06}"/>
    <cellStyle name="Currency 5 3 2 3 5 7" xfId="11417" xr:uid="{B4BCD2B6-E633-48D3-ACF7-3EB8D6C72FC5}"/>
    <cellStyle name="Currency 5 3 2 3 6" xfId="2437" xr:uid="{00000000-0005-0000-0000-0000C40C0000}"/>
    <cellStyle name="Currency 5 3 2 3 6 2" xfId="6721" xr:uid="{00000000-0005-0000-0000-0000C50C0000}"/>
    <cellStyle name="Currency 5 3 2 3 6 2 2" xfId="25347" xr:uid="{AA450D06-4183-45DA-BE79-2DBACD8C8B12}"/>
    <cellStyle name="Currency 5 3 2 3 6 2 3" xfId="33794" xr:uid="{BB2758FE-E324-4E6F-ABB9-16DCEE42EF81}"/>
    <cellStyle name="Currency 5 3 2 3 6 2 4" xfId="42241" xr:uid="{EC8C874A-4D22-4E9C-8358-F4DAD6C29615}"/>
    <cellStyle name="Currency 5 3 2 3 6 2 5" xfId="16047" xr:uid="{93DD1DAB-D1BD-4331-8744-9637BB4D1761}"/>
    <cellStyle name="Currency 5 3 2 3 6 3" xfId="21130" xr:uid="{A2642981-19F5-4683-9AD8-CBE4B3D0A365}"/>
    <cellStyle name="Currency 5 3 2 3 6 4" xfId="29577" xr:uid="{81CA9156-DDFC-416F-9BF1-373169974951}"/>
    <cellStyle name="Currency 5 3 2 3 6 5" xfId="38024" xr:uid="{B327313A-932C-478D-912A-879FD0A4CAAE}"/>
    <cellStyle name="Currency 5 3 2 3 6 6" xfId="11830" xr:uid="{D7FD30F7-C2A8-4F34-94A3-100AEBD617DC}"/>
    <cellStyle name="Currency 5 3 2 3 7" xfId="2734" xr:uid="{00000000-0005-0000-0000-0000C60C0000}"/>
    <cellStyle name="Currency 5 3 2 3 8" xfId="2815" xr:uid="{00000000-0005-0000-0000-0000C70C0000}"/>
    <cellStyle name="Currency 5 3 2 3 8 2" xfId="7038" xr:uid="{00000000-0005-0000-0000-0000C80C0000}"/>
    <cellStyle name="Currency 5 3 2 3 8 2 2" xfId="25664" xr:uid="{3BAD6486-D31A-4901-A4E4-4014B1E13351}"/>
    <cellStyle name="Currency 5 3 2 3 8 2 3" xfId="34111" xr:uid="{9627B806-9F15-40F4-B9F7-0E96103A808E}"/>
    <cellStyle name="Currency 5 3 2 3 8 2 4" xfId="42558" xr:uid="{F2C651B0-C05A-4651-B309-30C3E48A34CC}"/>
    <cellStyle name="Currency 5 3 2 3 8 2 5" xfId="16364" xr:uid="{358EC8F3-870B-4FEA-9173-0DCD92266EDA}"/>
    <cellStyle name="Currency 5 3 2 3 8 3" xfId="21447" xr:uid="{174A6E1E-F2F7-4E40-BE93-6C02719C13EC}"/>
    <cellStyle name="Currency 5 3 2 3 8 4" xfId="29894" xr:uid="{CB8F7445-64D2-407F-AEEE-FDAB18A180D1}"/>
    <cellStyle name="Currency 5 3 2 3 8 5" xfId="38341" xr:uid="{46FF08A8-B54F-4432-AB51-1DA9384FC619}"/>
    <cellStyle name="Currency 5 3 2 3 8 6" xfId="12147" xr:uid="{C2F2C2E4-C9A7-43F6-BE0D-D0937DDEA7D8}"/>
    <cellStyle name="Currency 5 3 2 3 9" xfId="4655" xr:uid="{00000000-0005-0000-0000-0000C90C0000}"/>
    <cellStyle name="Currency 5 3 2 3 9 2" xfId="23281" xr:uid="{8D69A465-030B-471B-B0F6-3CD7958108C6}"/>
    <cellStyle name="Currency 5 3 2 3 9 3" xfId="31728" xr:uid="{6BC722DF-1BCC-4D4E-B691-4036A731AEDC}"/>
    <cellStyle name="Currency 5 3 2 3 9 4" xfId="40175" xr:uid="{286A0485-D12C-4F2C-ACB1-F6B0C3E87002}"/>
    <cellStyle name="Currency 5 3 2 3 9 5" xfId="13981" xr:uid="{1CE412CB-1CCD-4853-A111-3F67F74DE53C}"/>
    <cellStyle name="Currency 5 3 2 4" xfId="736" xr:uid="{00000000-0005-0000-0000-0000CA0C0000}"/>
    <cellStyle name="Currency 5 3 2 4 2" xfId="2989" xr:uid="{00000000-0005-0000-0000-0000CB0C0000}"/>
    <cellStyle name="Currency 5 3 2 4 2 2" xfId="7211" xr:uid="{00000000-0005-0000-0000-0000CC0C0000}"/>
    <cellStyle name="Currency 5 3 2 4 2 2 2" xfId="25837" xr:uid="{1B39FA71-97A7-4DD2-929B-F0C09A191ABE}"/>
    <cellStyle name="Currency 5 3 2 4 2 2 3" xfId="34284" xr:uid="{A59C3407-BCD5-40E9-9009-5301F811C3DA}"/>
    <cellStyle name="Currency 5 3 2 4 2 2 4" xfId="42731" xr:uid="{C2E063C4-92AA-47B3-BA4D-0BBDE7D12CDD}"/>
    <cellStyle name="Currency 5 3 2 4 2 2 5" xfId="16537" xr:uid="{0E5D3352-BA68-458B-B32B-E1CA073A9293}"/>
    <cellStyle name="Currency 5 3 2 4 2 3" xfId="21620" xr:uid="{6D7DA390-ECD4-4DE3-961E-967387416DA0}"/>
    <cellStyle name="Currency 5 3 2 4 2 4" xfId="30067" xr:uid="{207DAB47-9ED8-4FBF-9003-D059F72A7F58}"/>
    <cellStyle name="Currency 5 3 2 4 2 5" xfId="38514" xr:uid="{6CB7C13C-37A2-42F4-A185-70DA0F9A7412}"/>
    <cellStyle name="Currency 5 3 2 4 2 6" xfId="12320" xr:uid="{67CF44ED-ECAD-4C20-ACA2-3A62C2F5D97B}"/>
    <cellStyle name="Currency 5 3 2 4 3" xfId="5066" xr:uid="{00000000-0005-0000-0000-0000CD0C0000}"/>
    <cellStyle name="Currency 5 3 2 4 3 2" xfId="23692" xr:uid="{A3A77AB6-5D54-40D3-A742-4CA3811F2000}"/>
    <cellStyle name="Currency 5 3 2 4 3 3" xfId="32139" xr:uid="{2ED2188E-C361-4A78-9325-995AAB68AADF}"/>
    <cellStyle name="Currency 5 3 2 4 3 4" xfId="40586" xr:uid="{E3297505-5B4B-4672-8DD0-2671FE9DD832}"/>
    <cellStyle name="Currency 5 3 2 4 3 5" xfId="14392" xr:uid="{A89E7A68-73E3-4E1C-A5C4-419879C226BE}"/>
    <cellStyle name="Currency 5 3 2 4 4" xfId="9235" xr:uid="{F2FD4117-6EF1-4663-964A-AB5B57E6F469}"/>
    <cellStyle name="Currency 5 3 2 4 4 2" xfId="18551" xr:uid="{B286E324-3171-40FD-82C3-E7199BE9C57A}"/>
    <cellStyle name="Currency 5 3 2 4 5" xfId="19475" xr:uid="{D6AD91D0-1146-4998-A23A-472932654537}"/>
    <cellStyle name="Currency 5 3 2 4 6" xfId="27922" xr:uid="{6216F08D-6BA5-4E51-A2A4-46515AE044CB}"/>
    <cellStyle name="Currency 5 3 2 4 7" xfId="36369" xr:uid="{DA015021-8F02-4D53-8C95-AA6BFAA894B1}"/>
    <cellStyle name="Currency 5 3 2 4 8" xfId="10175" xr:uid="{F1BF6891-C39A-4938-BDDF-348D67000D3A}"/>
    <cellStyle name="Currency 5 3 2 5" xfId="1171" xr:uid="{00000000-0005-0000-0000-0000CE0C0000}"/>
    <cellStyle name="Currency 5 3 2 5 2" xfId="3402" xr:uid="{00000000-0005-0000-0000-0000CF0C0000}"/>
    <cellStyle name="Currency 5 3 2 5 2 2" xfId="7624" xr:uid="{00000000-0005-0000-0000-0000D00C0000}"/>
    <cellStyle name="Currency 5 3 2 5 2 2 2" xfId="26250" xr:uid="{E1C0AB10-E358-4899-B4DD-B4E7F54A90D2}"/>
    <cellStyle name="Currency 5 3 2 5 2 2 3" xfId="34697" xr:uid="{F8317BDA-DC7E-4B67-8F48-B3129FE06148}"/>
    <cellStyle name="Currency 5 3 2 5 2 2 4" xfId="43144" xr:uid="{06077C74-715D-41D8-AE57-66B4C5BD7FC2}"/>
    <cellStyle name="Currency 5 3 2 5 2 2 5" xfId="16950" xr:uid="{FB70E407-9BD0-4637-8AF4-0503741ACDE6}"/>
    <cellStyle name="Currency 5 3 2 5 2 3" xfId="22033" xr:uid="{EECBA088-21A9-4392-89CA-39E2001AA1DF}"/>
    <cellStyle name="Currency 5 3 2 5 2 4" xfId="30480" xr:uid="{08F2A7BF-6509-4B4E-A612-A4A793EAE892}"/>
    <cellStyle name="Currency 5 3 2 5 2 5" xfId="38927" xr:uid="{DCC87FC0-9621-4287-8828-93C8E370C0AC}"/>
    <cellStyle name="Currency 5 3 2 5 2 6" xfId="12733" xr:uid="{1983237B-9024-47D4-8011-8C6881E41B30}"/>
    <cellStyle name="Currency 5 3 2 5 3" xfId="5479" xr:uid="{00000000-0005-0000-0000-0000D10C0000}"/>
    <cellStyle name="Currency 5 3 2 5 3 2" xfId="24105" xr:uid="{47BE7F8D-20E9-4206-93A2-F75E6F38E84B}"/>
    <cellStyle name="Currency 5 3 2 5 3 3" xfId="32552" xr:uid="{26739B26-26EC-4569-9DC7-C1E222292FDE}"/>
    <cellStyle name="Currency 5 3 2 5 3 4" xfId="40999" xr:uid="{6C9A82FE-5632-4E56-AB39-4159823D0023}"/>
    <cellStyle name="Currency 5 3 2 5 3 5" xfId="14805" xr:uid="{C8B0ED96-C297-40A3-8596-79D125C9DE96}"/>
    <cellStyle name="Currency 5 3 2 5 4" xfId="19888" xr:uid="{AD799FE3-6399-421C-9CD3-636AB6AE0295}"/>
    <cellStyle name="Currency 5 3 2 5 5" xfId="28335" xr:uid="{F18D08DD-C7FD-4520-89B7-C89AE0687F36}"/>
    <cellStyle name="Currency 5 3 2 5 6" xfId="36782" xr:uid="{0449A1EE-DC6D-4FB8-8AE5-2B3DEDFB8310}"/>
    <cellStyle name="Currency 5 3 2 5 7" xfId="10588" xr:uid="{469DA89E-71ED-450F-8DAE-6A463DA2F247}"/>
    <cellStyle name="Currency 5 3 2 6" xfId="1585" xr:uid="{00000000-0005-0000-0000-0000D20C0000}"/>
    <cellStyle name="Currency 5 3 2 6 2" xfId="3815" xr:uid="{00000000-0005-0000-0000-0000D30C0000}"/>
    <cellStyle name="Currency 5 3 2 6 2 2" xfId="8037" xr:uid="{00000000-0005-0000-0000-0000D40C0000}"/>
    <cellStyle name="Currency 5 3 2 6 2 2 2" xfId="26663" xr:uid="{BC4AD2FB-EEF2-4219-BD52-39EE27AA6BB0}"/>
    <cellStyle name="Currency 5 3 2 6 2 2 3" xfId="35110" xr:uid="{EA3FD66A-906E-415C-A936-96F7F0DBED97}"/>
    <cellStyle name="Currency 5 3 2 6 2 2 4" xfId="43557" xr:uid="{EA670C2E-63B4-4A55-9C61-B3AD2621DD3E}"/>
    <cellStyle name="Currency 5 3 2 6 2 2 5" xfId="17363" xr:uid="{4D4EFCC3-C7F9-4DDA-83AA-C03EA188C0A6}"/>
    <cellStyle name="Currency 5 3 2 6 2 3" xfId="22446" xr:uid="{07EEAA51-7DBE-4D0D-92FF-C534D96D0EFD}"/>
    <cellStyle name="Currency 5 3 2 6 2 4" xfId="30893" xr:uid="{127BA7BC-8D80-402A-AFCF-CA500BD3FE93}"/>
    <cellStyle name="Currency 5 3 2 6 2 5" xfId="39340" xr:uid="{CBBC28A6-3A42-4D94-AD05-B81308A7D9FE}"/>
    <cellStyle name="Currency 5 3 2 6 2 6" xfId="13146" xr:uid="{82EB9E24-C11B-4A0D-A6BE-FC69B0D82F1F}"/>
    <cellStyle name="Currency 5 3 2 6 3" xfId="5892" xr:uid="{00000000-0005-0000-0000-0000D50C0000}"/>
    <cellStyle name="Currency 5 3 2 6 3 2" xfId="24518" xr:uid="{39825558-0E33-4C1C-8101-BF0D039D20CC}"/>
    <cellStyle name="Currency 5 3 2 6 3 3" xfId="32965" xr:uid="{E0E5B2C5-3EB8-41CB-8A53-0C48AD36D81A}"/>
    <cellStyle name="Currency 5 3 2 6 3 4" xfId="41412" xr:uid="{AFAC4AF7-F8A0-4F0F-B0CA-00F47D4A924E}"/>
    <cellStyle name="Currency 5 3 2 6 3 5" xfId="15218" xr:uid="{4BCE2209-14A4-43CB-B7CF-D13EA28365CD}"/>
    <cellStyle name="Currency 5 3 2 6 4" xfId="20301" xr:uid="{E6FD3B37-835B-4A4E-8FF0-F90045C62133}"/>
    <cellStyle name="Currency 5 3 2 6 5" xfId="28748" xr:uid="{52423857-7C61-42D1-A4E1-B82A1ED4BEF9}"/>
    <cellStyle name="Currency 5 3 2 6 6" xfId="37195" xr:uid="{08E32E68-5573-4DF1-BE0E-0FD5DA885919}"/>
    <cellStyle name="Currency 5 3 2 6 7" xfId="11001" xr:uid="{240474A7-E200-41DF-AF42-F6E1BF5624B3}"/>
    <cellStyle name="Currency 5 3 2 7" xfId="1999" xr:uid="{00000000-0005-0000-0000-0000D60C0000}"/>
    <cellStyle name="Currency 5 3 2 7 2" xfId="4228" xr:uid="{00000000-0005-0000-0000-0000D70C0000}"/>
    <cellStyle name="Currency 5 3 2 7 2 2" xfId="8450" xr:uid="{00000000-0005-0000-0000-0000D80C0000}"/>
    <cellStyle name="Currency 5 3 2 7 2 2 2" xfId="27076" xr:uid="{0E78D1F1-106D-4111-8990-9F6FBBADADBE}"/>
    <cellStyle name="Currency 5 3 2 7 2 2 3" xfId="35523" xr:uid="{CFACC758-8FF6-420C-A882-E7631C25C5DD}"/>
    <cellStyle name="Currency 5 3 2 7 2 2 4" xfId="43970" xr:uid="{0EED36F3-CF02-471A-86D0-21811291A9AE}"/>
    <cellStyle name="Currency 5 3 2 7 2 2 5" xfId="17776" xr:uid="{04BE71E1-DE00-431D-9A37-13A55AAE40ED}"/>
    <cellStyle name="Currency 5 3 2 7 2 3" xfId="22859" xr:uid="{3D9DEDC4-ED2C-4B35-9955-9166C0864117}"/>
    <cellStyle name="Currency 5 3 2 7 2 4" xfId="31306" xr:uid="{F9CCB513-EC77-4BE6-95F9-D195A0655522}"/>
    <cellStyle name="Currency 5 3 2 7 2 5" xfId="39753" xr:uid="{E5ABC72E-6047-4D0E-80FE-5C65BD21559E}"/>
    <cellStyle name="Currency 5 3 2 7 2 6" xfId="13559" xr:uid="{1E634437-5B95-4538-B967-0DE316F943BB}"/>
    <cellStyle name="Currency 5 3 2 7 3" xfId="6305" xr:uid="{00000000-0005-0000-0000-0000D90C0000}"/>
    <cellStyle name="Currency 5 3 2 7 3 2" xfId="24931" xr:uid="{7DC12CD9-E8AF-4759-8D70-11E97926241E}"/>
    <cellStyle name="Currency 5 3 2 7 3 3" xfId="33378" xr:uid="{7F884F43-7F64-4ADB-B806-A47348D131CC}"/>
    <cellStyle name="Currency 5 3 2 7 3 4" xfId="41825" xr:uid="{533FED44-F14D-4B1A-ADE4-D4D708D7DC0D}"/>
    <cellStyle name="Currency 5 3 2 7 3 5" xfId="15631" xr:uid="{3D77E934-3022-417B-864B-496B41017D99}"/>
    <cellStyle name="Currency 5 3 2 7 4" xfId="20714" xr:uid="{1DD64F47-3969-4270-9F7B-802B389CDDF9}"/>
    <cellStyle name="Currency 5 3 2 7 5" xfId="29161" xr:uid="{80A9E575-2106-4BC6-9323-90C7D95E6555}"/>
    <cellStyle name="Currency 5 3 2 7 6" xfId="37608" xr:uid="{7B357F52-2304-4F92-9DBC-18CE46C75A50}"/>
    <cellStyle name="Currency 5 3 2 7 7" xfId="11414" xr:uid="{962666F4-651C-422E-A5DA-BF3A0AD9C011}"/>
    <cellStyle name="Currency 5 3 2 8" xfId="2434" xr:uid="{00000000-0005-0000-0000-0000DA0C0000}"/>
    <cellStyle name="Currency 5 3 2 8 2" xfId="6718" xr:uid="{00000000-0005-0000-0000-0000DB0C0000}"/>
    <cellStyle name="Currency 5 3 2 8 2 2" xfId="25344" xr:uid="{1B1F4837-E4F3-46B6-AFD7-97B4720F9C56}"/>
    <cellStyle name="Currency 5 3 2 8 2 3" xfId="33791" xr:uid="{946C45E0-4654-4CF2-8023-0B8057AAF8E4}"/>
    <cellStyle name="Currency 5 3 2 8 2 4" xfId="42238" xr:uid="{BE3F37F7-47F6-44BD-9C9A-9A763A7A971F}"/>
    <cellStyle name="Currency 5 3 2 8 2 5" xfId="16044" xr:uid="{35ADDB11-7DDE-4966-AA48-275423E66C79}"/>
    <cellStyle name="Currency 5 3 2 8 3" xfId="21127" xr:uid="{B089B5B3-A39A-4AC3-813F-74E29819CF02}"/>
    <cellStyle name="Currency 5 3 2 8 4" xfId="29574" xr:uid="{C31996AA-95E1-4C47-B47F-4C21F10BD26E}"/>
    <cellStyle name="Currency 5 3 2 8 5" xfId="38021" xr:uid="{0F7B17EC-7783-4A0B-8557-9A073521309D}"/>
    <cellStyle name="Currency 5 3 2 8 6" xfId="11827" xr:uid="{1858D5D5-8DC9-4567-B5B7-A86001BF940F}"/>
    <cellStyle name="Currency 5 3 2 9" xfId="2731" xr:uid="{00000000-0005-0000-0000-0000DC0C0000}"/>
    <cellStyle name="Currency 5 3 3" xfId="214" xr:uid="{00000000-0005-0000-0000-0000DD0C0000}"/>
    <cellStyle name="Currency 5 3 3 10" xfId="4656" xr:uid="{00000000-0005-0000-0000-0000DE0C0000}"/>
    <cellStyle name="Currency 5 3 3 10 2" xfId="23282" xr:uid="{000CBFCA-99A4-4663-88ED-3D7CD921972C}"/>
    <cellStyle name="Currency 5 3 3 10 3" xfId="31729" xr:uid="{695C9D0B-DD92-43C3-8253-6D739975506D}"/>
    <cellStyle name="Currency 5 3 3 10 4" xfId="40176" xr:uid="{651DE6ED-AFF9-434B-B7A3-4C165706830B}"/>
    <cellStyle name="Currency 5 3 3 10 5" xfId="13982" xr:uid="{E9CC0195-A8BB-43F4-A8AE-686FD6FBBB87}"/>
    <cellStyle name="Currency 5 3 3 11" xfId="8882" xr:uid="{A86B3ED4-B552-42F3-9E77-C6763F86EEE6}"/>
    <cellStyle name="Currency 5 3 3 11 2" xfId="18206" xr:uid="{F2D72DB2-638A-4FF0-B114-071C3B9F9BD3}"/>
    <cellStyle name="Currency 5 3 3 12" xfId="19065" xr:uid="{B9D1AACB-F59C-4F90-9A67-EB9B356BA4F8}"/>
    <cellStyle name="Currency 5 3 3 13" xfId="27512" xr:uid="{6F3A9ACF-108B-4619-868A-CAC0DF4370AA}"/>
    <cellStyle name="Currency 5 3 3 14" xfId="35959" xr:uid="{E45DA0DA-8552-41A8-BFB8-B3EA413E8EEF}"/>
    <cellStyle name="Currency 5 3 3 15" xfId="9765" xr:uid="{C9A2D43E-807D-4835-877E-FB08D28E48D3}"/>
    <cellStyle name="Currency 5 3 3 2" xfId="215" xr:uid="{00000000-0005-0000-0000-0000DF0C0000}"/>
    <cellStyle name="Currency 5 3 3 2 10" xfId="9089" xr:uid="{7CFB8DCC-02AE-4CC5-8E10-3D33399ECECE}"/>
    <cellStyle name="Currency 5 3 3 2 10 2" xfId="18413" xr:uid="{13B5F16F-1516-4C0F-9697-0C79534D68FF}"/>
    <cellStyle name="Currency 5 3 3 2 11" xfId="19066" xr:uid="{BF506786-3B09-4973-98F1-300D4218B6EF}"/>
    <cellStyle name="Currency 5 3 3 2 12" xfId="27513" xr:uid="{08A9E7F3-FE52-4A11-8F30-6C292BA3B490}"/>
    <cellStyle name="Currency 5 3 3 2 13" xfId="35960" xr:uid="{F6D4BE11-E95E-4CC1-80E6-054C6626B129}"/>
    <cellStyle name="Currency 5 3 3 2 14" xfId="9766" xr:uid="{12219019-C68C-4E12-9234-779A7E14B9AC}"/>
    <cellStyle name="Currency 5 3 3 2 2" xfId="741" xr:uid="{00000000-0005-0000-0000-0000E00C0000}"/>
    <cellStyle name="Currency 5 3 3 2 2 2" xfId="2994" xr:uid="{00000000-0005-0000-0000-0000E10C0000}"/>
    <cellStyle name="Currency 5 3 3 2 2 2 2" xfId="7216" xr:uid="{00000000-0005-0000-0000-0000E20C0000}"/>
    <cellStyle name="Currency 5 3 3 2 2 2 2 2" xfId="25842" xr:uid="{742BA744-EAB9-4AA4-A28E-2B3446897D02}"/>
    <cellStyle name="Currency 5 3 3 2 2 2 2 3" xfId="34289" xr:uid="{BC5514D1-1E09-4D1C-8EE7-FA938C2CF031}"/>
    <cellStyle name="Currency 5 3 3 2 2 2 2 4" xfId="42736" xr:uid="{4AFA7976-6173-487F-B39C-5561A4CC5D7C}"/>
    <cellStyle name="Currency 5 3 3 2 2 2 2 5" xfId="16542" xr:uid="{4A9F01E1-8A44-4547-9F0A-88D588E124E7}"/>
    <cellStyle name="Currency 5 3 3 2 2 2 3" xfId="21625" xr:uid="{10C2B6BE-DCEF-4FB1-B260-1C39E59713A5}"/>
    <cellStyle name="Currency 5 3 3 2 2 2 4" xfId="30072" xr:uid="{563A4F22-41EC-4373-BA1D-969E06F04B73}"/>
    <cellStyle name="Currency 5 3 3 2 2 2 5" xfId="38519" xr:uid="{F203091F-792E-4B1E-B462-B93C57E44D68}"/>
    <cellStyle name="Currency 5 3 3 2 2 2 6" xfId="12325" xr:uid="{9C98E956-5878-4FFE-9DC8-C0C88BCB5B5E}"/>
    <cellStyle name="Currency 5 3 3 2 2 3" xfId="5071" xr:uid="{00000000-0005-0000-0000-0000E30C0000}"/>
    <cellStyle name="Currency 5 3 3 2 2 3 2" xfId="23697" xr:uid="{2F25339C-8414-4FB3-AB90-C246445CE49F}"/>
    <cellStyle name="Currency 5 3 3 2 2 3 3" xfId="32144" xr:uid="{58183C40-26B6-496B-8BCF-23D41CEB0510}"/>
    <cellStyle name="Currency 5 3 3 2 2 3 4" xfId="40591" xr:uid="{61A50557-FB06-4417-B7BA-80D753DFE577}"/>
    <cellStyle name="Currency 5 3 3 2 2 3 5" xfId="14397" xr:uid="{B74ED320-32B6-4E35-9352-2A8E5565167A}"/>
    <cellStyle name="Currency 5 3 3 2 2 4" xfId="9514" xr:uid="{9A504F43-6423-4200-B7AF-F17B65B2005C}"/>
    <cellStyle name="Currency 5 3 3 2 2 4 2" xfId="18830" xr:uid="{30CB3247-55BF-4CCC-BFC5-2BDB439948C8}"/>
    <cellStyle name="Currency 5 3 3 2 2 5" xfId="19480" xr:uid="{98E0F690-5D14-4923-9CA9-3034FD6172B6}"/>
    <cellStyle name="Currency 5 3 3 2 2 6" xfId="27927" xr:uid="{21E7DA37-E78A-4743-86EF-63B62E5BA9EA}"/>
    <cellStyle name="Currency 5 3 3 2 2 7" xfId="36374" xr:uid="{26632289-FA08-400E-8CF7-E58AE1ED55B7}"/>
    <cellStyle name="Currency 5 3 3 2 2 8" xfId="10180" xr:uid="{B19ADF79-1428-4EC9-B156-96B0602AFAC1}"/>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2 2 2" xfId="26255" xr:uid="{537D6995-835E-445E-98E0-9A7DCAA35F5B}"/>
    <cellStyle name="Currency 5 3 3 2 3 2 2 3" xfId="34702" xr:uid="{EA4AFE68-3EB0-4048-B2AA-4E3A6F631C18}"/>
    <cellStyle name="Currency 5 3 3 2 3 2 2 4" xfId="43149" xr:uid="{ECA77EBD-D356-4CA5-BEA0-3FAF5C1F3E66}"/>
    <cellStyle name="Currency 5 3 3 2 3 2 2 5" xfId="16955" xr:uid="{B8BC0782-478F-43D4-B935-0DDB6A7E2A9C}"/>
    <cellStyle name="Currency 5 3 3 2 3 2 3" xfId="22038" xr:uid="{E1A5D717-4C74-49D2-B46C-BD1D5259C196}"/>
    <cellStyle name="Currency 5 3 3 2 3 2 4" xfId="30485" xr:uid="{12BFDBB8-343C-4738-8369-A45685BAEAE9}"/>
    <cellStyle name="Currency 5 3 3 2 3 2 5" xfId="38932" xr:uid="{38EB7AB5-2D9A-4367-AC78-C6CA7B083F18}"/>
    <cellStyle name="Currency 5 3 3 2 3 2 6" xfId="12738" xr:uid="{A102A9EC-DB16-480B-BC1D-18878CE94477}"/>
    <cellStyle name="Currency 5 3 3 2 3 3" xfId="5484" xr:uid="{00000000-0005-0000-0000-0000E70C0000}"/>
    <cellStyle name="Currency 5 3 3 2 3 3 2" xfId="24110" xr:uid="{35436911-A2B9-4156-A6EF-5279EAFC0D66}"/>
    <cellStyle name="Currency 5 3 3 2 3 3 3" xfId="32557" xr:uid="{4C8EF064-884E-4580-B8F9-BE814959E253}"/>
    <cellStyle name="Currency 5 3 3 2 3 3 4" xfId="41004" xr:uid="{FCE108E3-FC1B-46A2-BD90-C098D83A5FDE}"/>
    <cellStyle name="Currency 5 3 3 2 3 3 5" xfId="14810" xr:uid="{DD93D321-0502-4DB1-88F7-51F589731192}"/>
    <cellStyle name="Currency 5 3 3 2 3 4" xfId="19893" xr:uid="{7C2B99F4-CCEE-4A37-AEDC-266D6A05DDF8}"/>
    <cellStyle name="Currency 5 3 3 2 3 5" xfId="28340" xr:uid="{8634C973-1DDB-4B83-9A47-906B3C36DC03}"/>
    <cellStyle name="Currency 5 3 3 2 3 6" xfId="36787" xr:uid="{C48A35E3-025D-4E50-8CF0-40764E7073D8}"/>
    <cellStyle name="Currency 5 3 3 2 3 7" xfId="10593" xr:uid="{F9D5A8EC-7D98-4AA6-A276-D712D3E58761}"/>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2 2 2" xfId="26668" xr:uid="{2E0B83E4-DE50-4278-BF09-64A8559B5F5A}"/>
    <cellStyle name="Currency 5 3 3 2 4 2 2 3" xfId="35115" xr:uid="{74ED3058-C686-4D08-B9CE-8AD5C5BEECD8}"/>
    <cellStyle name="Currency 5 3 3 2 4 2 2 4" xfId="43562" xr:uid="{57680665-4E3F-40D2-89BF-3A000C54CD71}"/>
    <cellStyle name="Currency 5 3 3 2 4 2 2 5" xfId="17368" xr:uid="{A9C1622E-6A2F-4899-9D29-5485BD70B87A}"/>
    <cellStyle name="Currency 5 3 3 2 4 2 3" xfId="22451" xr:uid="{82EBF1C8-3782-4D27-AA28-F4A71B50725A}"/>
    <cellStyle name="Currency 5 3 3 2 4 2 4" xfId="30898" xr:uid="{E4F8BB4A-FBA8-43AB-A394-3E684C3F2711}"/>
    <cellStyle name="Currency 5 3 3 2 4 2 5" xfId="39345" xr:uid="{C10A3EFC-F231-440F-B1E5-B73A0E59DE01}"/>
    <cellStyle name="Currency 5 3 3 2 4 2 6" xfId="13151" xr:uid="{6946D480-0158-4942-8732-4E22774EB9E3}"/>
    <cellStyle name="Currency 5 3 3 2 4 3" xfId="5897" xr:uid="{00000000-0005-0000-0000-0000EB0C0000}"/>
    <cellStyle name="Currency 5 3 3 2 4 3 2" xfId="24523" xr:uid="{09107934-CB7A-40AC-A831-C43917AF052D}"/>
    <cellStyle name="Currency 5 3 3 2 4 3 3" xfId="32970" xr:uid="{C5BC602D-645B-4787-9136-A59165F8E3C3}"/>
    <cellStyle name="Currency 5 3 3 2 4 3 4" xfId="41417" xr:uid="{6B567068-E044-4E2B-9FA9-1C0992E45622}"/>
    <cellStyle name="Currency 5 3 3 2 4 3 5" xfId="15223" xr:uid="{8CDB5BE0-2317-430A-870C-0A24E612F140}"/>
    <cellStyle name="Currency 5 3 3 2 4 4" xfId="20306" xr:uid="{2E8E20C7-A9AE-4D38-A939-A6B0A2B3C07A}"/>
    <cellStyle name="Currency 5 3 3 2 4 5" xfId="28753" xr:uid="{1626ED1F-AAD2-4AEC-81CC-CCB7C3CBE4E4}"/>
    <cellStyle name="Currency 5 3 3 2 4 6" xfId="37200" xr:uid="{80D86EC9-0320-4B3A-945B-3F00DADA526F}"/>
    <cellStyle name="Currency 5 3 3 2 4 7" xfId="11006" xr:uid="{1088ABFC-9813-48A5-B833-252631334D6D}"/>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2 2 2" xfId="27081" xr:uid="{1D947D93-B4E6-41BA-8571-96BEBA1F5D55}"/>
    <cellStyle name="Currency 5 3 3 2 5 2 2 3" xfId="35528" xr:uid="{F0ADFFF5-D1B8-43D4-B11C-20AF9FB87FF8}"/>
    <cellStyle name="Currency 5 3 3 2 5 2 2 4" xfId="43975" xr:uid="{675E1AD8-C0E1-43A6-B540-507C0235AEBC}"/>
    <cellStyle name="Currency 5 3 3 2 5 2 2 5" xfId="17781" xr:uid="{539B9E72-CF2A-49CC-94DB-45FABF4AC6D9}"/>
    <cellStyle name="Currency 5 3 3 2 5 2 3" xfId="22864" xr:uid="{75034FAD-735A-4384-9A6D-AA02835120C9}"/>
    <cellStyle name="Currency 5 3 3 2 5 2 4" xfId="31311" xr:uid="{5C458B0B-864F-40E0-941B-7BCD2062C29C}"/>
    <cellStyle name="Currency 5 3 3 2 5 2 5" xfId="39758" xr:uid="{47005037-D25C-4266-BC75-3190FD7C7535}"/>
    <cellStyle name="Currency 5 3 3 2 5 2 6" xfId="13564" xr:uid="{F682C383-1F7D-4F80-B7A3-575E8E89F04A}"/>
    <cellStyle name="Currency 5 3 3 2 5 3" xfId="6310" xr:uid="{00000000-0005-0000-0000-0000EF0C0000}"/>
    <cellStyle name="Currency 5 3 3 2 5 3 2" xfId="24936" xr:uid="{1D583ED4-7498-4025-9BCA-7BB799157DAA}"/>
    <cellStyle name="Currency 5 3 3 2 5 3 3" xfId="33383" xr:uid="{F618F945-84B4-4BBB-8DD9-D9C9E49B796D}"/>
    <cellStyle name="Currency 5 3 3 2 5 3 4" xfId="41830" xr:uid="{5434141B-3CFB-4603-8BB7-4C25D5A25994}"/>
    <cellStyle name="Currency 5 3 3 2 5 3 5" xfId="15636" xr:uid="{C5000D21-DF45-4587-A23A-2E324ED43FEF}"/>
    <cellStyle name="Currency 5 3 3 2 5 4" xfId="20719" xr:uid="{3D5AD0DF-D424-4D0F-881D-7611A9B9205D}"/>
    <cellStyle name="Currency 5 3 3 2 5 5" xfId="29166" xr:uid="{C6761F6B-74D5-468E-AB4B-4F05B378D639}"/>
    <cellStyle name="Currency 5 3 3 2 5 6" xfId="37613" xr:uid="{A8F61375-5176-40B3-BD11-0D9E3DEFD14B}"/>
    <cellStyle name="Currency 5 3 3 2 5 7" xfId="11419" xr:uid="{0818C230-0E15-4167-AC16-8C8C8DEE3A8A}"/>
    <cellStyle name="Currency 5 3 3 2 6" xfId="2439" xr:uid="{00000000-0005-0000-0000-0000F00C0000}"/>
    <cellStyle name="Currency 5 3 3 2 6 2" xfId="6723" xr:uid="{00000000-0005-0000-0000-0000F10C0000}"/>
    <cellStyle name="Currency 5 3 3 2 6 2 2" xfId="25349" xr:uid="{6429D450-A8F4-4136-897D-02E6D9E14032}"/>
    <cellStyle name="Currency 5 3 3 2 6 2 3" xfId="33796" xr:uid="{68F6D418-45C2-44C1-BE4F-DF0E28A4EA2B}"/>
    <cellStyle name="Currency 5 3 3 2 6 2 4" xfId="42243" xr:uid="{DF222C3D-C400-4FAC-8CF8-FCF7B7D119F0}"/>
    <cellStyle name="Currency 5 3 3 2 6 2 5" xfId="16049" xr:uid="{D40D2FA1-C53E-478C-A408-11A9E75031EC}"/>
    <cellStyle name="Currency 5 3 3 2 6 3" xfId="21132" xr:uid="{5719F207-9E7E-447A-9506-97EA98740083}"/>
    <cellStyle name="Currency 5 3 3 2 6 4" xfId="29579" xr:uid="{67873043-BFCD-48E3-87D3-95617806453F}"/>
    <cellStyle name="Currency 5 3 3 2 6 5" xfId="38026" xr:uid="{52B230BA-F30D-43D0-B50F-CF8346F2A7DC}"/>
    <cellStyle name="Currency 5 3 3 2 6 6" xfId="11832" xr:uid="{4B2E4048-6D6E-4CC7-96B0-96D41690FB44}"/>
    <cellStyle name="Currency 5 3 3 2 7" xfId="2736" xr:uid="{00000000-0005-0000-0000-0000F20C0000}"/>
    <cellStyle name="Currency 5 3 3 2 8" xfId="2817" xr:uid="{00000000-0005-0000-0000-0000F30C0000}"/>
    <cellStyle name="Currency 5 3 3 2 8 2" xfId="7040" xr:uid="{00000000-0005-0000-0000-0000F40C0000}"/>
    <cellStyle name="Currency 5 3 3 2 8 2 2" xfId="25666" xr:uid="{935F997C-C3CF-47A8-9A21-543C50B9F081}"/>
    <cellStyle name="Currency 5 3 3 2 8 2 3" xfId="34113" xr:uid="{F227D2A5-1A1E-40FD-AFC3-3AAD3FDA1AF7}"/>
    <cellStyle name="Currency 5 3 3 2 8 2 4" xfId="42560" xr:uid="{4F9681E1-86C2-48D7-BC84-2BDF6F64BFB2}"/>
    <cellStyle name="Currency 5 3 3 2 8 2 5" xfId="16366" xr:uid="{6B54881A-1ADC-456B-AB2F-04CAD2347510}"/>
    <cellStyle name="Currency 5 3 3 2 8 3" xfId="21449" xr:uid="{ECB276A0-45B6-4C81-BD0A-BA06E235213D}"/>
    <cellStyle name="Currency 5 3 3 2 8 4" xfId="29896" xr:uid="{8B6A90F8-0BCF-4546-BF95-33D97896363F}"/>
    <cellStyle name="Currency 5 3 3 2 8 5" xfId="38343" xr:uid="{AB66FE6F-0D75-4E1F-9CEF-82BDF5AC0E51}"/>
    <cellStyle name="Currency 5 3 3 2 8 6" xfId="12149" xr:uid="{9760AF67-A489-4C31-B6E6-CD0B258C789F}"/>
    <cellStyle name="Currency 5 3 3 2 9" xfId="4657" xr:uid="{00000000-0005-0000-0000-0000F50C0000}"/>
    <cellStyle name="Currency 5 3 3 2 9 2" xfId="23283" xr:uid="{C142080E-3CB3-448A-8B5C-676C1D05BA8C}"/>
    <cellStyle name="Currency 5 3 3 2 9 3" xfId="31730" xr:uid="{D0F28D76-E804-4B4F-B487-E30E127E91B3}"/>
    <cellStyle name="Currency 5 3 3 2 9 4" xfId="40177" xr:uid="{29597F20-A90A-46B5-AEDF-A28A72357306}"/>
    <cellStyle name="Currency 5 3 3 2 9 5" xfId="13983" xr:uid="{BFF9C0CE-FB94-431A-AD33-CA7A602180D9}"/>
    <cellStyle name="Currency 5 3 3 3" xfId="740" xr:uid="{00000000-0005-0000-0000-0000F60C0000}"/>
    <cellStyle name="Currency 5 3 3 3 2" xfId="2993" xr:uid="{00000000-0005-0000-0000-0000F70C0000}"/>
    <cellStyle name="Currency 5 3 3 3 2 2" xfId="7215" xr:uid="{00000000-0005-0000-0000-0000F80C0000}"/>
    <cellStyle name="Currency 5 3 3 3 2 2 2" xfId="25841" xr:uid="{ACF7FBD4-5360-4C19-A421-68047161726A}"/>
    <cellStyle name="Currency 5 3 3 3 2 2 3" xfId="34288" xr:uid="{C041484F-FE45-4B69-9F14-28921E290C30}"/>
    <cellStyle name="Currency 5 3 3 3 2 2 4" xfId="42735" xr:uid="{CE82C7BE-8180-4896-9AA9-557102F73DE6}"/>
    <cellStyle name="Currency 5 3 3 3 2 2 5" xfId="16541" xr:uid="{D18AE357-E422-4DD3-8001-4470A3E6FB40}"/>
    <cellStyle name="Currency 5 3 3 3 2 3" xfId="21624" xr:uid="{90CD6D51-F113-4C73-9B33-8922D14900C9}"/>
    <cellStyle name="Currency 5 3 3 3 2 4" xfId="30071" xr:uid="{EB729EE0-E07E-4D6B-858A-8509E9D15249}"/>
    <cellStyle name="Currency 5 3 3 3 2 5" xfId="38518" xr:uid="{88489953-D886-4FEE-BC96-AD9FF02ED02D}"/>
    <cellStyle name="Currency 5 3 3 3 2 6" xfId="12324" xr:uid="{82DFE28D-A517-4E35-AE78-4669FC884F86}"/>
    <cellStyle name="Currency 5 3 3 3 3" xfId="5070" xr:uid="{00000000-0005-0000-0000-0000F90C0000}"/>
    <cellStyle name="Currency 5 3 3 3 3 2" xfId="23696" xr:uid="{16A6FD57-2704-48EF-801B-A5441F6309DF}"/>
    <cellStyle name="Currency 5 3 3 3 3 3" xfId="32143" xr:uid="{ED956CAF-7B57-4E12-B93F-224855824C6A}"/>
    <cellStyle name="Currency 5 3 3 3 3 4" xfId="40590" xr:uid="{2EC5E6E4-B6FC-4AEB-877A-1EC2ECF29F0D}"/>
    <cellStyle name="Currency 5 3 3 3 3 5" xfId="14396" xr:uid="{5E05C4BB-FAC3-4087-9AD4-8E7AD3E63D82}"/>
    <cellStyle name="Currency 5 3 3 3 4" xfId="9307" xr:uid="{3F0512A0-B779-46E4-A963-62E327C6AC5F}"/>
    <cellStyle name="Currency 5 3 3 3 4 2" xfId="18623" xr:uid="{C7CEE34F-664E-4747-91FE-C77670CA9589}"/>
    <cellStyle name="Currency 5 3 3 3 5" xfId="19479" xr:uid="{88058DF3-2C8D-4F1E-BBD1-39AB19B9D5A9}"/>
    <cellStyle name="Currency 5 3 3 3 6" xfId="27926" xr:uid="{7ADD0667-2CDF-42E9-9398-6190E696DA08}"/>
    <cellStyle name="Currency 5 3 3 3 7" xfId="36373" xr:uid="{B40CC1B3-7F6A-4F5D-B6FF-5D3C0069C0D8}"/>
    <cellStyle name="Currency 5 3 3 3 8" xfId="10179" xr:uid="{EC42F110-69D5-437D-80A2-7E87F1D5831B}"/>
    <cellStyle name="Currency 5 3 3 4" xfId="1175" xr:uid="{00000000-0005-0000-0000-0000FA0C0000}"/>
    <cellStyle name="Currency 5 3 3 4 2" xfId="3406" xr:uid="{00000000-0005-0000-0000-0000FB0C0000}"/>
    <cellStyle name="Currency 5 3 3 4 2 2" xfId="7628" xr:uid="{00000000-0005-0000-0000-0000FC0C0000}"/>
    <cellStyle name="Currency 5 3 3 4 2 2 2" xfId="26254" xr:uid="{F75B7234-51F0-4504-9B17-2656F9597BFC}"/>
    <cellStyle name="Currency 5 3 3 4 2 2 3" xfId="34701" xr:uid="{6DDC0A9C-A74D-4CB9-97CF-D62C5E71FBF6}"/>
    <cellStyle name="Currency 5 3 3 4 2 2 4" xfId="43148" xr:uid="{75D1E24A-8667-412A-92EE-10E8D94C2555}"/>
    <cellStyle name="Currency 5 3 3 4 2 2 5" xfId="16954" xr:uid="{120CD5FB-A27F-4D5B-A5F1-2FF5592D0DF4}"/>
    <cellStyle name="Currency 5 3 3 4 2 3" xfId="22037" xr:uid="{2C34BB1D-1523-43B4-AF38-6F6FC014C728}"/>
    <cellStyle name="Currency 5 3 3 4 2 4" xfId="30484" xr:uid="{A315CB7E-9964-459E-971B-463B928B1715}"/>
    <cellStyle name="Currency 5 3 3 4 2 5" xfId="38931" xr:uid="{513DF6E6-1038-4DFE-A6A4-0ADB5F0D289C}"/>
    <cellStyle name="Currency 5 3 3 4 2 6" xfId="12737" xr:uid="{D2C68464-AE83-4641-A786-3CD6A482230C}"/>
    <cellStyle name="Currency 5 3 3 4 3" xfId="5483" xr:uid="{00000000-0005-0000-0000-0000FD0C0000}"/>
    <cellStyle name="Currency 5 3 3 4 3 2" xfId="24109" xr:uid="{BA00A274-5DC8-4AB9-8441-2CC8ED233F43}"/>
    <cellStyle name="Currency 5 3 3 4 3 3" xfId="32556" xr:uid="{DC936CFB-44DA-4277-8292-C5CEDE24ADB2}"/>
    <cellStyle name="Currency 5 3 3 4 3 4" xfId="41003" xr:uid="{99ACD541-3544-4A23-9A42-E80793B15866}"/>
    <cellStyle name="Currency 5 3 3 4 3 5" xfId="14809" xr:uid="{2BE0834A-CD9B-477D-BA6F-7DDEEA4B72A5}"/>
    <cellStyle name="Currency 5 3 3 4 4" xfId="19892" xr:uid="{63C8F28D-4DF2-4E33-A0AB-0BEA33B74DE0}"/>
    <cellStyle name="Currency 5 3 3 4 5" xfId="28339" xr:uid="{5ED9E874-923C-4B64-9FF9-17682184D5D6}"/>
    <cellStyle name="Currency 5 3 3 4 6" xfId="36786" xr:uid="{28880F32-1B2F-49B1-BA52-FA5CED3FD791}"/>
    <cellStyle name="Currency 5 3 3 4 7" xfId="10592" xr:uid="{63F9FB53-0FE9-46AA-B0AB-42640B410E46}"/>
    <cellStyle name="Currency 5 3 3 5" xfId="1589" xr:uid="{00000000-0005-0000-0000-0000FE0C0000}"/>
    <cellStyle name="Currency 5 3 3 5 2" xfId="3819" xr:uid="{00000000-0005-0000-0000-0000FF0C0000}"/>
    <cellStyle name="Currency 5 3 3 5 2 2" xfId="8041" xr:uid="{00000000-0005-0000-0000-0000000D0000}"/>
    <cellStyle name="Currency 5 3 3 5 2 2 2" xfId="26667" xr:uid="{F1E1574B-BED2-4315-BBD3-720749827016}"/>
    <cellStyle name="Currency 5 3 3 5 2 2 3" xfId="35114" xr:uid="{D8A36460-E9D6-4AAE-94F4-7C9C8E6EE830}"/>
    <cellStyle name="Currency 5 3 3 5 2 2 4" xfId="43561" xr:uid="{E560282F-FE63-4DE9-9EE5-6A0971001570}"/>
    <cellStyle name="Currency 5 3 3 5 2 2 5" xfId="17367" xr:uid="{18FCAAAC-4F13-4D09-AA57-ECC7F39730BF}"/>
    <cellStyle name="Currency 5 3 3 5 2 3" xfId="22450" xr:uid="{993B18AD-F3E4-4A74-8DB0-00CBA0498826}"/>
    <cellStyle name="Currency 5 3 3 5 2 4" xfId="30897" xr:uid="{DB581487-AFFF-40A7-930A-7A446E559920}"/>
    <cellStyle name="Currency 5 3 3 5 2 5" xfId="39344" xr:uid="{CC894E84-6DF8-4FB7-B7A1-0C4AA7371362}"/>
    <cellStyle name="Currency 5 3 3 5 2 6" xfId="13150" xr:uid="{8F54DED3-BDCC-427B-A69C-8C53BDCD273F}"/>
    <cellStyle name="Currency 5 3 3 5 3" xfId="5896" xr:uid="{00000000-0005-0000-0000-0000010D0000}"/>
    <cellStyle name="Currency 5 3 3 5 3 2" xfId="24522" xr:uid="{F9669BCA-08D2-4A1D-A551-7E8BBC19C934}"/>
    <cellStyle name="Currency 5 3 3 5 3 3" xfId="32969" xr:uid="{33D9313A-C4E7-4AAD-84F0-DC24A45F57C2}"/>
    <cellStyle name="Currency 5 3 3 5 3 4" xfId="41416" xr:uid="{503DD333-AE64-45E0-AA42-C518C1FE351D}"/>
    <cellStyle name="Currency 5 3 3 5 3 5" xfId="15222" xr:uid="{330B10F8-6352-4A7F-AC9F-5AC4AD4C1A0D}"/>
    <cellStyle name="Currency 5 3 3 5 4" xfId="20305" xr:uid="{8558489F-7968-48AF-B316-BF507B9AA43E}"/>
    <cellStyle name="Currency 5 3 3 5 5" xfId="28752" xr:uid="{E2C7D4D6-E62D-474F-B166-B7B008659EB1}"/>
    <cellStyle name="Currency 5 3 3 5 6" xfId="37199" xr:uid="{3C240318-D8D0-4539-9CBC-464EA5833C2A}"/>
    <cellStyle name="Currency 5 3 3 5 7" xfId="11005" xr:uid="{56062B19-BED9-40D0-8050-A13FCF80A49F}"/>
    <cellStyle name="Currency 5 3 3 6" xfId="2003" xr:uid="{00000000-0005-0000-0000-0000020D0000}"/>
    <cellStyle name="Currency 5 3 3 6 2" xfId="4232" xr:uid="{00000000-0005-0000-0000-0000030D0000}"/>
    <cellStyle name="Currency 5 3 3 6 2 2" xfId="8454" xr:uid="{00000000-0005-0000-0000-0000040D0000}"/>
    <cellStyle name="Currency 5 3 3 6 2 2 2" xfId="27080" xr:uid="{DF8E7E49-CC4F-415A-AF57-2979C1C3192A}"/>
    <cellStyle name="Currency 5 3 3 6 2 2 3" xfId="35527" xr:uid="{9181FA65-802B-4DDB-BAA9-CBD78C8A008F}"/>
    <cellStyle name="Currency 5 3 3 6 2 2 4" xfId="43974" xr:uid="{F1DB3BD1-0A5F-454E-8EE0-0F61D66348D0}"/>
    <cellStyle name="Currency 5 3 3 6 2 2 5" xfId="17780" xr:uid="{09135FEC-8BC4-4C01-BB25-4C5278051030}"/>
    <cellStyle name="Currency 5 3 3 6 2 3" xfId="22863" xr:uid="{37925032-AD8E-4B5F-B407-D7C9A0342CE7}"/>
    <cellStyle name="Currency 5 3 3 6 2 4" xfId="31310" xr:uid="{5E43BFA2-4CE7-4618-ACB1-8F9AB2E15AF9}"/>
    <cellStyle name="Currency 5 3 3 6 2 5" xfId="39757" xr:uid="{155ABDDB-F11B-4F21-AD39-F9505CF462D2}"/>
    <cellStyle name="Currency 5 3 3 6 2 6" xfId="13563" xr:uid="{F51B043F-A6AF-4F88-89CB-C307EB13ADAB}"/>
    <cellStyle name="Currency 5 3 3 6 3" xfId="6309" xr:uid="{00000000-0005-0000-0000-0000050D0000}"/>
    <cellStyle name="Currency 5 3 3 6 3 2" xfId="24935" xr:uid="{58CBFA6A-765E-498E-A8BF-074FEF65ADD1}"/>
    <cellStyle name="Currency 5 3 3 6 3 3" xfId="33382" xr:uid="{536C713E-89DE-40B7-87D6-40A93E6944EF}"/>
    <cellStyle name="Currency 5 3 3 6 3 4" xfId="41829" xr:uid="{D2D2D7FF-E7F7-485E-9129-5A150BCA727D}"/>
    <cellStyle name="Currency 5 3 3 6 3 5" xfId="15635" xr:uid="{2EF488EB-6A12-42E1-9D0B-9BD4825BD538}"/>
    <cellStyle name="Currency 5 3 3 6 4" xfId="20718" xr:uid="{C68CB8A8-D522-4F5B-B29C-D1FDA259136F}"/>
    <cellStyle name="Currency 5 3 3 6 5" xfId="29165" xr:uid="{1F726475-19C8-47E1-B75E-AD7B52C9F5E3}"/>
    <cellStyle name="Currency 5 3 3 6 6" xfId="37612" xr:uid="{BF1040F4-BE80-47B4-AA37-6EAC7090355B}"/>
    <cellStyle name="Currency 5 3 3 6 7" xfId="11418" xr:uid="{1D826EDE-4FBA-48AB-89C6-C33640FD9541}"/>
    <cellStyle name="Currency 5 3 3 7" xfId="2438" xr:uid="{00000000-0005-0000-0000-0000060D0000}"/>
    <cellStyle name="Currency 5 3 3 7 2" xfId="6722" xr:uid="{00000000-0005-0000-0000-0000070D0000}"/>
    <cellStyle name="Currency 5 3 3 7 2 2" xfId="25348" xr:uid="{8B61F331-3C6C-44C7-9894-2A1CE79B9833}"/>
    <cellStyle name="Currency 5 3 3 7 2 3" xfId="33795" xr:uid="{B59637E4-C79C-4464-8258-759E95689FED}"/>
    <cellStyle name="Currency 5 3 3 7 2 4" xfId="42242" xr:uid="{9D2751A0-F21B-4B3D-8F74-D591F7E08F4B}"/>
    <cellStyle name="Currency 5 3 3 7 2 5" xfId="16048" xr:uid="{77E3EA1D-163E-4E84-B8C9-20EFBBBFE618}"/>
    <cellStyle name="Currency 5 3 3 7 3" xfId="21131" xr:uid="{B196587A-3050-4CB2-A514-4707E462A058}"/>
    <cellStyle name="Currency 5 3 3 7 4" xfId="29578" xr:uid="{36EF184F-C9A3-4555-ACF7-DF950C238727}"/>
    <cellStyle name="Currency 5 3 3 7 5" xfId="38025" xr:uid="{6A4F6ACE-F468-4D3E-8091-3F2F5AA45F42}"/>
    <cellStyle name="Currency 5 3 3 7 6" xfId="11831" xr:uid="{82D715A2-C2B6-4702-B43B-E507FAA63EC5}"/>
    <cellStyle name="Currency 5 3 3 8" xfId="2735" xr:uid="{00000000-0005-0000-0000-0000080D0000}"/>
    <cellStyle name="Currency 5 3 3 9" xfId="2816" xr:uid="{00000000-0005-0000-0000-0000090D0000}"/>
    <cellStyle name="Currency 5 3 3 9 2" xfId="7039" xr:uid="{00000000-0005-0000-0000-00000A0D0000}"/>
    <cellStyle name="Currency 5 3 3 9 2 2" xfId="25665" xr:uid="{9E031A62-3FAE-4694-B5D1-E77EE399B2E1}"/>
    <cellStyle name="Currency 5 3 3 9 2 3" xfId="34112" xr:uid="{14B0AD85-6E59-4E2C-B03F-9CF03FAD7E11}"/>
    <cellStyle name="Currency 5 3 3 9 2 4" xfId="42559" xr:uid="{04A03134-15C7-4C54-8330-EB705AD4D147}"/>
    <cellStyle name="Currency 5 3 3 9 2 5" xfId="16365" xr:uid="{E7160373-0D1F-43E6-934E-2D48AEB4F8C7}"/>
    <cellStyle name="Currency 5 3 3 9 3" xfId="21448" xr:uid="{7B73B3FE-92B9-4C49-8200-DB4DCA262F6F}"/>
    <cellStyle name="Currency 5 3 3 9 4" xfId="29895" xr:uid="{EF4CEE33-6D85-479F-B69A-B6B3D342DD04}"/>
    <cellStyle name="Currency 5 3 3 9 5" xfId="38342" xr:uid="{D96CA320-9879-4660-8B21-9000B04CDA0C}"/>
    <cellStyle name="Currency 5 3 3 9 6" xfId="12148" xr:uid="{6064BD64-055A-4782-94B4-E9566BAC7C30}"/>
    <cellStyle name="Currency 5 3 4" xfId="216" xr:uid="{00000000-0005-0000-0000-00000B0D0000}"/>
    <cellStyle name="Currency 5 3 4 10" xfId="8986" xr:uid="{4F6CFA4A-F10A-4043-AD92-C0A3F7F06459}"/>
    <cellStyle name="Currency 5 3 4 10 2" xfId="18310" xr:uid="{C2D6C7DF-2F4A-4703-94D1-979DF3004371}"/>
    <cellStyle name="Currency 5 3 4 11" xfId="19067" xr:uid="{05DB82E6-8899-4C9D-9F77-2C2B6021F5F4}"/>
    <cellStyle name="Currency 5 3 4 12" xfId="27514" xr:uid="{6292C147-980A-4CC6-A336-A814B93C78A0}"/>
    <cellStyle name="Currency 5 3 4 13" xfId="35961" xr:uid="{F61A60BC-B387-42C2-A3DC-C476EA2B3894}"/>
    <cellStyle name="Currency 5 3 4 14" xfId="9767" xr:uid="{CFABB281-0CA1-47D9-8C8D-438E743A1ECA}"/>
    <cellStyle name="Currency 5 3 4 2" xfId="742" xr:uid="{00000000-0005-0000-0000-00000C0D0000}"/>
    <cellStyle name="Currency 5 3 4 2 2" xfId="2995" xr:uid="{00000000-0005-0000-0000-00000D0D0000}"/>
    <cellStyle name="Currency 5 3 4 2 2 2" xfId="7217" xr:uid="{00000000-0005-0000-0000-00000E0D0000}"/>
    <cellStyle name="Currency 5 3 4 2 2 2 2" xfId="25843" xr:uid="{AC4B0DF0-7434-4F71-B479-FE2068C02729}"/>
    <cellStyle name="Currency 5 3 4 2 2 2 3" xfId="34290" xr:uid="{E5E5FE09-1130-4443-BCB9-5B1117C8CBA6}"/>
    <cellStyle name="Currency 5 3 4 2 2 2 4" xfId="42737" xr:uid="{DB4364AC-C644-4378-A492-F3BF104CB5C1}"/>
    <cellStyle name="Currency 5 3 4 2 2 2 5" xfId="16543" xr:uid="{9164B591-E807-462B-9E3E-7D68E281B81F}"/>
    <cellStyle name="Currency 5 3 4 2 2 3" xfId="21626" xr:uid="{E542C385-3058-4A7B-9930-71D3B1BBF5BC}"/>
    <cellStyle name="Currency 5 3 4 2 2 4" xfId="30073" xr:uid="{4545012B-D5A1-472E-AD90-977AB8B93E18}"/>
    <cellStyle name="Currency 5 3 4 2 2 5" xfId="38520" xr:uid="{3440DA60-5934-4BC9-94A5-85E241749600}"/>
    <cellStyle name="Currency 5 3 4 2 2 6" xfId="12326" xr:uid="{2440B979-54F2-4B2D-B4E9-E0A062CF8858}"/>
    <cellStyle name="Currency 5 3 4 2 3" xfId="5072" xr:uid="{00000000-0005-0000-0000-00000F0D0000}"/>
    <cellStyle name="Currency 5 3 4 2 3 2" xfId="23698" xr:uid="{3E2F0C80-35FD-4F55-A24E-ED3CDB0068C4}"/>
    <cellStyle name="Currency 5 3 4 2 3 3" xfId="32145" xr:uid="{06ABA1BD-0461-4044-BC5E-45D1D4870051}"/>
    <cellStyle name="Currency 5 3 4 2 3 4" xfId="40592" xr:uid="{D9D740A7-1DC9-4823-8DA2-BD5A9816E851}"/>
    <cellStyle name="Currency 5 3 4 2 3 5" xfId="14398" xr:uid="{EB2E1D65-D841-48E1-BEBF-EB65D1A18656}"/>
    <cellStyle name="Currency 5 3 4 2 4" xfId="9411" xr:uid="{2729DEB6-408B-463E-B468-91D932C31FD7}"/>
    <cellStyle name="Currency 5 3 4 2 4 2" xfId="18727" xr:uid="{4481CCAD-527D-459E-8C32-C339A9E0B345}"/>
    <cellStyle name="Currency 5 3 4 2 5" xfId="19481" xr:uid="{BC51CC87-D066-4BAD-A76D-57029F29C552}"/>
    <cellStyle name="Currency 5 3 4 2 6" xfId="27928" xr:uid="{E0C4C888-8265-4DF3-9D89-156A88EE88AF}"/>
    <cellStyle name="Currency 5 3 4 2 7" xfId="36375" xr:uid="{BE6C9245-D139-4938-85AF-41A37063AF8B}"/>
    <cellStyle name="Currency 5 3 4 2 8" xfId="10181" xr:uid="{6B5B16F1-A24E-4382-B6D1-B93EE4D8117A}"/>
    <cellStyle name="Currency 5 3 4 3" xfId="1177" xr:uid="{00000000-0005-0000-0000-0000100D0000}"/>
    <cellStyle name="Currency 5 3 4 3 2" xfId="3408" xr:uid="{00000000-0005-0000-0000-0000110D0000}"/>
    <cellStyle name="Currency 5 3 4 3 2 2" xfId="7630" xr:uid="{00000000-0005-0000-0000-0000120D0000}"/>
    <cellStyle name="Currency 5 3 4 3 2 2 2" xfId="26256" xr:uid="{209DB5DE-0E8C-4140-BB48-EA1E16D3BD39}"/>
    <cellStyle name="Currency 5 3 4 3 2 2 3" xfId="34703" xr:uid="{1F4EF933-0328-49A3-B711-AC555FFCB658}"/>
    <cellStyle name="Currency 5 3 4 3 2 2 4" xfId="43150" xr:uid="{B85EAEC9-9C92-4763-8946-0DD8EEC2A829}"/>
    <cellStyle name="Currency 5 3 4 3 2 2 5" xfId="16956" xr:uid="{770520EF-AC93-4EAF-B912-B759B1467796}"/>
    <cellStyle name="Currency 5 3 4 3 2 3" xfId="22039" xr:uid="{E02A4405-B1D4-41DE-901D-7CF5995F6547}"/>
    <cellStyle name="Currency 5 3 4 3 2 4" xfId="30486" xr:uid="{FB205BDF-A835-43A7-A0BE-F53F2C077706}"/>
    <cellStyle name="Currency 5 3 4 3 2 5" xfId="38933" xr:uid="{2C8B117C-D1B1-412E-B4A1-9722DA84143A}"/>
    <cellStyle name="Currency 5 3 4 3 2 6" xfId="12739" xr:uid="{C5013C9E-BB4B-4DA5-B77A-7F3FE720D190}"/>
    <cellStyle name="Currency 5 3 4 3 3" xfId="5485" xr:uid="{00000000-0005-0000-0000-0000130D0000}"/>
    <cellStyle name="Currency 5 3 4 3 3 2" xfId="24111" xr:uid="{8DA96F0E-4D96-4AF5-B87F-95CB7BC6FB45}"/>
    <cellStyle name="Currency 5 3 4 3 3 3" xfId="32558" xr:uid="{D3B5A29B-900B-485A-8AD7-37E11769AFF4}"/>
    <cellStyle name="Currency 5 3 4 3 3 4" xfId="41005" xr:uid="{0FFCB061-FCD8-4109-AE93-1F5F6DFDC454}"/>
    <cellStyle name="Currency 5 3 4 3 3 5" xfId="14811" xr:uid="{222C4FD5-CEA4-4A7E-B974-1CBCBA45FF1A}"/>
    <cellStyle name="Currency 5 3 4 3 4" xfId="19894" xr:uid="{B298B90E-FFAC-41E4-A8FE-D6FCABE7B7A4}"/>
    <cellStyle name="Currency 5 3 4 3 5" xfId="28341" xr:uid="{DE9408C6-5BCB-4820-BD43-31FCC447C5F2}"/>
    <cellStyle name="Currency 5 3 4 3 6" xfId="36788" xr:uid="{F73504A6-A786-4344-96FF-8BACF398EE10}"/>
    <cellStyle name="Currency 5 3 4 3 7" xfId="10594" xr:uid="{740DE9EC-5E8F-41DC-8266-665287631A3B}"/>
    <cellStyle name="Currency 5 3 4 4" xfId="1591" xr:uid="{00000000-0005-0000-0000-0000140D0000}"/>
    <cellStyle name="Currency 5 3 4 4 2" xfId="3821" xr:uid="{00000000-0005-0000-0000-0000150D0000}"/>
    <cellStyle name="Currency 5 3 4 4 2 2" xfId="8043" xr:uid="{00000000-0005-0000-0000-0000160D0000}"/>
    <cellStyle name="Currency 5 3 4 4 2 2 2" xfId="26669" xr:uid="{CE49D7ED-E181-4CD1-A2D8-CE8188443B67}"/>
    <cellStyle name="Currency 5 3 4 4 2 2 3" xfId="35116" xr:uid="{D5D8502B-7F7E-45E1-93ED-F9B02F85FFF8}"/>
    <cellStyle name="Currency 5 3 4 4 2 2 4" xfId="43563" xr:uid="{0F19C12E-4750-4616-A081-BA6529C3C400}"/>
    <cellStyle name="Currency 5 3 4 4 2 2 5" xfId="17369" xr:uid="{F89E0914-3ED3-4B3B-903C-FD9D8C04C00E}"/>
    <cellStyle name="Currency 5 3 4 4 2 3" xfId="22452" xr:uid="{FF70A03A-0A09-4606-A2BB-E48B1D0BC447}"/>
    <cellStyle name="Currency 5 3 4 4 2 4" xfId="30899" xr:uid="{C0D534F2-0BAD-48E4-AC24-013D0136C89C}"/>
    <cellStyle name="Currency 5 3 4 4 2 5" xfId="39346" xr:uid="{A68ED18F-CC24-43A2-AD8B-8C7BD6AC711C}"/>
    <cellStyle name="Currency 5 3 4 4 2 6" xfId="13152" xr:uid="{B0F95FB8-49E3-41D7-8E1F-31E154E15096}"/>
    <cellStyle name="Currency 5 3 4 4 3" xfId="5898" xr:uid="{00000000-0005-0000-0000-0000170D0000}"/>
    <cellStyle name="Currency 5 3 4 4 3 2" xfId="24524" xr:uid="{369F3B6C-BFD5-40A4-B4A8-D4570225EB6D}"/>
    <cellStyle name="Currency 5 3 4 4 3 3" xfId="32971" xr:uid="{6831F571-DAED-4705-85FA-F7883C68024E}"/>
    <cellStyle name="Currency 5 3 4 4 3 4" xfId="41418" xr:uid="{40744A04-157A-4364-8FEA-49084C32F9AD}"/>
    <cellStyle name="Currency 5 3 4 4 3 5" xfId="15224" xr:uid="{FD5F32B6-5FF8-4731-8DB8-920F42C86AB3}"/>
    <cellStyle name="Currency 5 3 4 4 4" xfId="20307" xr:uid="{6AC191D4-6DFA-479E-8FA2-264A402AB812}"/>
    <cellStyle name="Currency 5 3 4 4 5" xfId="28754" xr:uid="{117D1F42-AFDD-4CBF-A500-9D687E8D46CC}"/>
    <cellStyle name="Currency 5 3 4 4 6" xfId="37201" xr:uid="{6545B245-7ED8-4157-9086-B86245C54EC9}"/>
    <cellStyle name="Currency 5 3 4 4 7" xfId="11007" xr:uid="{182A7887-5B64-433F-B6C3-0E1EB3CA77C7}"/>
    <cellStyle name="Currency 5 3 4 5" xfId="2005" xr:uid="{00000000-0005-0000-0000-0000180D0000}"/>
    <cellStyle name="Currency 5 3 4 5 2" xfId="4234" xr:uid="{00000000-0005-0000-0000-0000190D0000}"/>
    <cellStyle name="Currency 5 3 4 5 2 2" xfId="8456" xr:uid="{00000000-0005-0000-0000-00001A0D0000}"/>
    <cellStyle name="Currency 5 3 4 5 2 2 2" xfId="27082" xr:uid="{22D72092-087E-4B2B-90CC-7AF0653DBF52}"/>
    <cellStyle name="Currency 5 3 4 5 2 2 3" xfId="35529" xr:uid="{11079C05-A1F7-4759-B448-0E443F513A03}"/>
    <cellStyle name="Currency 5 3 4 5 2 2 4" xfId="43976" xr:uid="{A67D51F7-591C-4F59-9DED-FF6918817228}"/>
    <cellStyle name="Currency 5 3 4 5 2 2 5" xfId="17782" xr:uid="{D7522109-F5DA-4C1E-8364-3DF5A6FF0C57}"/>
    <cellStyle name="Currency 5 3 4 5 2 3" xfId="22865" xr:uid="{0CD18EB2-E973-42F4-A020-13DDA469F40F}"/>
    <cellStyle name="Currency 5 3 4 5 2 4" xfId="31312" xr:uid="{28192E12-AC2C-471C-AA87-7C8D4669409D}"/>
    <cellStyle name="Currency 5 3 4 5 2 5" xfId="39759" xr:uid="{45C5428C-60E3-4344-8A7D-44958DFC9A54}"/>
    <cellStyle name="Currency 5 3 4 5 2 6" xfId="13565" xr:uid="{E573E44C-4A8D-4DFD-B4E9-FB50727C0FDD}"/>
    <cellStyle name="Currency 5 3 4 5 3" xfId="6311" xr:uid="{00000000-0005-0000-0000-00001B0D0000}"/>
    <cellStyle name="Currency 5 3 4 5 3 2" xfId="24937" xr:uid="{91ED31A5-4A48-424D-A262-E19689BAD490}"/>
    <cellStyle name="Currency 5 3 4 5 3 3" xfId="33384" xr:uid="{1CD6F18E-B084-462D-859F-59701334CADE}"/>
    <cellStyle name="Currency 5 3 4 5 3 4" xfId="41831" xr:uid="{699B1ED5-163A-45D2-8783-5DA4875D05D7}"/>
    <cellStyle name="Currency 5 3 4 5 3 5" xfId="15637" xr:uid="{41CB9DCE-55F3-4C68-A2C6-6636C12A7D9C}"/>
    <cellStyle name="Currency 5 3 4 5 4" xfId="20720" xr:uid="{D1C92F06-3D76-45CB-9DEB-76735DDD9A3F}"/>
    <cellStyle name="Currency 5 3 4 5 5" xfId="29167" xr:uid="{F3D1349B-7D36-473C-8B53-0D94A699B6D9}"/>
    <cellStyle name="Currency 5 3 4 5 6" xfId="37614" xr:uid="{274EF4BC-1693-46FB-9DE9-787CB2DD55DE}"/>
    <cellStyle name="Currency 5 3 4 5 7" xfId="11420" xr:uid="{CD1CCE06-13F3-4D33-A1D3-1EA161E84802}"/>
    <cellStyle name="Currency 5 3 4 6" xfId="2440" xr:uid="{00000000-0005-0000-0000-00001C0D0000}"/>
    <cellStyle name="Currency 5 3 4 6 2" xfId="6724" xr:uid="{00000000-0005-0000-0000-00001D0D0000}"/>
    <cellStyle name="Currency 5 3 4 6 2 2" xfId="25350" xr:uid="{F02BF9BE-0500-44AB-A0D6-4FC1B501EABF}"/>
    <cellStyle name="Currency 5 3 4 6 2 3" xfId="33797" xr:uid="{2CA01B4F-3545-4E1C-9CE6-94FABF9C6174}"/>
    <cellStyle name="Currency 5 3 4 6 2 4" xfId="42244" xr:uid="{0DACE8BA-8994-49CE-AB51-5015EF1B76E2}"/>
    <cellStyle name="Currency 5 3 4 6 2 5" xfId="16050" xr:uid="{ED751CAE-CCF4-47FA-9CC0-F5E1E06F4E54}"/>
    <cellStyle name="Currency 5 3 4 6 3" xfId="21133" xr:uid="{D27D43A9-C652-4306-B3E4-9FDAACA4DD18}"/>
    <cellStyle name="Currency 5 3 4 6 4" xfId="29580" xr:uid="{2A5DEE9D-B1A7-44DF-AE7E-457FD2A724D3}"/>
    <cellStyle name="Currency 5 3 4 6 5" xfId="38027" xr:uid="{C12CD592-EDD3-4988-9EB5-E93D5CBFAAAD}"/>
    <cellStyle name="Currency 5 3 4 6 6" xfId="11833" xr:uid="{37711CCC-9AF1-40F9-93A8-65B92263139C}"/>
    <cellStyle name="Currency 5 3 4 7" xfId="2737" xr:uid="{00000000-0005-0000-0000-00001E0D0000}"/>
    <cellStyle name="Currency 5 3 4 8" xfId="2818" xr:uid="{00000000-0005-0000-0000-00001F0D0000}"/>
    <cellStyle name="Currency 5 3 4 8 2" xfId="7041" xr:uid="{00000000-0005-0000-0000-0000200D0000}"/>
    <cellStyle name="Currency 5 3 4 8 2 2" xfId="25667" xr:uid="{CEDBFA8B-545B-48FF-AC25-C393D2239EC4}"/>
    <cellStyle name="Currency 5 3 4 8 2 3" xfId="34114" xr:uid="{BFB443DD-F6B1-4A90-A00E-A6C44AAE847A}"/>
    <cellStyle name="Currency 5 3 4 8 2 4" xfId="42561" xr:uid="{85886703-F3CD-4D72-986E-CFE9887D7629}"/>
    <cellStyle name="Currency 5 3 4 8 2 5" xfId="16367" xr:uid="{86E8B725-81DE-4FDA-8492-5DBF885A9686}"/>
    <cellStyle name="Currency 5 3 4 8 3" xfId="21450" xr:uid="{BC402C69-803D-4280-BE6B-FECA68398C38}"/>
    <cellStyle name="Currency 5 3 4 8 4" xfId="29897" xr:uid="{3B0D5B02-5931-46C8-A53D-40FEBADA3BBD}"/>
    <cellStyle name="Currency 5 3 4 8 5" xfId="38344" xr:uid="{775D2980-CAF0-49E8-A106-3732CC9A91AB}"/>
    <cellStyle name="Currency 5 3 4 8 6" xfId="12150" xr:uid="{FA727E05-C6A4-4D36-B027-3888E128F2BE}"/>
    <cellStyle name="Currency 5 3 4 9" xfId="4658" xr:uid="{00000000-0005-0000-0000-0000210D0000}"/>
    <cellStyle name="Currency 5 3 4 9 2" xfId="23284" xr:uid="{513A208F-8A36-4484-89D3-E8898665B64A}"/>
    <cellStyle name="Currency 5 3 4 9 3" xfId="31731" xr:uid="{2F56666F-0CBC-4D1B-9E8B-685C8AC44C1F}"/>
    <cellStyle name="Currency 5 3 4 9 4" xfId="40178" xr:uid="{286DBB75-E243-414D-973F-C1C02871516F}"/>
    <cellStyle name="Currency 5 3 4 9 5" xfId="13984" xr:uid="{77841BFB-9506-4E40-AA85-6FE474B23889}"/>
    <cellStyle name="Currency 5 3 5" xfId="217" xr:uid="{00000000-0005-0000-0000-0000220D0000}"/>
    <cellStyle name="Currency 5 3 5 10" xfId="9203" xr:uid="{6167CBBD-227C-4457-B6B6-18EF5C089771}"/>
    <cellStyle name="Currency 5 3 5 10 2" xfId="18520" xr:uid="{E25BC576-57B1-4D58-97C7-4BC639AE88B9}"/>
    <cellStyle name="Currency 5 3 5 11" xfId="19068" xr:uid="{116DB6F9-90DF-4F5E-AC6D-1171F7C2D0E5}"/>
    <cellStyle name="Currency 5 3 5 12" xfId="27515" xr:uid="{1773C8C0-1312-45C2-9B39-9C124733A10F}"/>
    <cellStyle name="Currency 5 3 5 13" xfId="35962" xr:uid="{FFAB2FAA-F599-482D-BA01-56ACFA8523E6}"/>
    <cellStyle name="Currency 5 3 5 14" xfId="9768" xr:uid="{24F2EB04-63AC-44AB-B6C2-7ACCF11ED855}"/>
    <cellStyle name="Currency 5 3 5 2" xfId="743" xr:uid="{00000000-0005-0000-0000-0000230D0000}"/>
    <cellStyle name="Currency 5 3 5 2 2" xfId="2996" xr:uid="{00000000-0005-0000-0000-0000240D0000}"/>
    <cellStyle name="Currency 5 3 5 2 2 2" xfId="7218" xr:uid="{00000000-0005-0000-0000-0000250D0000}"/>
    <cellStyle name="Currency 5 3 5 2 2 2 2" xfId="25844" xr:uid="{7EC0019A-ECFD-4F92-9AC4-89A6789C3C0B}"/>
    <cellStyle name="Currency 5 3 5 2 2 2 3" xfId="34291" xr:uid="{6D57B534-9DD2-476B-91E5-C0C269C19D3F}"/>
    <cellStyle name="Currency 5 3 5 2 2 2 4" xfId="42738" xr:uid="{5226E428-2099-48FB-8318-54F3ADC53192}"/>
    <cellStyle name="Currency 5 3 5 2 2 2 5" xfId="16544" xr:uid="{47D9E701-B113-4C49-BD4F-551D771A1349}"/>
    <cellStyle name="Currency 5 3 5 2 2 3" xfId="21627" xr:uid="{233E93A2-F55A-4607-BF5A-CAEAFBF8C929}"/>
    <cellStyle name="Currency 5 3 5 2 2 4" xfId="30074" xr:uid="{4CCE9EA8-9A73-486C-8EBE-0445AC6A1C81}"/>
    <cellStyle name="Currency 5 3 5 2 2 5" xfId="38521" xr:uid="{E13A68AF-8129-4D59-B860-2EFCDC9462D2}"/>
    <cellStyle name="Currency 5 3 5 2 2 6" xfId="12327" xr:uid="{E3473BF6-97A5-4D01-8DCD-456A4C5B08E7}"/>
    <cellStyle name="Currency 5 3 5 2 3" xfId="5073" xr:uid="{00000000-0005-0000-0000-0000260D0000}"/>
    <cellStyle name="Currency 5 3 5 2 3 2" xfId="23699" xr:uid="{291FBBAF-09A7-4EB3-89AD-C0CE6EFCF2E6}"/>
    <cellStyle name="Currency 5 3 5 2 3 3" xfId="32146" xr:uid="{0C6C22D1-7066-444F-BF3A-FA00CE415C3F}"/>
    <cellStyle name="Currency 5 3 5 2 3 4" xfId="40593" xr:uid="{22BDCE57-D4A4-46D0-98A8-650ED611E0D7}"/>
    <cellStyle name="Currency 5 3 5 2 3 5" xfId="14399" xr:uid="{4B91CAFC-4B5C-481F-9A91-9331C6F2BE02}"/>
    <cellStyle name="Currency 5 3 5 2 4" xfId="9600" xr:uid="{650A4058-48FE-4F3E-8845-8F52DF332026}"/>
    <cellStyle name="Currency 5 3 5 2 4 2" xfId="18905" xr:uid="{C8EB3064-4695-48FA-85A2-C3DD5E8D3A57}"/>
    <cellStyle name="Currency 5 3 5 2 5" xfId="19482" xr:uid="{31D9D3DE-7A08-4249-AE38-7D1FB07CFA75}"/>
    <cellStyle name="Currency 5 3 5 2 6" xfId="27929" xr:uid="{10F44F91-60E6-40AD-B738-F6CF90092A8E}"/>
    <cellStyle name="Currency 5 3 5 2 7" xfId="36376" xr:uid="{47E774C5-0191-4222-97D9-2066815C2979}"/>
    <cellStyle name="Currency 5 3 5 2 8" xfId="10182" xr:uid="{D119E508-E8EC-4690-82E4-71AB0D47F0BB}"/>
    <cellStyle name="Currency 5 3 5 3" xfId="1178" xr:uid="{00000000-0005-0000-0000-0000270D0000}"/>
    <cellStyle name="Currency 5 3 5 3 2" xfId="3409" xr:uid="{00000000-0005-0000-0000-0000280D0000}"/>
    <cellStyle name="Currency 5 3 5 3 2 2" xfId="7631" xr:uid="{00000000-0005-0000-0000-0000290D0000}"/>
    <cellStyle name="Currency 5 3 5 3 2 2 2" xfId="26257" xr:uid="{DD7F29A9-F13A-49F9-96D9-65D452480089}"/>
    <cellStyle name="Currency 5 3 5 3 2 2 3" xfId="34704" xr:uid="{72D21B07-A9FE-47A1-B1E5-94139A1D5C41}"/>
    <cellStyle name="Currency 5 3 5 3 2 2 4" xfId="43151" xr:uid="{62A7CB33-7763-490F-A9E6-2F2D9B11DAF1}"/>
    <cellStyle name="Currency 5 3 5 3 2 2 5" xfId="16957" xr:uid="{1B166811-7C57-43F0-8A06-7951685BA585}"/>
    <cellStyle name="Currency 5 3 5 3 2 3" xfId="22040" xr:uid="{7FABC7D6-D8B8-44D3-B9AB-E5E241CDBFE4}"/>
    <cellStyle name="Currency 5 3 5 3 2 4" xfId="30487" xr:uid="{62BF194B-9E95-45AF-8C5B-DB28C65ADDE3}"/>
    <cellStyle name="Currency 5 3 5 3 2 5" xfId="38934" xr:uid="{FAC60AE6-8C7C-4BB5-87A9-ECD6968C182D}"/>
    <cellStyle name="Currency 5 3 5 3 2 6" xfId="12740" xr:uid="{D1CE8709-8169-4304-9134-A1CD110B5C8C}"/>
    <cellStyle name="Currency 5 3 5 3 3" xfId="5486" xr:uid="{00000000-0005-0000-0000-00002A0D0000}"/>
    <cellStyle name="Currency 5 3 5 3 3 2" xfId="24112" xr:uid="{338991AC-354E-488D-88B8-C610092ED48E}"/>
    <cellStyle name="Currency 5 3 5 3 3 3" xfId="32559" xr:uid="{3C1DA4CC-6CDB-4F96-84AE-B3D307AFDE98}"/>
    <cellStyle name="Currency 5 3 5 3 3 4" xfId="41006" xr:uid="{7B923BFE-14E9-4C81-BB98-18D35CFFEFB9}"/>
    <cellStyle name="Currency 5 3 5 3 3 5" xfId="14812" xr:uid="{4D2AABB8-6113-4B0C-8B24-2387BEE050DE}"/>
    <cellStyle name="Currency 5 3 5 3 4" xfId="19895" xr:uid="{66446B23-97AF-44EE-824F-5BE73DA75B80}"/>
    <cellStyle name="Currency 5 3 5 3 5" xfId="28342" xr:uid="{F0DFB543-58FB-4AB1-95D5-BB69D940AABB}"/>
    <cellStyle name="Currency 5 3 5 3 6" xfId="36789" xr:uid="{9DCABEFA-F0C5-4DC8-8FC7-5AA680A48665}"/>
    <cellStyle name="Currency 5 3 5 3 7" xfId="10595" xr:uid="{92D97318-3AF8-47D8-927E-B43D1B42B046}"/>
    <cellStyle name="Currency 5 3 5 4" xfId="1592" xr:uid="{00000000-0005-0000-0000-00002B0D0000}"/>
    <cellStyle name="Currency 5 3 5 4 2" xfId="3822" xr:uid="{00000000-0005-0000-0000-00002C0D0000}"/>
    <cellStyle name="Currency 5 3 5 4 2 2" xfId="8044" xr:uid="{00000000-0005-0000-0000-00002D0D0000}"/>
    <cellStyle name="Currency 5 3 5 4 2 2 2" xfId="26670" xr:uid="{7BA8D585-8D49-41AD-AAEF-731B5321F185}"/>
    <cellStyle name="Currency 5 3 5 4 2 2 3" xfId="35117" xr:uid="{0FDDA07A-C62D-40AF-B7AB-254CBDEDBB55}"/>
    <cellStyle name="Currency 5 3 5 4 2 2 4" xfId="43564" xr:uid="{4061B6E7-C96A-4E03-B393-83A8E2709F07}"/>
    <cellStyle name="Currency 5 3 5 4 2 2 5" xfId="17370" xr:uid="{0078FC8A-D1AC-4339-BB7A-72AD0EDBD105}"/>
    <cellStyle name="Currency 5 3 5 4 2 3" xfId="22453" xr:uid="{5B2C40D9-408A-45D5-A3CC-93C91ECD52BC}"/>
    <cellStyle name="Currency 5 3 5 4 2 4" xfId="30900" xr:uid="{D6AAEB07-E3A3-408D-AB01-4CE2BE412306}"/>
    <cellStyle name="Currency 5 3 5 4 2 5" xfId="39347" xr:uid="{164B0B69-2B9F-4AD6-BFDA-65A42FE08DF9}"/>
    <cellStyle name="Currency 5 3 5 4 2 6" xfId="13153" xr:uid="{BC9F93C3-2529-4426-B7D7-9A8AE450F204}"/>
    <cellStyle name="Currency 5 3 5 4 3" xfId="5899" xr:uid="{00000000-0005-0000-0000-00002E0D0000}"/>
    <cellStyle name="Currency 5 3 5 4 3 2" xfId="24525" xr:uid="{0182A610-1C67-4428-8639-5BE882EF3D6C}"/>
    <cellStyle name="Currency 5 3 5 4 3 3" xfId="32972" xr:uid="{73E337FF-B86E-417C-A9F3-D3D5F1BCAB50}"/>
    <cellStyle name="Currency 5 3 5 4 3 4" xfId="41419" xr:uid="{D4F726D0-4461-40D0-9395-91204CC5D849}"/>
    <cellStyle name="Currency 5 3 5 4 3 5" xfId="15225" xr:uid="{C6F72521-1DF0-400D-8C16-BB31069C2EE7}"/>
    <cellStyle name="Currency 5 3 5 4 4" xfId="20308" xr:uid="{82855CE8-BEDF-4413-9166-C4B5C46D90CF}"/>
    <cellStyle name="Currency 5 3 5 4 5" xfId="28755" xr:uid="{9DE21FED-7A75-4B80-A187-84017525D919}"/>
    <cellStyle name="Currency 5 3 5 4 6" xfId="37202" xr:uid="{A85D5BFE-13C6-4C3F-9738-5B0F96C50ABB}"/>
    <cellStyle name="Currency 5 3 5 4 7" xfId="11008" xr:uid="{0B2D4398-D72E-4D58-9710-7C9BA72D2537}"/>
    <cellStyle name="Currency 5 3 5 5" xfId="2006" xr:uid="{00000000-0005-0000-0000-00002F0D0000}"/>
    <cellStyle name="Currency 5 3 5 5 2" xfId="4235" xr:uid="{00000000-0005-0000-0000-0000300D0000}"/>
    <cellStyle name="Currency 5 3 5 5 2 2" xfId="8457" xr:uid="{00000000-0005-0000-0000-0000310D0000}"/>
    <cellStyle name="Currency 5 3 5 5 2 2 2" xfId="27083" xr:uid="{E98B4EDD-C2FF-48F6-883B-0D969D7C0FB8}"/>
    <cellStyle name="Currency 5 3 5 5 2 2 3" xfId="35530" xr:uid="{F38454CE-BEA1-42FB-8A53-B46F4F445814}"/>
    <cellStyle name="Currency 5 3 5 5 2 2 4" xfId="43977" xr:uid="{5C244D39-97F9-4ADB-990D-E7528BE81C12}"/>
    <cellStyle name="Currency 5 3 5 5 2 2 5" xfId="17783" xr:uid="{72A5E9E7-6AF9-4A31-987A-89FD2711E943}"/>
    <cellStyle name="Currency 5 3 5 5 2 3" xfId="22866" xr:uid="{5D687FDE-396A-4E3D-9361-4E89B677C0BC}"/>
    <cellStyle name="Currency 5 3 5 5 2 4" xfId="31313" xr:uid="{3DE01080-9608-4F17-B273-8B8F70C23DFA}"/>
    <cellStyle name="Currency 5 3 5 5 2 5" xfId="39760" xr:uid="{DA6A34C0-4028-4B1D-8147-7CDAE9C09E73}"/>
    <cellStyle name="Currency 5 3 5 5 2 6" xfId="13566" xr:uid="{7A65F1B6-3F7E-41BE-A176-E47E8ED1EBC8}"/>
    <cellStyle name="Currency 5 3 5 5 3" xfId="6312" xr:uid="{00000000-0005-0000-0000-0000320D0000}"/>
    <cellStyle name="Currency 5 3 5 5 3 2" xfId="24938" xr:uid="{6F85A341-FA30-4A51-8384-77F1183682B6}"/>
    <cellStyle name="Currency 5 3 5 5 3 3" xfId="33385" xr:uid="{AC1B6354-FF0C-41B7-A0AB-EED7D49F94FE}"/>
    <cellStyle name="Currency 5 3 5 5 3 4" xfId="41832" xr:uid="{40B12F88-F880-4000-A78C-E5ED00977838}"/>
    <cellStyle name="Currency 5 3 5 5 3 5" xfId="15638" xr:uid="{95E428F3-91DC-420C-BC03-BF5C7FAE09DB}"/>
    <cellStyle name="Currency 5 3 5 5 4" xfId="20721" xr:uid="{8558CE18-57BF-4933-9674-B5493F269046}"/>
    <cellStyle name="Currency 5 3 5 5 5" xfId="29168" xr:uid="{77196BF1-998D-403B-8429-116E771E79DF}"/>
    <cellStyle name="Currency 5 3 5 5 6" xfId="37615" xr:uid="{D5A9515E-C53D-4B17-ACC7-0C6E82C5FB49}"/>
    <cellStyle name="Currency 5 3 5 5 7" xfId="11421" xr:uid="{4769ACD0-495E-429E-BECC-F00C9A02BEC8}"/>
    <cellStyle name="Currency 5 3 5 6" xfId="2441" xr:uid="{00000000-0005-0000-0000-0000330D0000}"/>
    <cellStyle name="Currency 5 3 5 6 2" xfId="6725" xr:uid="{00000000-0005-0000-0000-0000340D0000}"/>
    <cellStyle name="Currency 5 3 5 6 2 2" xfId="25351" xr:uid="{B5F01B78-E2EB-4261-BC3B-E1650558A3EB}"/>
    <cellStyle name="Currency 5 3 5 6 2 3" xfId="33798" xr:uid="{E22EA769-4ACE-4B1F-929F-5B4D7DF45E53}"/>
    <cellStyle name="Currency 5 3 5 6 2 4" xfId="42245" xr:uid="{E83FB1F7-57AA-40A2-8117-D2D956A97A77}"/>
    <cellStyle name="Currency 5 3 5 6 2 5" xfId="16051" xr:uid="{C94EBEA2-96D6-47B0-BE0E-B48C0CEE9026}"/>
    <cellStyle name="Currency 5 3 5 6 3" xfId="21134" xr:uid="{3FCBB572-6C11-497A-BC66-61FD04905D42}"/>
    <cellStyle name="Currency 5 3 5 6 4" xfId="29581" xr:uid="{873B278F-8492-48B7-93F9-C4120F360E89}"/>
    <cellStyle name="Currency 5 3 5 6 5" xfId="38028" xr:uid="{E8DE5A71-3D5C-41DD-A8E2-DDF0A425F87A}"/>
    <cellStyle name="Currency 5 3 5 6 6" xfId="11834" xr:uid="{BA502DBA-BAE7-4EDB-A6B1-867017D2BA9D}"/>
    <cellStyle name="Currency 5 3 5 7" xfId="2738" xr:uid="{00000000-0005-0000-0000-0000350D0000}"/>
    <cellStyle name="Currency 5 3 5 8" xfId="2819" xr:uid="{00000000-0005-0000-0000-0000360D0000}"/>
    <cellStyle name="Currency 5 3 5 8 2" xfId="7042" xr:uid="{00000000-0005-0000-0000-0000370D0000}"/>
    <cellStyle name="Currency 5 3 5 8 2 2" xfId="25668" xr:uid="{87342AD9-4524-46A9-950A-1FA25FEDBA3A}"/>
    <cellStyle name="Currency 5 3 5 8 2 3" xfId="34115" xr:uid="{1168DCDC-907C-430C-9037-35085ADD2369}"/>
    <cellStyle name="Currency 5 3 5 8 2 4" xfId="42562" xr:uid="{875C876C-F280-460C-8DB0-1C33C5C50957}"/>
    <cellStyle name="Currency 5 3 5 8 2 5" xfId="16368" xr:uid="{9C75D28B-0553-4445-A180-3E96B5B55C2D}"/>
    <cellStyle name="Currency 5 3 5 8 3" xfId="21451" xr:uid="{06179C16-A948-45C1-94AA-BB49FCBAF394}"/>
    <cellStyle name="Currency 5 3 5 8 4" xfId="29898" xr:uid="{FDA9ACB6-1F6A-474E-A5AB-EDB914FB9B1F}"/>
    <cellStyle name="Currency 5 3 5 8 5" xfId="38345" xr:uid="{2B722643-B976-4736-A416-F3EBE6DA178D}"/>
    <cellStyle name="Currency 5 3 5 8 6" xfId="12151" xr:uid="{F4A87E7D-8A6A-411B-AA7C-129C92251D05}"/>
    <cellStyle name="Currency 5 3 5 9" xfId="4659" xr:uid="{00000000-0005-0000-0000-0000380D0000}"/>
    <cellStyle name="Currency 5 3 5 9 2" xfId="23285" xr:uid="{2B930FFC-58EC-410C-80C6-D3785164839B}"/>
    <cellStyle name="Currency 5 3 5 9 3" xfId="31732" xr:uid="{7E5229A6-A74E-47AA-A03E-6166F66B9CFA}"/>
    <cellStyle name="Currency 5 3 5 9 4" xfId="40179" xr:uid="{C69582F5-60F7-4A02-888A-C5A6C0FA2A02}"/>
    <cellStyle name="Currency 5 3 5 9 5" xfId="13985" xr:uid="{50B76A21-ECF6-4E30-9FE9-26A84621D540}"/>
    <cellStyle name="Currency 5 3 6" xfId="9585" xr:uid="{F259418A-5AC0-4C4E-A98C-07B5BEE6D673}"/>
    <cellStyle name="Currency 5 3 7" xfId="8779" xr:uid="{856D4C12-E347-4E8F-9200-2EC71AC3E0CB}"/>
    <cellStyle name="Currency 5 3 7 2" xfId="18103" xr:uid="{29A59705-ADFC-4EBF-A376-EE7EEC9F9EFE}"/>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0 2" xfId="23286" xr:uid="{04923FCD-72A6-4A1D-B230-A144F7AE4085}"/>
    <cellStyle name="Currency 5 5 10 3" xfId="31733" xr:uid="{8B183812-4AF6-43AB-BDE2-218D045D66FB}"/>
    <cellStyle name="Currency 5 5 10 4" xfId="40180" xr:uid="{0767DA9B-D9A6-4713-AEAC-9662C7311575}"/>
    <cellStyle name="Currency 5 5 10 5" xfId="13986" xr:uid="{51E47E81-E264-4D10-9243-128759EB2537}"/>
    <cellStyle name="Currency 5 5 11" xfId="8850" xr:uid="{8F129173-F323-478F-8B06-1E2599EB26C1}"/>
    <cellStyle name="Currency 5 5 11 2" xfId="18174" xr:uid="{B5CC317C-5BC2-4CC7-B2FD-96253E4A4879}"/>
    <cellStyle name="Currency 5 5 12" xfId="19069" xr:uid="{D20CCC54-C1FC-4408-BDA2-BFC0BCA39517}"/>
    <cellStyle name="Currency 5 5 13" xfId="27516" xr:uid="{BC983AE2-9CF7-41F6-B7DF-09A0070B78F3}"/>
    <cellStyle name="Currency 5 5 14" xfId="35963" xr:uid="{A94872BE-116F-45D9-9E63-D29D3A253B2F}"/>
    <cellStyle name="Currency 5 5 15" xfId="9769" xr:uid="{4C35D3BD-143E-4415-B6CD-292D43B7452F}"/>
    <cellStyle name="Currency 5 5 2" xfId="220" xr:uid="{00000000-0005-0000-0000-00003D0D0000}"/>
    <cellStyle name="Currency 5 5 2 10" xfId="9057" xr:uid="{90E61E49-0971-4EC1-90D8-E015846E4FB2}"/>
    <cellStyle name="Currency 5 5 2 10 2" xfId="18381" xr:uid="{C9778CBE-A147-4B82-8B4D-3BB4D508523A}"/>
    <cellStyle name="Currency 5 5 2 11" xfId="19070" xr:uid="{31D427B9-2586-49B5-A95F-EF47FF800C5D}"/>
    <cellStyle name="Currency 5 5 2 12" xfId="27517" xr:uid="{E99A431A-58B7-4FE6-BEEF-444DF91D02AC}"/>
    <cellStyle name="Currency 5 5 2 13" xfId="35964" xr:uid="{9FE1D03C-59B6-4C6F-BC59-8F3CDA0A7CEA}"/>
    <cellStyle name="Currency 5 5 2 14" xfId="9770" xr:uid="{B70BC009-51EB-43FD-BE60-F3EE03FCCE99}"/>
    <cellStyle name="Currency 5 5 2 2" xfId="746" xr:uid="{00000000-0005-0000-0000-00003E0D0000}"/>
    <cellStyle name="Currency 5 5 2 2 2" xfId="2998" xr:uid="{00000000-0005-0000-0000-00003F0D0000}"/>
    <cellStyle name="Currency 5 5 2 2 2 2" xfId="7220" xr:uid="{00000000-0005-0000-0000-0000400D0000}"/>
    <cellStyle name="Currency 5 5 2 2 2 2 2" xfId="25846" xr:uid="{5235DBB4-4ADC-4EF4-B320-2CEBAB2683BE}"/>
    <cellStyle name="Currency 5 5 2 2 2 2 3" xfId="34293" xr:uid="{7B896290-4CA2-4689-82F0-E4E8E1B60BF2}"/>
    <cellStyle name="Currency 5 5 2 2 2 2 4" xfId="42740" xr:uid="{275E3F37-8391-4476-B664-189729CB6C85}"/>
    <cellStyle name="Currency 5 5 2 2 2 2 5" xfId="16546" xr:uid="{CE6E1331-1E3E-4D15-B7F4-1A33C96561F4}"/>
    <cellStyle name="Currency 5 5 2 2 2 3" xfId="21629" xr:uid="{B9D37C46-C31F-4529-9C03-9F5ABA3960C8}"/>
    <cellStyle name="Currency 5 5 2 2 2 4" xfId="30076" xr:uid="{D00CDC6F-9581-486C-9FC1-E1B9A630C430}"/>
    <cellStyle name="Currency 5 5 2 2 2 5" xfId="38523" xr:uid="{F602FD12-8709-4B2E-BECF-B2A8AF9FD441}"/>
    <cellStyle name="Currency 5 5 2 2 2 6" xfId="12329" xr:uid="{02B96CC9-BB71-473B-8CAD-22A68DFEB0DF}"/>
    <cellStyle name="Currency 5 5 2 2 3" xfId="5075" xr:uid="{00000000-0005-0000-0000-0000410D0000}"/>
    <cellStyle name="Currency 5 5 2 2 3 2" xfId="23701" xr:uid="{817232BF-8E51-43E8-ADE0-6701902E4F52}"/>
    <cellStyle name="Currency 5 5 2 2 3 3" xfId="32148" xr:uid="{CE88AAC2-87FD-4193-8BA7-305EDFCDFC58}"/>
    <cellStyle name="Currency 5 5 2 2 3 4" xfId="40595" xr:uid="{5463A169-34F9-48DC-9D69-09830A738255}"/>
    <cellStyle name="Currency 5 5 2 2 3 5" xfId="14401" xr:uid="{8FFE40E5-A06A-4626-9C68-D94FC0FAEC9C}"/>
    <cellStyle name="Currency 5 5 2 2 4" xfId="9482" xr:uid="{ECEE3E7C-42CD-4A2D-A90F-D54FFBA7E41F}"/>
    <cellStyle name="Currency 5 5 2 2 4 2" xfId="18798" xr:uid="{E79509F6-977C-40ED-B246-DC800DE7BA7C}"/>
    <cellStyle name="Currency 5 5 2 2 5" xfId="19484" xr:uid="{E3FCC150-3D4D-4BD9-9614-AEB297C3A4F5}"/>
    <cellStyle name="Currency 5 5 2 2 6" xfId="27931" xr:uid="{0B909A3F-6591-4E0C-A2D9-87F14A483E65}"/>
    <cellStyle name="Currency 5 5 2 2 7" xfId="36378" xr:uid="{457CE6CD-661D-436F-977D-D719F82764DA}"/>
    <cellStyle name="Currency 5 5 2 2 8" xfId="10184" xr:uid="{69A47B24-A536-481D-AC06-D151A78110DB}"/>
    <cellStyle name="Currency 5 5 2 3" xfId="1180" xr:uid="{00000000-0005-0000-0000-0000420D0000}"/>
    <cellStyle name="Currency 5 5 2 3 2" xfId="3411" xr:uid="{00000000-0005-0000-0000-0000430D0000}"/>
    <cellStyle name="Currency 5 5 2 3 2 2" xfId="7633" xr:uid="{00000000-0005-0000-0000-0000440D0000}"/>
    <cellStyle name="Currency 5 5 2 3 2 2 2" xfId="26259" xr:uid="{9E5E1619-37ED-42B1-BC11-BCA75BF6D1D5}"/>
    <cellStyle name="Currency 5 5 2 3 2 2 3" xfId="34706" xr:uid="{C7F36CF9-20CD-45C4-85E5-1A10B6F36AF0}"/>
    <cellStyle name="Currency 5 5 2 3 2 2 4" xfId="43153" xr:uid="{91CA8C4F-0724-4030-BC18-5DF18618EF80}"/>
    <cellStyle name="Currency 5 5 2 3 2 2 5" xfId="16959" xr:uid="{1FC62037-A1A3-4919-AEC0-7F5BE203FB87}"/>
    <cellStyle name="Currency 5 5 2 3 2 3" xfId="22042" xr:uid="{3BEDBA25-F841-4C75-A6E6-223624F930DF}"/>
    <cellStyle name="Currency 5 5 2 3 2 4" xfId="30489" xr:uid="{81553EF0-F7DE-468B-A760-B7D1B56394CC}"/>
    <cellStyle name="Currency 5 5 2 3 2 5" xfId="38936" xr:uid="{080465D0-13B9-4F1C-9965-913390A5243F}"/>
    <cellStyle name="Currency 5 5 2 3 2 6" xfId="12742" xr:uid="{E4E9AA4D-B03D-4E3D-AA22-CA632F90DFD5}"/>
    <cellStyle name="Currency 5 5 2 3 3" xfId="5488" xr:uid="{00000000-0005-0000-0000-0000450D0000}"/>
    <cellStyle name="Currency 5 5 2 3 3 2" xfId="24114" xr:uid="{D813240E-AEEA-4C8E-9659-BAED0ADDBE8C}"/>
    <cellStyle name="Currency 5 5 2 3 3 3" xfId="32561" xr:uid="{F1E09B02-3758-41E2-8C19-AFFA970E0A91}"/>
    <cellStyle name="Currency 5 5 2 3 3 4" xfId="41008" xr:uid="{98BD4F78-F2D8-41FA-B840-36E6EE7ABF89}"/>
    <cellStyle name="Currency 5 5 2 3 3 5" xfId="14814" xr:uid="{BB2EEF95-D9D8-47DD-9CF6-2AE66ED3C143}"/>
    <cellStyle name="Currency 5 5 2 3 4" xfId="19897" xr:uid="{C75111F8-36E5-43D7-8FFB-FBE746ECEA55}"/>
    <cellStyle name="Currency 5 5 2 3 5" xfId="28344" xr:uid="{547D1979-5080-4CA9-9D48-A6656E953E5E}"/>
    <cellStyle name="Currency 5 5 2 3 6" xfId="36791" xr:uid="{ABB3989C-2567-49EC-8E5B-4C276790A80A}"/>
    <cellStyle name="Currency 5 5 2 3 7" xfId="10597" xr:uid="{2A2DF354-A365-479C-B815-F4940CCAAC28}"/>
    <cellStyle name="Currency 5 5 2 4" xfId="1594" xr:uid="{00000000-0005-0000-0000-0000460D0000}"/>
    <cellStyle name="Currency 5 5 2 4 2" xfId="3824" xr:uid="{00000000-0005-0000-0000-0000470D0000}"/>
    <cellStyle name="Currency 5 5 2 4 2 2" xfId="8046" xr:uid="{00000000-0005-0000-0000-0000480D0000}"/>
    <cellStyle name="Currency 5 5 2 4 2 2 2" xfId="26672" xr:uid="{E3CAEBFF-A886-4B99-89EC-367663709A16}"/>
    <cellStyle name="Currency 5 5 2 4 2 2 3" xfId="35119" xr:uid="{C3F4DD26-0E6A-459F-9EDE-6557F6E5F995}"/>
    <cellStyle name="Currency 5 5 2 4 2 2 4" xfId="43566" xr:uid="{CAEA8823-DDC9-45DF-991E-AB79C442F338}"/>
    <cellStyle name="Currency 5 5 2 4 2 2 5" xfId="17372" xr:uid="{C2368D97-7E89-474F-8E40-ED5F12432733}"/>
    <cellStyle name="Currency 5 5 2 4 2 3" xfId="22455" xr:uid="{21F5E048-E8AE-4A09-B939-07887F1758EF}"/>
    <cellStyle name="Currency 5 5 2 4 2 4" xfId="30902" xr:uid="{5C5FF892-451D-47BA-A2AC-14ED9805D89F}"/>
    <cellStyle name="Currency 5 5 2 4 2 5" xfId="39349" xr:uid="{F71EE060-3FCF-42F7-A244-8562E8ACDDD6}"/>
    <cellStyle name="Currency 5 5 2 4 2 6" xfId="13155" xr:uid="{F5535C6E-AB67-41BB-AB4F-04BFD22AB7BB}"/>
    <cellStyle name="Currency 5 5 2 4 3" xfId="5901" xr:uid="{00000000-0005-0000-0000-0000490D0000}"/>
    <cellStyle name="Currency 5 5 2 4 3 2" xfId="24527" xr:uid="{A1D6A6B9-C6BF-4DD3-BB55-72D386FA50F2}"/>
    <cellStyle name="Currency 5 5 2 4 3 3" xfId="32974" xr:uid="{30A0D663-9A31-45DA-95B1-C6ED8D2C648A}"/>
    <cellStyle name="Currency 5 5 2 4 3 4" xfId="41421" xr:uid="{A5DA8E43-0154-4A7A-8535-0B0A4B583D60}"/>
    <cellStyle name="Currency 5 5 2 4 3 5" xfId="15227" xr:uid="{66CA4227-D417-444F-B901-F4071BE5BBA9}"/>
    <cellStyle name="Currency 5 5 2 4 4" xfId="20310" xr:uid="{73F8688D-B104-4F4A-B4C8-BE228D1DE943}"/>
    <cellStyle name="Currency 5 5 2 4 5" xfId="28757" xr:uid="{C3F95425-B579-4D71-8E06-9FCC6AD42A19}"/>
    <cellStyle name="Currency 5 5 2 4 6" xfId="37204" xr:uid="{D16361DC-37C5-4961-8E86-DB26E17E7B33}"/>
    <cellStyle name="Currency 5 5 2 4 7" xfId="11010" xr:uid="{B18ACB7F-B26F-4EF6-8E37-0FEB3A0A91A7}"/>
    <cellStyle name="Currency 5 5 2 5" xfId="2008" xr:uid="{00000000-0005-0000-0000-00004A0D0000}"/>
    <cellStyle name="Currency 5 5 2 5 2" xfId="4237" xr:uid="{00000000-0005-0000-0000-00004B0D0000}"/>
    <cellStyle name="Currency 5 5 2 5 2 2" xfId="8459" xr:uid="{00000000-0005-0000-0000-00004C0D0000}"/>
    <cellStyle name="Currency 5 5 2 5 2 2 2" xfId="27085" xr:uid="{B140BF62-8012-4310-BDBB-D278D973E4EE}"/>
    <cellStyle name="Currency 5 5 2 5 2 2 3" xfId="35532" xr:uid="{F91C3E97-63ED-4BAA-9F79-15CCD896BBC0}"/>
    <cellStyle name="Currency 5 5 2 5 2 2 4" xfId="43979" xr:uid="{9FECA900-8C27-4218-A7F8-5641E24E5D64}"/>
    <cellStyle name="Currency 5 5 2 5 2 2 5" xfId="17785" xr:uid="{0E2AF888-3F90-45E1-AC65-DD7E6C02AFBD}"/>
    <cellStyle name="Currency 5 5 2 5 2 3" xfId="22868" xr:uid="{79782275-E824-4795-8AE3-ABBB2CC531A5}"/>
    <cellStyle name="Currency 5 5 2 5 2 4" xfId="31315" xr:uid="{E3EDEC42-7459-412A-8648-1967AFD78531}"/>
    <cellStyle name="Currency 5 5 2 5 2 5" xfId="39762" xr:uid="{3CE84060-7ED2-4D91-9731-437D75F5455E}"/>
    <cellStyle name="Currency 5 5 2 5 2 6" xfId="13568" xr:uid="{06E76223-003B-411F-BB75-98964ADA7BB7}"/>
    <cellStyle name="Currency 5 5 2 5 3" xfId="6314" xr:uid="{00000000-0005-0000-0000-00004D0D0000}"/>
    <cellStyle name="Currency 5 5 2 5 3 2" xfId="24940" xr:uid="{8804B0C3-658F-4C82-B2AA-788ACE346A3F}"/>
    <cellStyle name="Currency 5 5 2 5 3 3" xfId="33387" xr:uid="{0F14F646-87ED-4A04-BEE4-88089F92050D}"/>
    <cellStyle name="Currency 5 5 2 5 3 4" xfId="41834" xr:uid="{AB6890E3-0A52-4950-87F4-680A8929427A}"/>
    <cellStyle name="Currency 5 5 2 5 3 5" xfId="15640" xr:uid="{41F67FD5-4E89-4090-B159-2EDCB6DBA9EF}"/>
    <cellStyle name="Currency 5 5 2 5 4" xfId="20723" xr:uid="{2CEA20DC-99C1-47FA-B29C-46CFEEAA6CF4}"/>
    <cellStyle name="Currency 5 5 2 5 5" xfId="29170" xr:uid="{627030F7-B98E-4793-9DE7-AFC4F69F6DEC}"/>
    <cellStyle name="Currency 5 5 2 5 6" xfId="37617" xr:uid="{466F0ED5-3CB2-4372-A7E0-E04554D7005E}"/>
    <cellStyle name="Currency 5 5 2 5 7" xfId="11423" xr:uid="{280555D4-5E21-422E-A103-65807B7036D5}"/>
    <cellStyle name="Currency 5 5 2 6" xfId="2443" xr:uid="{00000000-0005-0000-0000-00004E0D0000}"/>
    <cellStyle name="Currency 5 5 2 6 2" xfId="6727" xr:uid="{00000000-0005-0000-0000-00004F0D0000}"/>
    <cellStyle name="Currency 5 5 2 6 2 2" xfId="25353" xr:uid="{9E78FCCA-CBA7-4C3E-819D-5FA5EFB3EB2E}"/>
    <cellStyle name="Currency 5 5 2 6 2 3" xfId="33800" xr:uid="{0E5F7AB1-06D5-405D-94C0-FD5936DF119D}"/>
    <cellStyle name="Currency 5 5 2 6 2 4" xfId="42247" xr:uid="{69611C1A-ED6E-4635-B33B-138318351957}"/>
    <cellStyle name="Currency 5 5 2 6 2 5" xfId="16053" xr:uid="{8C4E82F0-B10C-43B7-8DE0-A9E75EDDC596}"/>
    <cellStyle name="Currency 5 5 2 6 3" xfId="21136" xr:uid="{BEB3A5F6-DB43-4049-A615-1468C41D48B2}"/>
    <cellStyle name="Currency 5 5 2 6 4" xfId="29583" xr:uid="{83F13F4A-FB3F-4AEA-B2F9-A4982447E4B8}"/>
    <cellStyle name="Currency 5 5 2 6 5" xfId="38030" xr:uid="{85924F3D-0ECE-4C57-9620-365E713DA3DE}"/>
    <cellStyle name="Currency 5 5 2 6 6" xfId="11836" xr:uid="{BE35E539-23C8-4F14-B47C-DF41D4870846}"/>
    <cellStyle name="Currency 5 5 2 7" xfId="2740" xr:uid="{00000000-0005-0000-0000-0000500D0000}"/>
    <cellStyle name="Currency 5 5 2 8" xfId="2821" xr:uid="{00000000-0005-0000-0000-0000510D0000}"/>
    <cellStyle name="Currency 5 5 2 8 2" xfId="7044" xr:uid="{00000000-0005-0000-0000-0000520D0000}"/>
    <cellStyle name="Currency 5 5 2 8 2 2" xfId="25670" xr:uid="{C7A53201-5183-4DF4-A1A3-E830C8E5401A}"/>
    <cellStyle name="Currency 5 5 2 8 2 3" xfId="34117" xr:uid="{1D82C72C-EECB-4622-822C-E6F5C199A8D3}"/>
    <cellStyle name="Currency 5 5 2 8 2 4" xfId="42564" xr:uid="{F1085F18-D6A2-4E26-856F-37B3DD7218A6}"/>
    <cellStyle name="Currency 5 5 2 8 2 5" xfId="16370" xr:uid="{4975F12F-C1AC-4241-8D06-6D46451C437A}"/>
    <cellStyle name="Currency 5 5 2 8 3" xfId="21453" xr:uid="{4C064FD5-B1EC-4FDC-9B2B-0C4DAA995731}"/>
    <cellStyle name="Currency 5 5 2 8 4" xfId="29900" xr:uid="{B7DFFED1-A021-4353-A192-7FAFDF0A3CB0}"/>
    <cellStyle name="Currency 5 5 2 8 5" xfId="38347" xr:uid="{BE0F7822-702D-4394-8700-4BD084149662}"/>
    <cellStyle name="Currency 5 5 2 8 6" xfId="12153" xr:uid="{7A7F530A-7E2D-48DD-BEC7-E1083D0AAF8E}"/>
    <cellStyle name="Currency 5 5 2 9" xfId="4661" xr:uid="{00000000-0005-0000-0000-0000530D0000}"/>
    <cellStyle name="Currency 5 5 2 9 2" xfId="23287" xr:uid="{23B93DEB-B8BF-4C90-84A4-E080F722575E}"/>
    <cellStyle name="Currency 5 5 2 9 3" xfId="31734" xr:uid="{104FC6B1-2EDE-4F21-A1E8-F2E7D47BB62E}"/>
    <cellStyle name="Currency 5 5 2 9 4" xfId="40181" xr:uid="{2C4DFFF2-9E99-40C6-9E81-6BBFCE3E488B}"/>
    <cellStyle name="Currency 5 5 2 9 5" xfId="13987" xr:uid="{0DD697D0-1018-47BC-964A-21A7D6BA5DC4}"/>
    <cellStyle name="Currency 5 5 3" xfId="745" xr:uid="{00000000-0005-0000-0000-0000540D0000}"/>
    <cellStyle name="Currency 5 5 3 2" xfId="2997" xr:uid="{00000000-0005-0000-0000-0000550D0000}"/>
    <cellStyle name="Currency 5 5 3 2 2" xfId="7219" xr:uid="{00000000-0005-0000-0000-0000560D0000}"/>
    <cellStyle name="Currency 5 5 3 2 2 2" xfId="25845" xr:uid="{14476527-25AD-4D32-B0D9-44F9BC489616}"/>
    <cellStyle name="Currency 5 5 3 2 2 3" xfId="34292" xr:uid="{F8EC2F12-6D0A-4199-94B4-FFCD4A4745FA}"/>
    <cellStyle name="Currency 5 5 3 2 2 4" xfId="42739" xr:uid="{F7ECD020-FEFE-424F-B36E-14824AF07E6E}"/>
    <cellStyle name="Currency 5 5 3 2 2 5" xfId="16545" xr:uid="{ECAAD4CC-99B0-4EAB-8FC4-3E257E1842CE}"/>
    <cellStyle name="Currency 5 5 3 2 3" xfId="21628" xr:uid="{3F77FAD3-AE87-465F-85A5-8EAAEFE26044}"/>
    <cellStyle name="Currency 5 5 3 2 4" xfId="30075" xr:uid="{67BA03CC-E8A7-4914-9D0B-1B7846DB1261}"/>
    <cellStyle name="Currency 5 5 3 2 5" xfId="38522" xr:uid="{9864E1C1-858E-46AB-AD22-6CBDF15572E6}"/>
    <cellStyle name="Currency 5 5 3 2 6" xfId="12328" xr:uid="{362E2B17-4789-494E-85BE-232915A4C2A2}"/>
    <cellStyle name="Currency 5 5 3 3" xfId="5074" xr:uid="{00000000-0005-0000-0000-0000570D0000}"/>
    <cellStyle name="Currency 5 5 3 3 2" xfId="23700" xr:uid="{DB752EA3-727C-4154-AD3B-8E3B5A640583}"/>
    <cellStyle name="Currency 5 5 3 3 3" xfId="32147" xr:uid="{BE6BB4D6-B222-4227-B269-7D4F7A1439C6}"/>
    <cellStyle name="Currency 5 5 3 3 4" xfId="40594" xr:uid="{84506019-1EC1-41C6-AF98-732CF304221C}"/>
    <cellStyle name="Currency 5 5 3 3 5" xfId="14400" xr:uid="{935D3B7A-123C-47A3-BE0A-1051F62E078D}"/>
    <cellStyle name="Currency 5 5 3 4" xfId="9275" xr:uid="{54783F20-34E5-4A58-80AE-EC7CC69A89C9}"/>
    <cellStyle name="Currency 5 5 3 4 2" xfId="18591" xr:uid="{FADD8BD3-E75F-4328-ABC1-C82319AFC3CD}"/>
    <cellStyle name="Currency 5 5 3 5" xfId="19483" xr:uid="{8A45B577-F107-467E-8DFA-65596CEEFE4A}"/>
    <cellStyle name="Currency 5 5 3 6" xfId="27930" xr:uid="{314DAE9F-BD2D-4376-B467-0BE0547C17E2}"/>
    <cellStyle name="Currency 5 5 3 7" xfId="36377" xr:uid="{05F998C0-EF41-4CE7-A06A-26B3A164745F}"/>
    <cellStyle name="Currency 5 5 3 8" xfId="10183" xr:uid="{2E429E56-5741-4804-8E24-00A29D2DFAE6}"/>
    <cellStyle name="Currency 5 5 4" xfId="1179" xr:uid="{00000000-0005-0000-0000-0000580D0000}"/>
    <cellStyle name="Currency 5 5 4 2" xfId="3410" xr:uid="{00000000-0005-0000-0000-0000590D0000}"/>
    <cellStyle name="Currency 5 5 4 2 2" xfId="7632" xr:uid="{00000000-0005-0000-0000-00005A0D0000}"/>
    <cellStyle name="Currency 5 5 4 2 2 2" xfId="26258" xr:uid="{134C3DF5-23F4-4FD6-8DA8-71772B7B5833}"/>
    <cellStyle name="Currency 5 5 4 2 2 3" xfId="34705" xr:uid="{DFFB68F9-E8FD-4FD0-87C8-0DF1AED68785}"/>
    <cellStyle name="Currency 5 5 4 2 2 4" xfId="43152" xr:uid="{6F9CE094-673A-417E-9562-BEF641A94051}"/>
    <cellStyle name="Currency 5 5 4 2 2 5" xfId="16958" xr:uid="{95435BD3-D90C-4E59-8D8E-FA8E036655C2}"/>
    <cellStyle name="Currency 5 5 4 2 3" xfId="22041" xr:uid="{6962D012-1352-4CBD-8951-9B2F5DAE7F02}"/>
    <cellStyle name="Currency 5 5 4 2 4" xfId="30488" xr:uid="{626FCB7A-0BA0-4F2E-86F2-6DCBC05F99D3}"/>
    <cellStyle name="Currency 5 5 4 2 5" xfId="38935" xr:uid="{D87C5302-1818-4C8E-8C14-3634DE4C0E79}"/>
    <cellStyle name="Currency 5 5 4 2 6" xfId="12741" xr:uid="{CCE5629D-64FF-433C-AFA3-36DF14C9D719}"/>
    <cellStyle name="Currency 5 5 4 3" xfId="5487" xr:uid="{00000000-0005-0000-0000-00005B0D0000}"/>
    <cellStyle name="Currency 5 5 4 3 2" xfId="24113" xr:uid="{8F3E23FF-36D0-498D-9AE2-6F3C6E29456C}"/>
    <cellStyle name="Currency 5 5 4 3 3" xfId="32560" xr:uid="{8B32C3D6-F876-4506-8257-6AA4E690990F}"/>
    <cellStyle name="Currency 5 5 4 3 4" xfId="41007" xr:uid="{71660204-CC96-498E-A7E9-3F2118026B31}"/>
    <cellStyle name="Currency 5 5 4 3 5" xfId="14813" xr:uid="{FB0FA2E8-4573-4302-A942-6F58D781DA7F}"/>
    <cellStyle name="Currency 5 5 4 4" xfId="19896" xr:uid="{8891D482-2399-454D-AB7B-9F7B25C7C9F1}"/>
    <cellStyle name="Currency 5 5 4 5" xfId="28343" xr:uid="{4EBEFA54-C5CB-4C83-BD23-F202C9A64DD3}"/>
    <cellStyle name="Currency 5 5 4 6" xfId="36790" xr:uid="{5D0FB8EA-BB57-4C55-9D99-679EE253179F}"/>
    <cellStyle name="Currency 5 5 4 7" xfId="10596" xr:uid="{6114BA98-6023-4B05-B113-D8FFF55E4BF3}"/>
    <cellStyle name="Currency 5 5 5" xfId="1593" xr:uid="{00000000-0005-0000-0000-00005C0D0000}"/>
    <cellStyle name="Currency 5 5 5 2" xfId="3823" xr:uid="{00000000-0005-0000-0000-00005D0D0000}"/>
    <cellStyle name="Currency 5 5 5 2 2" xfId="8045" xr:uid="{00000000-0005-0000-0000-00005E0D0000}"/>
    <cellStyle name="Currency 5 5 5 2 2 2" xfId="26671" xr:uid="{7ECB7C69-4EEB-4379-B535-73C079F8E8B4}"/>
    <cellStyle name="Currency 5 5 5 2 2 3" xfId="35118" xr:uid="{5D6F4EE3-EFAF-4C68-A2BD-2D39BF0FEBFC}"/>
    <cellStyle name="Currency 5 5 5 2 2 4" xfId="43565" xr:uid="{01B4DBF1-AB15-4110-BD91-CF378C338FE4}"/>
    <cellStyle name="Currency 5 5 5 2 2 5" xfId="17371" xr:uid="{112F2643-DDCA-4FA0-9280-3F8D2B77E853}"/>
    <cellStyle name="Currency 5 5 5 2 3" xfId="22454" xr:uid="{0E12FAC1-222D-4946-95EB-29453EA76182}"/>
    <cellStyle name="Currency 5 5 5 2 4" xfId="30901" xr:uid="{324C11E8-C095-4D4B-AF56-1E5296FBE6DB}"/>
    <cellStyle name="Currency 5 5 5 2 5" xfId="39348" xr:uid="{E0F2E2DA-0A82-454F-8113-B90D0FE3E46D}"/>
    <cellStyle name="Currency 5 5 5 2 6" xfId="13154" xr:uid="{08AA4945-86A3-45D9-83D8-E835DBBC9242}"/>
    <cellStyle name="Currency 5 5 5 3" xfId="5900" xr:uid="{00000000-0005-0000-0000-00005F0D0000}"/>
    <cellStyle name="Currency 5 5 5 3 2" xfId="24526" xr:uid="{09DBD38F-82A9-4A4A-8F7C-267A54618B4D}"/>
    <cellStyle name="Currency 5 5 5 3 3" xfId="32973" xr:uid="{ABB7BD6D-6B35-4E75-A5A8-8FA83FCE7BBD}"/>
    <cellStyle name="Currency 5 5 5 3 4" xfId="41420" xr:uid="{E87D6BAD-5980-4181-B3AD-0815DD31CAE3}"/>
    <cellStyle name="Currency 5 5 5 3 5" xfId="15226" xr:uid="{E729DF52-B7CE-42C6-A99C-83B24BBCB7A7}"/>
    <cellStyle name="Currency 5 5 5 4" xfId="20309" xr:uid="{7CAFB97D-A266-4775-AB4A-B13A84CBFF5C}"/>
    <cellStyle name="Currency 5 5 5 5" xfId="28756" xr:uid="{74380852-1E57-432A-BAAA-3A0A61C9C816}"/>
    <cellStyle name="Currency 5 5 5 6" xfId="37203" xr:uid="{8718021B-8388-4710-A086-9F40EC555561}"/>
    <cellStyle name="Currency 5 5 5 7" xfId="11009" xr:uid="{A6EEDE2D-FEA9-4A51-9861-D82406C36761}"/>
    <cellStyle name="Currency 5 5 6" xfId="2007" xr:uid="{00000000-0005-0000-0000-0000600D0000}"/>
    <cellStyle name="Currency 5 5 6 2" xfId="4236" xr:uid="{00000000-0005-0000-0000-0000610D0000}"/>
    <cellStyle name="Currency 5 5 6 2 2" xfId="8458" xr:uid="{00000000-0005-0000-0000-0000620D0000}"/>
    <cellStyle name="Currency 5 5 6 2 2 2" xfId="27084" xr:uid="{FB1177DC-0F75-4071-A81B-538F36607C0D}"/>
    <cellStyle name="Currency 5 5 6 2 2 3" xfId="35531" xr:uid="{A1008A19-2638-4FD5-85BB-20413B5B3D85}"/>
    <cellStyle name="Currency 5 5 6 2 2 4" xfId="43978" xr:uid="{EE563E4F-F6CA-46B7-AC6D-A5F1C67350F9}"/>
    <cellStyle name="Currency 5 5 6 2 2 5" xfId="17784" xr:uid="{E4D4C64E-4025-4A1F-995F-EA28196720A0}"/>
    <cellStyle name="Currency 5 5 6 2 3" xfId="22867" xr:uid="{79404B83-5978-45AF-8F4E-5FC961BAA5C7}"/>
    <cellStyle name="Currency 5 5 6 2 4" xfId="31314" xr:uid="{01BC3BBB-00F8-410B-904D-6169CA7A15C7}"/>
    <cellStyle name="Currency 5 5 6 2 5" xfId="39761" xr:uid="{5C2E5159-DFA5-4CDD-952D-35E632165797}"/>
    <cellStyle name="Currency 5 5 6 2 6" xfId="13567" xr:uid="{13990C4C-9D35-4A5E-981F-ED91445D7853}"/>
    <cellStyle name="Currency 5 5 6 3" xfId="6313" xr:uid="{00000000-0005-0000-0000-0000630D0000}"/>
    <cellStyle name="Currency 5 5 6 3 2" xfId="24939" xr:uid="{B77D1A92-FEA0-497B-AABF-FDADD67A51B4}"/>
    <cellStyle name="Currency 5 5 6 3 3" xfId="33386" xr:uid="{5B8ABCD5-C025-4673-B87E-8E4ADDD20359}"/>
    <cellStyle name="Currency 5 5 6 3 4" xfId="41833" xr:uid="{6D0A377C-E306-43AA-A06D-4E85F4BA84D1}"/>
    <cellStyle name="Currency 5 5 6 3 5" xfId="15639" xr:uid="{94038712-F867-4063-A4F3-1415EEA7C4D6}"/>
    <cellStyle name="Currency 5 5 6 4" xfId="20722" xr:uid="{FDFE2A42-CB36-488A-8E8B-BDA060D54E43}"/>
    <cellStyle name="Currency 5 5 6 5" xfId="29169" xr:uid="{7B2F03F7-7D21-4108-AAE4-804F78F2EC5F}"/>
    <cellStyle name="Currency 5 5 6 6" xfId="37616" xr:uid="{25E9BB1C-16A7-48F2-A5DD-41D1EF57F020}"/>
    <cellStyle name="Currency 5 5 6 7" xfId="11422" xr:uid="{18C53833-803B-442F-85E0-8023D57F3A95}"/>
    <cellStyle name="Currency 5 5 7" xfId="2442" xr:uid="{00000000-0005-0000-0000-0000640D0000}"/>
    <cellStyle name="Currency 5 5 7 2" xfId="6726" xr:uid="{00000000-0005-0000-0000-0000650D0000}"/>
    <cellStyle name="Currency 5 5 7 2 2" xfId="25352" xr:uid="{2BEFA18A-9687-4C20-9134-82C235D71D60}"/>
    <cellStyle name="Currency 5 5 7 2 3" xfId="33799" xr:uid="{9C1B368D-D401-4177-88C3-347097F4F6F4}"/>
    <cellStyle name="Currency 5 5 7 2 4" xfId="42246" xr:uid="{AF0356DF-1836-4616-B2B0-D9FDB3A89FDF}"/>
    <cellStyle name="Currency 5 5 7 2 5" xfId="16052" xr:uid="{9C3473E8-B4A6-4FDC-8721-7081A3C7F843}"/>
    <cellStyle name="Currency 5 5 7 3" xfId="21135" xr:uid="{DAA3241E-08A3-4371-BDCC-EEC98E86DCD5}"/>
    <cellStyle name="Currency 5 5 7 4" xfId="29582" xr:uid="{763D0F87-2D52-492D-A6D5-13D97E6D2A10}"/>
    <cellStyle name="Currency 5 5 7 5" xfId="38029" xr:uid="{25BA3D12-CF16-44CF-A9DB-FF46E396020D}"/>
    <cellStyle name="Currency 5 5 7 6" xfId="11835" xr:uid="{E114F5DD-49F6-42C9-A82E-CAE22268E100}"/>
    <cellStyle name="Currency 5 5 8" xfId="2739" xr:uid="{00000000-0005-0000-0000-0000660D0000}"/>
    <cellStyle name="Currency 5 5 9" xfId="2820" xr:uid="{00000000-0005-0000-0000-0000670D0000}"/>
    <cellStyle name="Currency 5 5 9 2" xfId="7043" xr:uid="{00000000-0005-0000-0000-0000680D0000}"/>
    <cellStyle name="Currency 5 5 9 2 2" xfId="25669" xr:uid="{03A813A9-1B95-4040-BA82-3DBF5CD99CA4}"/>
    <cellStyle name="Currency 5 5 9 2 3" xfId="34116" xr:uid="{CE60A1B4-32AD-46AE-BB40-AEA618E4DAB0}"/>
    <cellStyle name="Currency 5 5 9 2 4" xfId="42563" xr:uid="{DBA6F88A-2C58-4CEF-B61B-36C4A3A42549}"/>
    <cellStyle name="Currency 5 5 9 2 5" xfId="16369" xr:uid="{C86E3C5C-4DC5-4711-940F-ECEFE9FE63C7}"/>
    <cellStyle name="Currency 5 5 9 3" xfId="21452" xr:uid="{55D9A301-EF15-462C-AF0C-3E3CE6360901}"/>
    <cellStyle name="Currency 5 5 9 4" xfId="29899" xr:uid="{1D8B2793-4745-4C75-94B6-83049AD57605}"/>
    <cellStyle name="Currency 5 5 9 5" xfId="38346" xr:uid="{B457E7B9-DA66-4199-90BB-3BB4C3F0AD37}"/>
    <cellStyle name="Currency 5 5 9 6" xfId="12152" xr:uid="{3D47DE71-38FE-46A5-9DC7-0F96ABEFEAD9}"/>
    <cellStyle name="Currency 5 6" xfId="221" xr:uid="{00000000-0005-0000-0000-0000690D0000}"/>
    <cellStyle name="Currency 5 6 10" xfId="8966" xr:uid="{EC95BD1E-EAA8-4043-BDA7-06F3BBDBC3D5}"/>
    <cellStyle name="Currency 5 6 10 2" xfId="18290" xr:uid="{2D4B8776-204C-49FF-973F-D77A93269977}"/>
    <cellStyle name="Currency 5 6 11" xfId="19071" xr:uid="{DBB5AE6D-C526-4498-B0D0-65E071276CE2}"/>
    <cellStyle name="Currency 5 6 12" xfId="27518" xr:uid="{74ACC1AD-6BED-411F-9B27-C9B7B45CDFD1}"/>
    <cellStyle name="Currency 5 6 13" xfId="35965" xr:uid="{4DCD4059-A0B0-4C33-8362-85B62463B3E7}"/>
    <cellStyle name="Currency 5 6 14" xfId="9771" xr:uid="{8D157904-8961-43FF-950C-E6D57B4CF2D3}"/>
    <cellStyle name="Currency 5 6 2" xfId="747" xr:uid="{00000000-0005-0000-0000-00006A0D0000}"/>
    <cellStyle name="Currency 5 6 2 2" xfId="2999" xr:uid="{00000000-0005-0000-0000-00006B0D0000}"/>
    <cellStyle name="Currency 5 6 2 2 2" xfId="7221" xr:uid="{00000000-0005-0000-0000-00006C0D0000}"/>
    <cellStyle name="Currency 5 6 2 2 2 2" xfId="25847" xr:uid="{EEDDACC3-5E59-4CB4-AB0D-BD4B3443FB1C}"/>
    <cellStyle name="Currency 5 6 2 2 2 3" xfId="34294" xr:uid="{D4BE658F-786C-416B-A2E0-FD04A3DB78EC}"/>
    <cellStyle name="Currency 5 6 2 2 2 4" xfId="42741" xr:uid="{E7D742FC-8E93-462C-9070-84404BD7EC0D}"/>
    <cellStyle name="Currency 5 6 2 2 2 5" xfId="16547" xr:uid="{D059D91C-629E-423F-915C-186A53F44212}"/>
    <cellStyle name="Currency 5 6 2 2 3" xfId="21630" xr:uid="{52646E5B-BCD3-4E3C-89CD-0BB78965A446}"/>
    <cellStyle name="Currency 5 6 2 2 4" xfId="30077" xr:uid="{7741FDE9-5700-40F3-AE5D-2C2EEEB99D7D}"/>
    <cellStyle name="Currency 5 6 2 2 5" xfId="38524" xr:uid="{9097D0C7-48BD-4C58-A070-A0234FB19A0A}"/>
    <cellStyle name="Currency 5 6 2 2 6" xfId="12330" xr:uid="{6C8E4175-C283-411D-8D8A-C567D3C2719D}"/>
    <cellStyle name="Currency 5 6 2 3" xfId="5076" xr:uid="{00000000-0005-0000-0000-00006D0D0000}"/>
    <cellStyle name="Currency 5 6 2 3 2" xfId="23702" xr:uid="{D41D6E01-26FF-4B88-8509-33D241591F9C}"/>
    <cellStyle name="Currency 5 6 2 3 3" xfId="32149" xr:uid="{95B714E0-CAE4-4C94-98F1-508A164A51CB}"/>
    <cellStyle name="Currency 5 6 2 3 4" xfId="40596" xr:uid="{9371C937-93C2-42A5-9BC0-E1C5DCE4FDC3}"/>
    <cellStyle name="Currency 5 6 2 3 5" xfId="14402" xr:uid="{B22B2184-8CFE-4C4C-9388-802508B335AC}"/>
    <cellStyle name="Currency 5 6 2 4" xfId="9391" xr:uid="{8CBF3F74-51EC-4402-B96A-0759E6537FC7}"/>
    <cellStyle name="Currency 5 6 2 4 2" xfId="18707" xr:uid="{3D2C522E-48FE-419B-B173-B3A16C59900F}"/>
    <cellStyle name="Currency 5 6 2 5" xfId="19485" xr:uid="{25E3AF1E-DC8C-44B7-AF8A-D22F58239262}"/>
    <cellStyle name="Currency 5 6 2 6" xfId="27932" xr:uid="{89D05EA1-7652-48F8-924D-E94A3E28FF33}"/>
    <cellStyle name="Currency 5 6 2 7" xfId="36379" xr:uid="{C4B15BB5-9EE6-4A61-8AA2-0A937189F255}"/>
    <cellStyle name="Currency 5 6 2 8" xfId="10185" xr:uid="{B80A3A16-780F-4957-9BB0-128DBE4D92D9}"/>
    <cellStyle name="Currency 5 6 3" xfId="1181" xr:uid="{00000000-0005-0000-0000-00006E0D0000}"/>
    <cellStyle name="Currency 5 6 3 2" xfId="3412" xr:uid="{00000000-0005-0000-0000-00006F0D0000}"/>
    <cellStyle name="Currency 5 6 3 2 2" xfId="7634" xr:uid="{00000000-0005-0000-0000-0000700D0000}"/>
    <cellStyle name="Currency 5 6 3 2 2 2" xfId="26260" xr:uid="{45A12FC0-AC4D-4D0B-B681-F2708BDBFB31}"/>
    <cellStyle name="Currency 5 6 3 2 2 3" xfId="34707" xr:uid="{F5732B4C-CF1D-4049-A92A-11C8D69E2774}"/>
    <cellStyle name="Currency 5 6 3 2 2 4" xfId="43154" xr:uid="{01F4671F-5A7A-4F95-99B4-A7905EA4E698}"/>
    <cellStyle name="Currency 5 6 3 2 2 5" xfId="16960" xr:uid="{3139900C-0EAB-4F53-82FB-518B99D2373E}"/>
    <cellStyle name="Currency 5 6 3 2 3" xfId="22043" xr:uid="{7CD7771A-E514-4B36-AA30-6BB0F8AFF48E}"/>
    <cellStyle name="Currency 5 6 3 2 4" xfId="30490" xr:uid="{0403D957-4F7F-4E17-B7D1-A5BDFC78B039}"/>
    <cellStyle name="Currency 5 6 3 2 5" xfId="38937" xr:uid="{4E04FF13-D3D8-40E2-9B59-7B45916241C5}"/>
    <cellStyle name="Currency 5 6 3 2 6" xfId="12743" xr:uid="{4CF3D581-1153-4B01-8333-136175A3D884}"/>
    <cellStyle name="Currency 5 6 3 3" xfId="5489" xr:uid="{00000000-0005-0000-0000-0000710D0000}"/>
    <cellStyle name="Currency 5 6 3 3 2" xfId="24115" xr:uid="{6063E4E0-7731-4321-8C1D-D71E9FE841FC}"/>
    <cellStyle name="Currency 5 6 3 3 3" xfId="32562" xr:uid="{423381C9-1CF7-43BB-870B-638741EE99CC}"/>
    <cellStyle name="Currency 5 6 3 3 4" xfId="41009" xr:uid="{23682CDC-2746-44A9-8D71-A91CC1561FE5}"/>
    <cellStyle name="Currency 5 6 3 3 5" xfId="14815" xr:uid="{3FC0A145-888E-4623-95F8-C960081C35F8}"/>
    <cellStyle name="Currency 5 6 3 4" xfId="19898" xr:uid="{1FCC988F-2533-486A-97DB-45C6E1C41F1F}"/>
    <cellStyle name="Currency 5 6 3 5" xfId="28345" xr:uid="{9F99B263-917F-487D-949B-A04545077034}"/>
    <cellStyle name="Currency 5 6 3 6" xfId="36792" xr:uid="{D4381737-01CC-4369-B9C8-C721BA82148E}"/>
    <cellStyle name="Currency 5 6 3 7" xfId="10598" xr:uid="{6FC1DF67-219F-40CB-932A-E66408773D1A}"/>
    <cellStyle name="Currency 5 6 4" xfId="1595" xr:uid="{00000000-0005-0000-0000-0000720D0000}"/>
    <cellStyle name="Currency 5 6 4 2" xfId="3825" xr:uid="{00000000-0005-0000-0000-0000730D0000}"/>
    <cellStyle name="Currency 5 6 4 2 2" xfId="8047" xr:uid="{00000000-0005-0000-0000-0000740D0000}"/>
    <cellStyle name="Currency 5 6 4 2 2 2" xfId="26673" xr:uid="{C46970F9-EF5A-417A-BD8E-D10122AFB941}"/>
    <cellStyle name="Currency 5 6 4 2 2 3" xfId="35120" xr:uid="{70DBBFA0-B88A-4D10-9CFA-B1FDBF381084}"/>
    <cellStyle name="Currency 5 6 4 2 2 4" xfId="43567" xr:uid="{F0BF1696-37AB-45EA-B9DC-1ECCFAFBEB92}"/>
    <cellStyle name="Currency 5 6 4 2 2 5" xfId="17373" xr:uid="{4ABCA4C6-EBA9-4ACC-A67F-17DAB1587AE2}"/>
    <cellStyle name="Currency 5 6 4 2 3" xfId="22456" xr:uid="{4545C249-C66A-483C-87EE-D7E12AB91B6F}"/>
    <cellStyle name="Currency 5 6 4 2 4" xfId="30903" xr:uid="{D6127C3F-D127-4A25-9B6C-82A3AD125334}"/>
    <cellStyle name="Currency 5 6 4 2 5" xfId="39350" xr:uid="{D72B5BEC-C1AC-4B22-9297-698C68CA756B}"/>
    <cellStyle name="Currency 5 6 4 2 6" xfId="13156" xr:uid="{1B4EBA4F-8AE4-4C96-A369-BC4930443D8D}"/>
    <cellStyle name="Currency 5 6 4 3" xfId="5902" xr:uid="{00000000-0005-0000-0000-0000750D0000}"/>
    <cellStyle name="Currency 5 6 4 3 2" xfId="24528" xr:uid="{E2F1BB54-A043-4319-BDE1-C982D4EC09D5}"/>
    <cellStyle name="Currency 5 6 4 3 3" xfId="32975" xr:uid="{9D57427A-10CF-4E35-B2F4-01387AB71D5D}"/>
    <cellStyle name="Currency 5 6 4 3 4" xfId="41422" xr:uid="{108F208C-76AC-43F6-9842-82D2CD60454B}"/>
    <cellStyle name="Currency 5 6 4 3 5" xfId="15228" xr:uid="{3EE04052-91B6-4DB5-9BEE-0150070C1655}"/>
    <cellStyle name="Currency 5 6 4 4" xfId="20311" xr:uid="{3F0B8DC7-384D-465B-86CE-F53ED5E50D7A}"/>
    <cellStyle name="Currency 5 6 4 5" xfId="28758" xr:uid="{647035E8-9909-41C4-A4D8-8AFF9BF09495}"/>
    <cellStyle name="Currency 5 6 4 6" xfId="37205" xr:uid="{CB4FC703-BDED-4D7E-A4A4-382938A49E1A}"/>
    <cellStyle name="Currency 5 6 4 7" xfId="11011" xr:uid="{3627CA1B-A4C1-4E6D-A06C-D428D1F73075}"/>
    <cellStyle name="Currency 5 6 5" xfId="2009" xr:uid="{00000000-0005-0000-0000-0000760D0000}"/>
    <cellStyle name="Currency 5 6 5 2" xfId="4238" xr:uid="{00000000-0005-0000-0000-0000770D0000}"/>
    <cellStyle name="Currency 5 6 5 2 2" xfId="8460" xr:uid="{00000000-0005-0000-0000-0000780D0000}"/>
    <cellStyle name="Currency 5 6 5 2 2 2" xfId="27086" xr:uid="{2A034B5A-6C23-4641-A79A-859B1AC562D8}"/>
    <cellStyle name="Currency 5 6 5 2 2 3" xfId="35533" xr:uid="{80E17C63-C3B6-47EF-BC32-3F69685D04B7}"/>
    <cellStyle name="Currency 5 6 5 2 2 4" xfId="43980" xr:uid="{4EAF10FC-0BD7-4F79-AC06-AA08BBC9FDE4}"/>
    <cellStyle name="Currency 5 6 5 2 2 5" xfId="17786" xr:uid="{F019B399-5D09-452F-B1F9-970393DF1B0F}"/>
    <cellStyle name="Currency 5 6 5 2 3" xfId="22869" xr:uid="{F46C35D4-DC13-4FCF-860E-C2D29C9D2975}"/>
    <cellStyle name="Currency 5 6 5 2 4" xfId="31316" xr:uid="{6A8A9642-4C2F-47C8-8CB9-96C61385CEED}"/>
    <cellStyle name="Currency 5 6 5 2 5" xfId="39763" xr:uid="{94358C5A-BA95-401D-B5E7-D71BAAAB81B5}"/>
    <cellStyle name="Currency 5 6 5 2 6" xfId="13569" xr:uid="{FB2EC728-05AE-4C2B-8B1F-5668C6AE644A}"/>
    <cellStyle name="Currency 5 6 5 3" xfId="6315" xr:uid="{00000000-0005-0000-0000-0000790D0000}"/>
    <cellStyle name="Currency 5 6 5 3 2" xfId="24941" xr:uid="{F6136B56-FCCC-4AFD-855B-9399C85E8845}"/>
    <cellStyle name="Currency 5 6 5 3 3" xfId="33388" xr:uid="{2EDAE5C3-C952-4681-8D6E-096BFE2752D3}"/>
    <cellStyle name="Currency 5 6 5 3 4" xfId="41835" xr:uid="{902115E2-8E73-4FA0-B837-092A920B3180}"/>
    <cellStyle name="Currency 5 6 5 3 5" xfId="15641" xr:uid="{C1464031-FAED-4B0D-AB16-9340FB9CF05A}"/>
    <cellStyle name="Currency 5 6 5 4" xfId="20724" xr:uid="{E92696EB-FC74-4E1F-B526-9390E3484B38}"/>
    <cellStyle name="Currency 5 6 5 5" xfId="29171" xr:uid="{0FEDD72C-D612-4A4B-B10F-008E72ABD90E}"/>
    <cellStyle name="Currency 5 6 5 6" xfId="37618" xr:uid="{4F94644B-6F43-45C3-9CF9-F0A2E33E7F9D}"/>
    <cellStyle name="Currency 5 6 5 7" xfId="11424" xr:uid="{45592850-A441-45F5-8E15-B22B3153C0A8}"/>
    <cellStyle name="Currency 5 6 6" xfId="2444" xr:uid="{00000000-0005-0000-0000-00007A0D0000}"/>
    <cellStyle name="Currency 5 6 6 2" xfId="6728" xr:uid="{00000000-0005-0000-0000-00007B0D0000}"/>
    <cellStyle name="Currency 5 6 6 2 2" xfId="25354" xr:uid="{1B032BF3-9E78-4F38-B4D4-FCE58C3F3912}"/>
    <cellStyle name="Currency 5 6 6 2 3" xfId="33801" xr:uid="{CA34FFB0-31F1-40D9-91F2-2DAD810E1705}"/>
    <cellStyle name="Currency 5 6 6 2 4" xfId="42248" xr:uid="{EB174EC9-7E31-4407-9BFE-DC2ADF8AC7D8}"/>
    <cellStyle name="Currency 5 6 6 2 5" xfId="16054" xr:uid="{6A0C1372-F4E9-4769-8789-5E3B228FBD9E}"/>
    <cellStyle name="Currency 5 6 6 3" xfId="21137" xr:uid="{C25B6C4F-83DD-4255-9CA1-B45303AE8841}"/>
    <cellStyle name="Currency 5 6 6 4" xfId="29584" xr:uid="{EAA82E9C-61FD-45E8-B85C-E1AA2FA97A38}"/>
    <cellStyle name="Currency 5 6 6 5" xfId="38031" xr:uid="{B3F003D3-9140-428F-82D1-19AAB138F077}"/>
    <cellStyle name="Currency 5 6 6 6" xfId="11837" xr:uid="{468C5DAC-92E4-41E7-9CD2-D3D912C258CA}"/>
    <cellStyle name="Currency 5 6 7" xfId="2741" xr:uid="{00000000-0005-0000-0000-00007C0D0000}"/>
    <cellStyle name="Currency 5 6 8" xfId="2822" xr:uid="{00000000-0005-0000-0000-00007D0D0000}"/>
    <cellStyle name="Currency 5 6 8 2" xfId="7045" xr:uid="{00000000-0005-0000-0000-00007E0D0000}"/>
    <cellStyle name="Currency 5 6 8 2 2" xfId="25671" xr:uid="{A62CD998-8DF4-4275-A398-FA4F0BE3F522}"/>
    <cellStyle name="Currency 5 6 8 2 3" xfId="34118" xr:uid="{DA73B72A-2781-44C8-9217-520A9A343164}"/>
    <cellStyle name="Currency 5 6 8 2 4" xfId="42565" xr:uid="{3AD5C81C-710E-460F-89FF-23D5EC5FA055}"/>
    <cellStyle name="Currency 5 6 8 2 5" xfId="16371" xr:uid="{746A2A12-8E83-409B-8E37-C36104CB2E13}"/>
    <cellStyle name="Currency 5 6 8 3" xfId="21454" xr:uid="{B400DC3C-0605-4C13-BC37-3BF916173ABF}"/>
    <cellStyle name="Currency 5 6 8 4" xfId="29901" xr:uid="{6A2E8508-AB73-4A1B-BFCE-84F0076461F3}"/>
    <cellStyle name="Currency 5 6 8 5" xfId="38348" xr:uid="{7C568ACC-6CE5-4EA9-B359-DC7D1E7F167F}"/>
    <cellStyle name="Currency 5 6 8 6" xfId="12154" xr:uid="{D410FB1B-8E7E-45FA-8A1B-9129FD379E54}"/>
    <cellStyle name="Currency 5 6 9" xfId="4662" xr:uid="{00000000-0005-0000-0000-00007F0D0000}"/>
    <cellStyle name="Currency 5 6 9 2" xfId="23288" xr:uid="{9E83893F-6978-46AA-87FE-A5A0CE135A6B}"/>
    <cellStyle name="Currency 5 6 9 3" xfId="31735" xr:uid="{ECBCF1AD-2484-442D-A5C1-489585AC39BC}"/>
    <cellStyle name="Currency 5 6 9 4" xfId="40182" xr:uid="{40DFBE0A-7738-43A0-A1FC-70801CA96AF4}"/>
    <cellStyle name="Currency 5 6 9 5" xfId="13988" xr:uid="{6D242BD7-D482-4424-887C-B29A0020A5BF}"/>
    <cellStyle name="Currency 5 7" xfId="222" xr:uid="{00000000-0005-0000-0000-0000800D0000}"/>
    <cellStyle name="Currency 5 7 10" xfId="9169" xr:uid="{7A886DE7-136A-429E-90E2-A7C712D111D8}"/>
    <cellStyle name="Currency 5 7 10 2" xfId="18488" xr:uid="{998EF97E-CE27-4B9D-9F42-9ED1B67C936D}"/>
    <cellStyle name="Currency 5 7 11" xfId="19072" xr:uid="{4747E4E9-C1F6-41A8-8EBF-5F9D888C45A9}"/>
    <cellStyle name="Currency 5 7 12" xfId="27519" xr:uid="{EBD90C16-FB0B-43A7-8617-3B0A114446F9}"/>
    <cellStyle name="Currency 5 7 13" xfId="35966" xr:uid="{B1ED9618-46A8-4283-B8F6-45AA259EE9E4}"/>
    <cellStyle name="Currency 5 7 14" xfId="9772" xr:uid="{A84BAC8C-7681-4D97-865E-45BAA72CE992}"/>
    <cellStyle name="Currency 5 7 2" xfId="748" xr:uid="{00000000-0005-0000-0000-0000810D0000}"/>
    <cellStyle name="Currency 5 7 2 2" xfId="3000" xr:uid="{00000000-0005-0000-0000-0000820D0000}"/>
    <cellStyle name="Currency 5 7 2 2 2" xfId="7222" xr:uid="{00000000-0005-0000-0000-0000830D0000}"/>
    <cellStyle name="Currency 5 7 2 2 2 2" xfId="25848" xr:uid="{3FF149F1-CA52-4112-9492-B203A5FF7EC7}"/>
    <cellStyle name="Currency 5 7 2 2 2 3" xfId="34295" xr:uid="{7D4AED1F-65F9-4878-AC57-306EDF0C3088}"/>
    <cellStyle name="Currency 5 7 2 2 2 4" xfId="42742" xr:uid="{243F050D-81A4-4053-BB2D-01486EF62516}"/>
    <cellStyle name="Currency 5 7 2 2 2 5" xfId="16548" xr:uid="{0A830CEE-D208-41FD-8F75-6EC7036D92DA}"/>
    <cellStyle name="Currency 5 7 2 2 3" xfId="21631" xr:uid="{86620848-14D0-418E-B536-7B1848DFBF07}"/>
    <cellStyle name="Currency 5 7 2 2 4" xfId="30078" xr:uid="{457D9F2D-7B19-4A36-876C-9E8297E493B8}"/>
    <cellStyle name="Currency 5 7 2 2 5" xfId="38525" xr:uid="{7CFF9C41-07EB-4E44-AEE3-E96725613990}"/>
    <cellStyle name="Currency 5 7 2 2 6" xfId="12331" xr:uid="{4B2C10C2-B989-4AE1-846A-3758D31E9C3C}"/>
    <cellStyle name="Currency 5 7 2 3" xfId="5077" xr:uid="{00000000-0005-0000-0000-0000840D0000}"/>
    <cellStyle name="Currency 5 7 2 3 2" xfId="23703" xr:uid="{3E71397D-6DE2-4DEA-A1B1-94FB8898C099}"/>
    <cellStyle name="Currency 5 7 2 3 3" xfId="32150" xr:uid="{94C5EFD5-CDDE-4F96-869D-615D85B1B7A2}"/>
    <cellStyle name="Currency 5 7 2 3 4" xfId="40597" xr:uid="{0EF1C09B-F9C5-4FB0-88F8-6526542D0B2F}"/>
    <cellStyle name="Currency 5 7 2 3 5" xfId="14403" xr:uid="{33A8327F-1C4D-4CA2-A424-251812A44013}"/>
    <cellStyle name="Currency 5 7 2 4" xfId="9601" xr:uid="{DC93A830-0AF1-4EC4-B764-C728922F3FEF}"/>
    <cellStyle name="Currency 5 7 2 4 2" xfId="18906" xr:uid="{1409639F-E06A-4FB8-8F21-E98F6F122D53}"/>
    <cellStyle name="Currency 5 7 2 5" xfId="19486" xr:uid="{DDF0DBE8-A7AA-4C27-A0C8-98704E8417AF}"/>
    <cellStyle name="Currency 5 7 2 6" xfId="27933" xr:uid="{4C9A6AD1-7244-40C2-87DD-A754BA640B30}"/>
    <cellStyle name="Currency 5 7 2 7" xfId="36380" xr:uid="{DDDC3243-DCD3-42B1-BD81-FB94E8D13D54}"/>
    <cellStyle name="Currency 5 7 2 8" xfId="10186" xr:uid="{16737F7B-8C0D-4592-BF35-9B2952430C90}"/>
    <cellStyle name="Currency 5 7 3" xfId="1182" xr:uid="{00000000-0005-0000-0000-0000850D0000}"/>
    <cellStyle name="Currency 5 7 3 2" xfId="3413" xr:uid="{00000000-0005-0000-0000-0000860D0000}"/>
    <cellStyle name="Currency 5 7 3 2 2" xfId="7635" xr:uid="{00000000-0005-0000-0000-0000870D0000}"/>
    <cellStyle name="Currency 5 7 3 2 2 2" xfId="26261" xr:uid="{0C7A55B6-F14A-4215-B383-6F452760BB73}"/>
    <cellStyle name="Currency 5 7 3 2 2 3" xfId="34708" xr:uid="{4BA7F441-451A-41C6-9D73-0E7AFE0A8FA4}"/>
    <cellStyle name="Currency 5 7 3 2 2 4" xfId="43155" xr:uid="{85E59B84-4FF1-47A8-9E73-8CC22CFE2F18}"/>
    <cellStyle name="Currency 5 7 3 2 2 5" xfId="16961" xr:uid="{C7396889-F057-48AF-A0C3-BF826C1DCF30}"/>
    <cellStyle name="Currency 5 7 3 2 3" xfId="22044" xr:uid="{BA314C93-C1A6-4AC6-9779-07B1FA641787}"/>
    <cellStyle name="Currency 5 7 3 2 4" xfId="30491" xr:uid="{01BEE8AF-4761-419B-B329-50398E3ECF8D}"/>
    <cellStyle name="Currency 5 7 3 2 5" xfId="38938" xr:uid="{9B9E3E2A-6A8F-410B-AE29-5D6801106674}"/>
    <cellStyle name="Currency 5 7 3 2 6" xfId="12744" xr:uid="{BBECFEE3-6A61-40B4-B696-640E1BA1784F}"/>
    <cellStyle name="Currency 5 7 3 3" xfId="5490" xr:uid="{00000000-0005-0000-0000-0000880D0000}"/>
    <cellStyle name="Currency 5 7 3 3 2" xfId="24116" xr:uid="{AD2D996E-4930-4336-B3CA-4D3F57B9D522}"/>
    <cellStyle name="Currency 5 7 3 3 3" xfId="32563" xr:uid="{D6D98D82-8AA6-45BF-A05B-5983201639F6}"/>
    <cellStyle name="Currency 5 7 3 3 4" xfId="41010" xr:uid="{11B2D780-C700-49CB-BF49-A6524251EE5A}"/>
    <cellStyle name="Currency 5 7 3 3 5" xfId="14816" xr:uid="{823A774B-EC80-43C4-A49F-43C2615A9C95}"/>
    <cellStyle name="Currency 5 7 3 4" xfId="19899" xr:uid="{305DA39B-AB77-417B-9ECF-4DF1D3D49E73}"/>
    <cellStyle name="Currency 5 7 3 5" xfId="28346" xr:uid="{3EBDEBA5-EFCF-4C81-83C0-4D4DF8360824}"/>
    <cellStyle name="Currency 5 7 3 6" xfId="36793" xr:uid="{658A827E-C6D5-4867-8D13-C6BD121B4518}"/>
    <cellStyle name="Currency 5 7 3 7" xfId="10599" xr:uid="{3217C3F9-88A7-4716-B09D-ED571C8175EB}"/>
    <cellStyle name="Currency 5 7 4" xfId="1596" xr:uid="{00000000-0005-0000-0000-0000890D0000}"/>
    <cellStyle name="Currency 5 7 4 2" xfId="3826" xr:uid="{00000000-0005-0000-0000-00008A0D0000}"/>
    <cellStyle name="Currency 5 7 4 2 2" xfId="8048" xr:uid="{00000000-0005-0000-0000-00008B0D0000}"/>
    <cellStyle name="Currency 5 7 4 2 2 2" xfId="26674" xr:uid="{CBDEC976-A025-4A6B-8E2B-83607405EE51}"/>
    <cellStyle name="Currency 5 7 4 2 2 3" xfId="35121" xr:uid="{562FD178-E6C7-4306-9098-21D4B7ADC44C}"/>
    <cellStyle name="Currency 5 7 4 2 2 4" xfId="43568" xr:uid="{263FFC51-1440-4632-BA0E-1456124432A2}"/>
    <cellStyle name="Currency 5 7 4 2 2 5" xfId="17374" xr:uid="{2B3144BD-F976-4E0B-91A6-79DD284E1594}"/>
    <cellStyle name="Currency 5 7 4 2 3" xfId="22457" xr:uid="{D5356700-F0F4-4F04-BE0C-CE6E5D07AC30}"/>
    <cellStyle name="Currency 5 7 4 2 4" xfId="30904" xr:uid="{00B80049-E57B-4FAB-B402-2C691EF511C9}"/>
    <cellStyle name="Currency 5 7 4 2 5" xfId="39351" xr:uid="{E8448FFF-AECC-47BC-A933-A245051526AD}"/>
    <cellStyle name="Currency 5 7 4 2 6" xfId="13157" xr:uid="{C4722CB1-DB46-4292-A2C3-DA16C685F184}"/>
    <cellStyle name="Currency 5 7 4 3" xfId="5903" xr:uid="{00000000-0005-0000-0000-00008C0D0000}"/>
    <cellStyle name="Currency 5 7 4 3 2" xfId="24529" xr:uid="{4A469EBA-F98E-48D6-97C6-A76F3470A781}"/>
    <cellStyle name="Currency 5 7 4 3 3" xfId="32976" xr:uid="{DE7A0B12-48F9-497B-B4AF-F8A2F3940D48}"/>
    <cellStyle name="Currency 5 7 4 3 4" xfId="41423" xr:uid="{8682BFA9-1199-4C78-B066-DFDAC32A6058}"/>
    <cellStyle name="Currency 5 7 4 3 5" xfId="15229" xr:uid="{C324832A-281A-456D-8F16-53A01A9DD590}"/>
    <cellStyle name="Currency 5 7 4 4" xfId="20312" xr:uid="{B260171C-ED30-47C2-8891-60325EAA6B82}"/>
    <cellStyle name="Currency 5 7 4 5" xfId="28759" xr:uid="{2B8B58AA-EAE3-4DEF-9316-9EAAA6D23F0C}"/>
    <cellStyle name="Currency 5 7 4 6" xfId="37206" xr:uid="{24560A95-EA25-4B81-856B-A7DE688C28E4}"/>
    <cellStyle name="Currency 5 7 4 7" xfId="11012" xr:uid="{39B8DD1C-DBB1-4926-9866-D337F6BC2E75}"/>
    <cellStyle name="Currency 5 7 5" xfId="2010" xr:uid="{00000000-0005-0000-0000-00008D0D0000}"/>
    <cellStyle name="Currency 5 7 5 2" xfId="4239" xr:uid="{00000000-0005-0000-0000-00008E0D0000}"/>
    <cellStyle name="Currency 5 7 5 2 2" xfId="8461" xr:uid="{00000000-0005-0000-0000-00008F0D0000}"/>
    <cellStyle name="Currency 5 7 5 2 2 2" xfId="27087" xr:uid="{ABA97677-729F-4D02-A138-3B37676468C7}"/>
    <cellStyle name="Currency 5 7 5 2 2 3" xfId="35534" xr:uid="{C98FE732-E95A-45F0-B9BF-E55EE1FEA513}"/>
    <cellStyle name="Currency 5 7 5 2 2 4" xfId="43981" xr:uid="{C9C1F108-5192-42E5-98FF-3C9895B44B87}"/>
    <cellStyle name="Currency 5 7 5 2 2 5" xfId="17787" xr:uid="{46ABF6B5-EECE-482F-A937-6B06F3C30D39}"/>
    <cellStyle name="Currency 5 7 5 2 3" xfId="22870" xr:uid="{323C107E-7092-4E2E-8EA9-689643D74A3F}"/>
    <cellStyle name="Currency 5 7 5 2 4" xfId="31317" xr:uid="{3FAE3470-EC6F-4063-9649-7BE2BEC6B887}"/>
    <cellStyle name="Currency 5 7 5 2 5" xfId="39764" xr:uid="{0A03EA40-CF60-4E8D-AF3C-D8AF56B0C850}"/>
    <cellStyle name="Currency 5 7 5 2 6" xfId="13570" xr:uid="{2AA0A36E-DBBB-4906-B5ED-298C5AF69622}"/>
    <cellStyle name="Currency 5 7 5 3" xfId="6316" xr:uid="{00000000-0005-0000-0000-0000900D0000}"/>
    <cellStyle name="Currency 5 7 5 3 2" xfId="24942" xr:uid="{EB73F603-FB66-45C4-8EA0-2AFB2868D00F}"/>
    <cellStyle name="Currency 5 7 5 3 3" xfId="33389" xr:uid="{23EB26C7-BB08-4F75-B524-AD69DD83980B}"/>
    <cellStyle name="Currency 5 7 5 3 4" xfId="41836" xr:uid="{C8CAF3C5-238B-478F-94D6-F4A37BBFAD19}"/>
    <cellStyle name="Currency 5 7 5 3 5" xfId="15642" xr:uid="{E2A72998-274F-4D57-AE98-B175A8B42EAB}"/>
    <cellStyle name="Currency 5 7 5 4" xfId="20725" xr:uid="{831FCB3A-359B-4599-A450-202E805FBEE7}"/>
    <cellStyle name="Currency 5 7 5 5" xfId="29172" xr:uid="{91E4B5D9-038E-42E2-9873-CB83D0B7533F}"/>
    <cellStyle name="Currency 5 7 5 6" xfId="37619" xr:uid="{85D088D3-D541-4473-A947-D45079CBF54C}"/>
    <cellStyle name="Currency 5 7 5 7" xfId="11425" xr:uid="{B9F72D72-44F0-4D64-9188-53EAA424B866}"/>
    <cellStyle name="Currency 5 7 6" xfId="2445" xr:uid="{00000000-0005-0000-0000-0000910D0000}"/>
    <cellStyle name="Currency 5 7 6 2" xfId="6729" xr:uid="{00000000-0005-0000-0000-0000920D0000}"/>
    <cellStyle name="Currency 5 7 6 2 2" xfId="25355" xr:uid="{35DD3CFD-8D68-4E18-A35E-D132AAF3C378}"/>
    <cellStyle name="Currency 5 7 6 2 3" xfId="33802" xr:uid="{119027AC-0448-4FBC-B154-0615825CD928}"/>
    <cellStyle name="Currency 5 7 6 2 4" xfId="42249" xr:uid="{4E3A46AA-3890-4138-87EA-7507BB79ED8F}"/>
    <cellStyle name="Currency 5 7 6 2 5" xfId="16055" xr:uid="{EE94AAF1-4A49-4172-998D-7763B7D1A6BC}"/>
    <cellStyle name="Currency 5 7 6 3" xfId="21138" xr:uid="{15ECFFA1-2B41-4A2D-B14F-7A39E9CC7409}"/>
    <cellStyle name="Currency 5 7 6 4" xfId="29585" xr:uid="{C0A55693-BD4D-4874-94C6-22B36C426DF7}"/>
    <cellStyle name="Currency 5 7 6 5" xfId="38032" xr:uid="{E1C6C5BE-DDCE-466A-B14C-47F9CC2E5D45}"/>
    <cellStyle name="Currency 5 7 6 6" xfId="11838" xr:uid="{F733D545-1B43-4948-9A7F-2A41CA8EEC4C}"/>
    <cellStyle name="Currency 5 7 7" xfId="2742" xr:uid="{00000000-0005-0000-0000-0000930D0000}"/>
    <cellStyle name="Currency 5 7 8" xfId="2823" xr:uid="{00000000-0005-0000-0000-0000940D0000}"/>
    <cellStyle name="Currency 5 7 8 2" xfId="7046" xr:uid="{00000000-0005-0000-0000-0000950D0000}"/>
    <cellStyle name="Currency 5 7 8 2 2" xfId="25672" xr:uid="{123349F3-C2FD-409A-BA5E-44A96B5F656A}"/>
    <cellStyle name="Currency 5 7 8 2 3" xfId="34119" xr:uid="{2F4C4A2C-D29D-4CA6-BCC9-76075FCF6B4E}"/>
    <cellStyle name="Currency 5 7 8 2 4" xfId="42566" xr:uid="{46C52F1D-D1FA-441E-BB4A-21A3097D9EBA}"/>
    <cellStyle name="Currency 5 7 8 2 5" xfId="16372" xr:uid="{24343C9F-8795-421F-942D-D3B5E2362A7E}"/>
    <cellStyle name="Currency 5 7 8 3" xfId="21455" xr:uid="{A6232D2C-C020-45A3-8A6A-7222C6ABD372}"/>
    <cellStyle name="Currency 5 7 8 4" xfId="29902" xr:uid="{B63E641D-C6CD-4768-A1AE-119A741F0036}"/>
    <cellStyle name="Currency 5 7 8 5" xfId="38349" xr:uid="{0E04EC27-92A6-4C26-B414-97DB82E267DA}"/>
    <cellStyle name="Currency 5 7 8 6" xfId="12155" xr:uid="{85B977E3-E1F0-4816-BA6F-8434C484A381}"/>
    <cellStyle name="Currency 5 7 9" xfId="4663" xr:uid="{00000000-0005-0000-0000-0000960D0000}"/>
    <cellStyle name="Currency 5 7 9 2" xfId="23289" xr:uid="{74A6A687-5888-4D0B-B7F5-7CAC66CF2BF2}"/>
    <cellStyle name="Currency 5 7 9 3" xfId="31736" xr:uid="{6EB6275A-87BD-4FD8-B094-0C49629F28B7}"/>
    <cellStyle name="Currency 5 7 9 4" xfId="40183" xr:uid="{3B4A3E7E-5720-4E85-BF57-8F58F2B81C15}"/>
    <cellStyle name="Currency 5 7 9 5" xfId="13989" xr:uid="{45995E62-AC1E-4310-A1E8-BA03396113A0}"/>
    <cellStyle name="Currency 5 8" xfId="721" xr:uid="{00000000-0005-0000-0000-0000970D0000}"/>
    <cellStyle name="Currency 5 9" xfId="8747" xr:uid="{CCFF1C6E-BA46-44B7-A8DD-B170160D04FF}"/>
    <cellStyle name="Currency 5 9 2" xfId="18071" xr:uid="{2C57AA52-F111-471C-8D59-38A57FDD13C7}"/>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0 2 2" xfId="25356" xr:uid="{3CACBB08-81A7-4062-B016-B0FB433E11DE}"/>
    <cellStyle name="Normal 12 10 2 3" xfId="33803" xr:uid="{1302CB39-BE3A-45D4-921D-850F50742728}"/>
    <cellStyle name="Normal 12 10 2 4" xfId="42250" xr:uid="{5154D0D8-FE9D-4504-8AC1-C5BCB64AB303}"/>
    <cellStyle name="Normal 12 10 2 5" xfId="16056" xr:uid="{A5AE9B70-8FA8-4818-8DB6-545D79173C19}"/>
    <cellStyle name="Normal 12 10 3" xfId="21139" xr:uid="{4C6A5868-4C74-46CA-96BA-42C17B54BB58}"/>
    <cellStyle name="Normal 12 10 4" xfId="29586" xr:uid="{B542F41C-D8D7-4F52-A24A-9D2B4634123C}"/>
    <cellStyle name="Normal 12 10 5" xfId="38033" xr:uid="{B353ADA5-FD1C-4D5D-BCC9-56FDCB486A78}"/>
    <cellStyle name="Normal 12 10 6" xfId="11839" xr:uid="{D9597F4B-6B2B-4BAF-B8EE-833F373EE65E}"/>
    <cellStyle name="Normal 12 11" xfId="4664" xr:uid="{00000000-0005-0000-0000-0000CC0D0000}"/>
    <cellStyle name="Normal 12 11 2" xfId="23290" xr:uid="{E4A79909-EF46-4C56-AF31-AF1D03A22D49}"/>
    <cellStyle name="Normal 12 11 3" xfId="31737" xr:uid="{4C7BB94C-4173-4641-89E7-F7B4F865AF8A}"/>
    <cellStyle name="Normal 12 11 4" xfId="40184" xr:uid="{74639122-EC06-47AF-8013-82DF2284D332}"/>
    <cellStyle name="Normal 12 11 5" xfId="13990" xr:uid="{4327BCAF-FC48-46EA-A700-A55353272075}"/>
    <cellStyle name="Normal 12 12" xfId="8770" xr:uid="{16E7F001-A88D-4413-825E-78352A31064A}"/>
    <cellStyle name="Normal 12 12 2" xfId="18094" xr:uid="{AD14D1C3-53C0-4F99-8255-49AFF428F7C4}"/>
    <cellStyle name="Normal 12 13" xfId="19073" xr:uid="{B579ECBA-7E20-4A55-BAB7-5CAE2CAE1E23}"/>
    <cellStyle name="Normal 12 14" xfId="27520" xr:uid="{07984887-B274-4D40-AAE4-1DB1D70D0310}"/>
    <cellStyle name="Normal 12 15" xfId="35967" xr:uid="{F5483651-ED3C-41A0-991D-517616521880}"/>
    <cellStyle name="Normal 12 16" xfId="9773" xr:uid="{ACB26238-9202-4A5D-9239-81A8885A415F}"/>
    <cellStyle name="Normal 12 2" xfId="260" xr:uid="{00000000-0005-0000-0000-0000CD0D0000}"/>
    <cellStyle name="Normal 12 2 10" xfId="8811" xr:uid="{C610EFA7-DF28-475D-A7AA-61B6675A083B}"/>
    <cellStyle name="Normal 12 2 10 2" xfId="18135" xr:uid="{5453F7B4-431E-4D8A-88BA-D6D2AD1070D3}"/>
    <cellStyle name="Normal 12 2 11" xfId="19074" xr:uid="{3AA0BB75-B9C7-44FA-BCC3-26269BD64F16}"/>
    <cellStyle name="Normal 12 2 12" xfId="27521" xr:uid="{F0F8F385-CB53-4250-891C-94F356D97D25}"/>
    <cellStyle name="Normal 12 2 13" xfId="35968" xr:uid="{CD1F99FB-DBDC-4D4D-ACB8-378A78ED7F90}"/>
    <cellStyle name="Normal 12 2 14" xfId="9774" xr:uid="{7EECDF22-0DC1-49E7-94F3-EB93F99FD7F1}"/>
    <cellStyle name="Normal 12 2 2" xfId="261" xr:uid="{00000000-0005-0000-0000-0000CE0D0000}"/>
    <cellStyle name="Normal 12 2 2 10" xfId="19075" xr:uid="{596AF0B3-B34C-407D-8786-11CD80AADC7A}"/>
    <cellStyle name="Normal 12 2 2 11" xfId="27522" xr:uid="{DFC1782E-414F-46C0-9FC1-DEA0EA6E3C06}"/>
    <cellStyle name="Normal 12 2 2 12" xfId="35969" xr:uid="{6C35C691-BB6D-4A69-AAEE-79784D138700}"/>
    <cellStyle name="Normal 12 2 2 13" xfId="9775" xr:uid="{81E846DA-318B-4A08-BCEB-62A416B0DB0D}"/>
    <cellStyle name="Normal 12 2 2 2" xfId="262" xr:uid="{00000000-0005-0000-0000-0000CF0D0000}"/>
    <cellStyle name="Normal 12 2 2 2 10" xfId="27523" xr:uid="{1F4727B4-BFA3-4D27-9E0A-DF1960DF9A77}"/>
    <cellStyle name="Normal 12 2 2 2 11" xfId="35970" xr:uid="{9968067D-DE1E-44F5-9E03-AAEB50BB7F5A}"/>
    <cellStyle name="Normal 12 2 2 2 12" xfId="9776" xr:uid="{C5F93EDE-66AF-4BDA-A8BE-49ECC7B7B465}"/>
    <cellStyle name="Normal 12 2 2 2 2" xfId="763" xr:uid="{00000000-0005-0000-0000-0000D00D0000}"/>
    <cellStyle name="Normal 12 2 2 2 2 2" xfId="3004" xr:uid="{00000000-0005-0000-0000-0000D10D0000}"/>
    <cellStyle name="Normal 12 2 2 2 2 2 2" xfId="7226" xr:uid="{00000000-0005-0000-0000-0000D20D0000}"/>
    <cellStyle name="Normal 12 2 2 2 2 2 2 2" xfId="25852" xr:uid="{70A5B990-8F2B-4565-9AB8-9C4B2E91CCE6}"/>
    <cellStyle name="Normal 12 2 2 2 2 2 2 3" xfId="34299" xr:uid="{F1B58B03-8AF3-46B9-8EBC-9E9DAAAB45EF}"/>
    <cellStyle name="Normal 12 2 2 2 2 2 2 4" xfId="42746" xr:uid="{D68520A1-F815-47D6-9689-D422D71E166D}"/>
    <cellStyle name="Normal 12 2 2 2 2 2 2 5" xfId="16552" xr:uid="{B00C1BAA-1224-407C-91E5-CD9A2C520BF8}"/>
    <cellStyle name="Normal 12 2 2 2 2 2 3" xfId="21635" xr:uid="{DD7FC201-10E0-4CF4-AA14-3FFB57004840}"/>
    <cellStyle name="Normal 12 2 2 2 2 2 4" xfId="30082" xr:uid="{67BE49DD-AA3D-4175-B0BC-3EE2E3FF5729}"/>
    <cellStyle name="Normal 12 2 2 2 2 2 5" xfId="38529" xr:uid="{AC2FD9FA-0A49-4527-AC13-2F7A0BE7F5E1}"/>
    <cellStyle name="Normal 12 2 2 2 2 2 6" xfId="12335" xr:uid="{7E9D07B0-AB45-4CA3-8D2A-8FCA0BD87A1E}"/>
    <cellStyle name="Normal 12 2 2 2 2 3" xfId="5081" xr:uid="{00000000-0005-0000-0000-0000D30D0000}"/>
    <cellStyle name="Normal 12 2 2 2 2 3 2" xfId="23707" xr:uid="{AE5C3888-A6E3-4060-90F9-1B5082E47153}"/>
    <cellStyle name="Normal 12 2 2 2 2 3 3" xfId="32154" xr:uid="{68C5C88D-2065-4769-B079-5C91983C644E}"/>
    <cellStyle name="Normal 12 2 2 2 2 3 4" xfId="40601" xr:uid="{5B5BEF00-0253-448D-BF12-4BA16857090D}"/>
    <cellStyle name="Normal 12 2 2 2 2 3 5" xfId="14407" xr:uid="{0318ECC3-B480-45AF-96BA-1D75AF9BD271}"/>
    <cellStyle name="Normal 12 2 2 2 2 4" xfId="9546" xr:uid="{609DE280-4DA3-4355-9F1C-9E01708347EA}"/>
    <cellStyle name="Normal 12 2 2 2 2 4 2" xfId="18862" xr:uid="{0D5C7179-E63C-4BFC-8E5C-80CC0635FB4E}"/>
    <cellStyle name="Normal 12 2 2 2 2 5" xfId="19490" xr:uid="{3BF8DB61-2888-4A18-A0A0-916BE9159F67}"/>
    <cellStyle name="Normal 12 2 2 2 2 6" xfId="27937" xr:uid="{6CC24E86-089B-4502-8AE6-EB36E5F66A26}"/>
    <cellStyle name="Normal 12 2 2 2 2 7" xfId="36384" xr:uid="{EFBD7E88-F533-4FA9-86D5-CEE44B6DB282}"/>
    <cellStyle name="Normal 12 2 2 2 2 8" xfId="10190" xr:uid="{5A925038-91F9-4187-8AFD-CE5F0D054CB2}"/>
    <cellStyle name="Normal 12 2 2 2 3" xfId="1186" xr:uid="{00000000-0005-0000-0000-0000D40D0000}"/>
    <cellStyle name="Normal 12 2 2 2 3 2" xfId="3417" xr:uid="{00000000-0005-0000-0000-0000D50D0000}"/>
    <cellStyle name="Normal 12 2 2 2 3 2 2" xfId="7639" xr:uid="{00000000-0005-0000-0000-0000D60D0000}"/>
    <cellStyle name="Normal 12 2 2 2 3 2 2 2" xfId="26265" xr:uid="{8D023054-06E8-4141-8EA6-79E528662BE9}"/>
    <cellStyle name="Normal 12 2 2 2 3 2 2 3" xfId="34712" xr:uid="{FF7CE0CF-660D-4D95-8AE6-B10499AC1A21}"/>
    <cellStyle name="Normal 12 2 2 2 3 2 2 4" xfId="43159" xr:uid="{C7EFD0EF-1768-4825-9310-B28321764FC4}"/>
    <cellStyle name="Normal 12 2 2 2 3 2 2 5" xfId="16965" xr:uid="{46D45E69-AA5C-4C64-9FD8-356A298DA24B}"/>
    <cellStyle name="Normal 12 2 2 2 3 2 3" xfId="22048" xr:uid="{BC009BBA-C471-471B-8094-6772CFAC5C36}"/>
    <cellStyle name="Normal 12 2 2 2 3 2 4" xfId="30495" xr:uid="{DACBC9F6-D248-4349-A6DE-5918B19DD87E}"/>
    <cellStyle name="Normal 12 2 2 2 3 2 5" xfId="38942" xr:uid="{22D04858-C1AA-4D00-8F3C-2918CD2A5A5B}"/>
    <cellStyle name="Normal 12 2 2 2 3 2 6" xfId="12748" xr:uid="{0D2EE787-C003-4C13-920C-862BBBFE1DCC}"/>
    <cellStyle name="Normal 12 2 2 2 3 3" xfId="5494" xr:uid="{00000000-0005-0000-0000-0000D70D0000}"/>
    <cellStyle name="Normal 12 2 2 2 3 3 2" xfId="24120" xr:uid="{07AF4F11-B65B-45F2-A19F-65A776595A9E}"/>
    <cellStyle name="Normal 12 2 2 2 3 3 3" xfId="32567" xr:uid="{4C67FE12-C6BC-416A-B348-B84A4593AE4E}"/>
    <cellStyle name="Normal 12 2 2 2 3 3 4" xfId="41014" xr:uid="{98128AB4-2E62-4DFE-BE96-F0453CFAF9E9}"/>
    <cellStyle name="Normal 12 2 2 2 3 3 5" xfId="14820" xr:uid="{173CAD38-D06A-4613-8A8B-35067E532A38}"/>
    <cellStyle name="Normal 12 2 2 2 3 4" xfId="19903" xr:uid="{46B882E9-FB86-44C1-B006-E4BBDD3D1506}"/>
    <cellStyle name="Normal 12 2 2 2 3 5" xfId="28350" xr:uid="{A1B8331E-28FE-4555-B8BD-FCDAAF38331B}"/>
    <cellStyle name="Normal 12 2 2 2 3 6" xfId="36797" xr:uid="{394811CD-D5A7-4D8F-A984-BEA20D4B6067}"/>
    <cellStyle name="Normal 12 2 2 2 3 7" xfId="10603" xr:uid="{B5C9992A-3BD0-4D8E-945F-9A267D8052D5}"/>
    <cellStyle name="Normal 12 2 2 2 4" xfId="1600" xr:uid="{00000000-0005-0000-0000-0000D80D0000}"/>
    <cellStyle name="Normal 12 2 2 2 4 2" xfId="3830" xr:uid="{00000000-0005-0000-0000-0000D90D0000}"/>
    <cellStyle name="Normal 12 2 2 2 4 2 2" xfId="8052" xr:uid="{00000000-0005-0000-0000-0000DA0D0000}"/>
    <cellStyle name="Normal 12 2 2 2 4 2 2 2" xfId="26678" xr:uid="{777EC954-3F66-46A6-B77F-7B56096C4FD5}"/>
    <cellStyle name="Normal 12 2 2 2 4 2 2 3" xfId="35125" xr:uid="{D4933CDF-F3C6-42DD-B71B-1C4622560408}"/>
    <cellStyle name="Normal 12 2 2 2 4 2 2 4" xfId="43572" xr:uid="{5CF52F25-60AC-43EC-AB32-10A2499AAFDE}"/>
    <cellStyle name="Normal 12 2 2 2 4 2 2 5" xfId="17378" xr:uid="{1532F810-4F1C-4373-B5E2-BA0A3BAF4D95}"/>
    <cellStyle name="Normal 12 2 2 2 4 2 3" xfId="22461" xr:uid="{9BF36235-090A-4F05-82B1-AE5AE32D68E9}"/>
    <cellStyle name="Normal 12 2 2 2 4 2 4" xfId="30908" xr:uid="{C24D0F50-53F3-47FC-AAE3-6DA64F943382}"/>
    <cellStyle name="Normal 12 2 2 2 4 2 5" xfId="39355" xr:uid="{A2A946BD-5477-4F1C-9DCB-E1887A76C3A8}"/>
    <cellStyle name="Normal 12 2 2 2 4 2 6" xfId="13161" xr:uid="{9EC95E60-1D7B-4895-856C-6E5C549912A9}"/>
    <cellStyle name="Normal 12 2 2 2 4 3" xfId="5907" xr:uid="{00000000-0005-0000-0000-0000DB0D0000}"/>
    <cellStyle name="Normal 12 2 2 2 4 3 2" xfId="24533" xr:uid="{09CFE835-E53F-4498-A1A3-09D7F1E95289}"/>
    <cellStyle name="Normal 12 2 2 2 4 3 3" xfId="32980" xr:uid="{E35761D8-9A26-4B7E-A928-DC87CBC50A7A}"/>
    <cellStyle name="Normal 12 2 2 2 4 3 4" xfId="41427" xr:uid="{33659469-D2A6-44CE-8DAC-09C440B31103}"/>
    <cellStyle name="Normal 12 2 2 2 4 3 5" xfId="15233" xr:uid="{06A65C98-D210-4BD2-BF13-43B46C7980F7}"/>
    <cellStyle name="Normal 12 2 2 2 4 4" xfId="20316" xr:uid="{11479D1C-AFF9-43C7-AC7A-9047134767D7}"/>
    <cellStyle name="Normal 12 2 2 2 4 5" xfId="28763" xr:uid="{741CDD92-D203-4B91-AA10-52C14ADC3C61}"/>
    <cellStyle name="Normal 12 2 2 2 4 6" xfId="37210" xr:uid="{F768BA3F-0B6D-4838-80CD-61D9FF28CD44}"/>
    <cellStyle name="Normal 12 2 2 2 4 7" xfId="11016" xr:uid="{E22135B2-3F88-4919-8E02-0874929702CC}"/>
    <cellStyle name="Normal 12 2 2 2 5" xfId="2014" xr:uid="{00000000-0005-0000-0000-0000DC0D0000}"/>
    <cellStyle name="Normal 12 2 2 2 5 2" xfId="4243" xr:uid="{00000000-0005-0000-0000-0000DD0D0000}"/>
    <cellStyle name="Normal 12 2 2 2 5 2 2" xfId="8465" xr:uid="{00000000-0005-0000-0000-0000DE0D0000}"/>
    <cellStyle name="Normal 12 2 2 2 5 2 2 2" xfId="27091" xr:uid="{1EEBE02E-E07F-435E-9831-2EC39C1809D4}"/>
    <cellStyle name="Normal 12 2 2 2 5 2 2 3" xfId="35538" xr:uid="{B27AC243-8DA1-42B1-A0E3-8A8610AE276C}"/>
    <cellStyle name="Normal 12 2 2 2 5 2 2 4" xfId="43985" xr:uid="{FFAAD786-DBD6-4618-962C-2D5504A5EFBC}"/>
    <cellStyle name="Normal 12 2 2 2 5 2 2 5" xfId="17791" xr:uid="{EA797A19-5B6A-449E-9388-2B27AAF3C5BF}"/>
    <cellStyle name="Normal 12 2 2 2 5 2 3" xfId="22874" xr:uid="{E570E626-17DD-46DF-AF96-C6D7DC5288EC}"/>
    <cellStyle name="Normal 12 2 2 2 5 2 4" xfId="31321" xr:uid="{56E9D400-8425-4D22-B623-9C5273DD8ED4}"/>
    <cellStyle name="Normal 12 2 2 2 5 2 5" xfId="39768" xr:uid="{0CB41B95-5FF7-42DD-8EC7-5B2EC9D981D8}"/>
    <cellStyle name="Normal 12 2 2 2 5 2 6" xfId="13574" xr:uid="{EDDB82CE-76CE-4342-ACE8-3417A8B5BAAC}"/>
    <cellStyle name="Normal 12 2 2 2 5 3" xfId="6320" xr:uid="{00000000-0005-0000-0000-0000DF0D0000}"/>
    <cellStyle name="Normal 12 2 2 2 5 3 2" xfId="24946" xr:uid="{91A523E3-7515-4CE3-A7E7-AACC74DF3211}"/>
    <cellStyle name="Normal 12 2 2 2 5 3 3" xfId="33393" xr:uid="{81E0614C-EF45-4BD5-AFC1-E8E6A2FDFE36}"/>
    <cellStyle name="Normal 12 2 2 2 5 3 4" xfId="41840" xr:uid="{23D5910D-BA14-46CA-A147-6E46874A7A35}"/>
    <cellStyle name="Normal 12 2 2 2 5 3 5" xfId="15646" xr:uid="{DE66FCD0-ED87-4383-B1E9-EC0E55A1593A}"/>
    <cellStyle name="Normal 12 2 2 2 5 4" xfId="20729" xr:uid="{261836B9-3DD9-48FB-8751-5BAE4A34E426}"/>
    <cellStyle name="Normal 12 2 2 2 5 5" xfId="29176" xr:uid="{21F6A19F-49C8-4FBD-9F78-0D929E77BD4A}"/>
    <cellStyle name="Normal 12 2 2 2 5 6" xfId="37623" xr:uid="{69A52867-E3FD-4111-96E7-B9C6DFFA8311}"/>
    <cellStyle name="Normal 12 2 2 2 5 7" xfId="11429" xr:uid="{AAC4845B-9223-4C09-860D-2109B32A9558}"/>
    <cellStyle name="Normal 12 2 2 2 6" xfId="2450" xr:uid="{00000000-0005-0000-0000-0000E00D0000}"/>
    <cellStyle name="Normal 12 2 2 2 6 2" xfId="6733" xr:uid="{00000000-0005-0000-0000-0000E10D0000}"/>
    <cellStyle name="Normal 12 2 2 2 6 2 2" xfId="25359" xr:uid="{3639E819-9E49-4633-8F03-22664B92C8DF}"/>
    <cellStyle name="Normal 12 2 2 2 6 2 3" xfId="33806" xr:uid="{2B03C660-266B-42C4-AB68-52497114A280}"/>
    <cellStyle name="Normal 12 2 2 2 6 2 4" xfId="42253" xr:uid="{20BC36E7-014A-4345-8108-984EDFA027BD}"/>
    <cellStyle name="Normal 12 2 2 2 6 2 5" xfId="16059" xr:uid="{C388DEA8-B39F-4893-BB51-1881A6565BDB}"/>
    <cellStyle name="Normal 12 2 2 2 6 3" xfId="21142" xr:uid="{3BEF21E8-3B57-41B4-8CE2-2DC340A48CB1}"/>
    <cellStyle name="Normal 12 2 2 2 6 4" xfId="29589" xr:uid="{6C5353BE-3332-4248-A06B-5AA453897F46}"/>
    <cellStyle name="Normal 12 2 2 2 6 5" xfId="38036" xr:uid="{BA1D8A06-9453-481E-90E4-282888E64666}"/>
    <cellStyle name="Normal 12 2 2 2 6 6" xfId="11842" xr:uid="{24C3F8FD-2864-4446-8BA7-847D9302A053}"/>
    <cellStyle name="Normal 12 2 2 2 7" xfId="4667" xr:uid="{00000000-0005-0000-0000-0000E20D0000}"/>
    <cellStyle name="Normal 12 2 2 2 7 2" xfId="23293" xr:uid="{898DB1C7-A0DD-468D-B4B4-22D2FA776A1D}"/>
    <cellStyle name="Normal 12 2 2 2 7 3" xfId="31740" xr:uid="{1FBDE52E-C3E9-45D4-B34E-AAA75535062E}"/>
    <cellStyle name="Normal 12 2 2 2 7 4" xfId="40187" xr:uid="{6E3991A4-0B0A-437F-962A-081FBDD986C6}"/>
    <cellStyle name="Normal 12 2 2 2 7 5" xfId="13993" xr:uid="{31A73E51-A002-4AB0-BD08-44C0662EF56E}"/>
    <cellStyle name="Normal 12 2 2 2 8" xfId="9121" xr:uid="{527C15BB-BE4D-46AB-9317-CC8E6838C91D}"/>
    <cellStyle name="Normal 12 2 2 2 8 2" xfId="18445" xr:uid="{507B0608-8DA2-45EA-BEAD-5B8F630A5044}"/>
    <cellStyle name="Normal 12 2 2 2 9" xfId="19076" xr:uid="{2C33BF4F-D94D-4757-A946-F918C3ED4D2D}"/>
    <cellStyle name="Normal 12 2 2 3" xfId="762" xr:uid="{00000000-0005-0000-0000-0000E30D0000}"/>
    <cellStyle name="Normal 12 2 2 3 2" xfId="3003" xr:uid="{00000000-0005-0000-0000-0000E40D0000}"/>
    <cellStyle name="Normal 12 2 2 3 2 2" xfId="7225" xr:uid="{00000000-0005-0000-0000-0000E50D0000}"/>
    <cellStyle name="Normal 12 2 2 3 2 2 2" xfId="25851" xr:uid="{742BBE46-00A3-4A35-9132-4C97058D89F6}"/>
    <cellStyle name="Normal 12 2 2 3 2 2 3" xfId="34298" xr:uid="{CEEB7529-D248-4ED2-A1F5-B2FD06C844B2}"/>
    <cellStyle name="Normal 12 2 2 3 2 2 4" xfId="42745" xr:uid="{5035637F-F957-4488-957A-2DB404FD1401}"/>
    <cellStyle name="Normal 12 2 2 3 2 2 5" xfId="16551" xr:uid="{25FF5031-2A7C-4A88-834A-50B5E61B5E77}"/>
    <cellStyle name="Normal 12 2 2 3 2 3" xfId="21634" xr:uid="{57FE17CC-BDE4-48BC-8FB1-D968B422B930}"/>
    <cellStyle name="Normal 12 2 2 3 2 4" xfId="30081" xr:uid="{1A13C3FB-15BA-42E6-BE03-701C47C3B2B1}"/>
    <cellStyle name="Normal 12 2 2 3 2 5" xfId="38528" xr:uid="{783FA219-68DC-4983-BF0A-9C99A3E2958E}"/>
    <cellStyle name="Normal 12 2 2 3 2 6" xfId="12334" xr:uid="{8983FD79-AFC6-4962-8DA0-34229BE5A39B}"/>
    <cellStyle name="Normal 12 2 2 3 3" xfId="5080" xr:uid="{00000000-0005-0000-0000-0000E60D0000}"/>
    <cellStyle name="Normal 12 2 2 3 3 2" xfId="23706" xr:uid="{14D92E7C-79C9-4A6C-8F39-B893BD46D880}"/>
    <cellStyle name="Normal 12 2 2 3 3 3" xfId="32153" xr:uid="{B1D0CED5-2B96-42BB-B0DA-9C5D4544E9BC}"/>
    <cellStyle name="Normal 12 2 2 3 3 4" xfId="40600" xr:uid="{E620CA4B-76D3-4E32-A2FD-0B62979B11AF}"/>
    <cellStyle name="Normal 12 2 2 3 3 5" xfId="14406" xr:uid="{C2384C23-E62C-40E2-86EE-E2F5D1E3F8B5}"/>
    <cellStyle name="Normal 12 2 2 3 4" xfId="9339" xr:uid="{F3F800C1-92DF-4F1F-A561-C3F3C7F8BAD1}"/>
    <cellStyle name="Normal 12 2 2 3 4 2" xfId="18655" xr:uid="{3022BFD5-3F1F-4E62-B600-022DAB3C949B}"/>
    <cellStyle name="Normal 12 2 2 3 5" xfId="19489" xr:uid="{360C77D6-0731-4F28-AE1A-A7116613C08B}"/>
    <cellStyle name="Normal 12 2 2 3 6" xfId="27936" xr:uid="{B44684D1-15A9-4385-9377-24F8250AC0B1}"/>
    <cellStyle name="Normal 12 2 2 3 7" xfId="36383" xr:uid="{C0767152-520E-4260-8208-3F3779064793}"/>
    <cellStyle name="Normal 12 2 2 3 8" xfId="10189" xr:uid="{E32B790B-495F-4F30-86E7-E0C8B0B7524E}"/>
    <cellStyle name="Normal 12 2 2 4" xfId="1185" xr:uid="{00000000-0005-0000-0000-0000E70D0000}"/>
    <cellStyle name="Normal 12 2 2 4 2" xfId="3416" xr:uid="{00000000-0005-0000-0000-0000E80D0000}"/>
    <cellStyle name="Normal 12 2 2 4 2 2" xfId="7638" xr:uid="{00000000-0005-0000-0000-0000E90D0000}"/>
    <cellStyle name="Normal 12 2 2 4 2 2 2" xfId="26264" xr:uid="{CF61E690-7F08-43A1-B076-AEB4E4E025E4}"/>
    <cellStyle name="Normal 12 2 2 4 2 2 3" xfId="34711" xr:uid="{FDD77154-DB05-4264-B0B1-0DC7444F35FA}"/>
    <cellStyle name="Normal 12 2 2 4 2 2 4" xfId="43158" xr:uid="{04975951-6E47-4484-8C4F-F0E22B30E15B}"/>
    <cellStyle name="Normal 12 2 2 4 2 2 5" xfId="16964" xr:uid="{B9F06B90-CD2A-4039-80E6-C3B541D39BC9}"/>
    <cellStyle name="Normal 12 2 2 4 2 3" xfId="22047" xr:uid="{5739478C-302C-4C37-9227-9A1A7E1E9FCD}"/>
    <cellStyle name="Normal 12 2 2 4 2 4" xfId="30494" xr:uid="{CDD11D31-63D8-437C-A0EC-FF746214EF16}"/>
    <cellStyle name="Normal 12 2 2 4 2 5" xfId="38941" xr:uid="{7D863066-DD77-4288-B318-0C2BFCB54F9D}"/>
    <cellStyle name="Normal 12 2 2 4 2 6" xfId="12747" xr:uid="{BC17F6F7-301D-41B1-9FB1-7A56D0C7840A}"/>
    <cellStyle name="Normal 12 2 2 4 3" xfId="5493" xr:uid="{00000000-0005-0000-0000-0000EA0D0000}"/>
    <cellStyle name="Normal 12 2 2 4 3 2" xfId="24119" xr:uid="{C12728F8-A7C4-4B12-8579-116E20CA2EF1}"/>
    <cellStyle name="Normal 12 2 2 4 3 3" xfId="32566" xr:uid="{558D1687-A24B-49DE-8318-9DFBFDD41838}"/>
    <cellStyle name="Normal 12 2 2 4 3 4" xfId="41013" xr:uid="{D17D2536-D95E-44B2-9C6D-BBEDD58F3F7D}"/>
    <cellStyle name="Normal 12 2 2 4 3 5" xfId="14819" xr:uid="{AEDE0C20-A874-4BC1-9BD1-29F241529E0E}"/>
    <cellStyle name="Normal 12 2 2 4 4" xfId="19902" xr:uid="{19667A5B-DD84-46D6-9754-0803671A6424}"/>
    <cellStyle name="Normal 12 2 2 4 5" xfId="28349" xr:uid="{9D00C697-4E0E-46ED-B9E2-788AA25B7CEC}"/>
    <cellStyle name="Normal 12 2 2 4 6" xfId="36796" xr:uid="{9ED696EB-B32A-4F89-8DC4-FDF80906B2E9}"/>
    <cellStyle name="Normal 12 2 2 4 7" xfId="10602" xr:uid="{5DFB8B2A-2DA3-475B-B8B7-6743C763C275}"/>
    <cellStyle name="Normal 12 2 2 5" xfId="1599" xr:uid="{00000000-0005-0000-0000-0000EB0D0000}"/>
    <cellStyle name="Normal 12 2 2 5 2" xfId="3829" xr:uid="{00000000-0005-0000-0000-0000EC0D0000}"/>
    <cellStyle name="Normal 12 2 2 5 2 2" xfId="8051" xr:uid="{00000000-0005-0000-0000-0000ED0D0000}"/>
    <cellStyle name="Normal 12 2 2 5 2 2 2" xfId="26677" xr:uid="{2B721FEC-F36D-4132-A8E8-66A49D69D5D7}"/>
    <cellStyle name="Normal 12 2 2 5 2 2 3" xfId="35124" xr:uid="{86D9FDE4-DA3F-4330-A0D0-B5198F00B2B8}"/>
    <cellStyle name="Normal 12 2 2 5 2 2 4" xfId="43571" xr:uid="{13E60E42-2868-452C-81FA-218794E743A9}"/>
    <cellStyle name="Normal 12 2 2 5 2 2 5" xfId="17377" xr:uid="{35294A8D-9971-48F9-8A11-B909096A3D47}"/>
    <cellStyle name="Normal 12 2 2 5 2 3" xfId="22460" xr:uid="{52B15796-CA30-4C11-B8CC-A11DB92C01E4}"/>
    <cellStyle name="Normal 12 2 2 5 2 4" xfId="30907" xr:uid="{7EF7EEB3-EA6E-4317-9BDB-E2ADF58B6859}"/>
    <cellStyle name="Normal 12 2 2 5 2 5" xfId="39354" xr:uid="{1B8BA68A-07DE-47E4-ABC1-173167EE4DED}"/>
    <cellStyle name="Normal 12 2 2 5 2 6" xfId="13160" xr:uid="{0243B10E-AA61-47A5-9110-7FE3E8655FB1}"/>
    <cellStyle name="Normal 12 2 2 5 3" xfId="5906" xr:uid="{00000000-0005-0000-0000-0000EE0D0000}"/>
    <cellStyle name="Normal 12 2 2 5 3 2" xfId="24532" xr:uid="{4019FABF-0CED-4D89-B719-7F784EBB57DB}"/>
    <cellStyle name="Normal 12 2 2 5 3 3" xfId="32979" xr:uid="{33331BCC-6AB2-48AF-8DE0-555AB219C3A8}"/>
    <cellStyle name="Normal 12 2 2 5 3 4" xfId="41426" xr:uid="{B25F92E0-BC5E-4287-9857-1FDDD5BD6FDA}"/>
    <cellStyle name="Normal 12 2 2 5 3 5" xfId="15232" xr:uid="{63283436-6A46-43A0-9B4C-DB89C67CB7AC}"/>
    <cellStyle name="Normal 12 2 2 5 4" xfId="20315" xr:uid="{BD1A3FC5-2F51-4E23-9C64-923B7A26DA32}"/>
    <cellStyle name="Normal 12 2 2 5 5" xfId="28762" xr:uid="{209E9A93-58AA-477C-99BD-DD088938FAF7}"/>
    <cellStyle name="Normal 12 2 2 5 6" xfId="37209" xr:uid="{D979B682-A422-4687-9AE0-7E956F189A73}"/>
    <cellStyle name="Normal 12 2 2 5 7" xfId="11015" xr:uid="{F9B3E6E7-16F3-4A06-A694-A13D0BE9E001}"/>
    <cellStyle name="Normal 12 2 2 6" xfId="2013" xr:uid="{00000000-0005-0000-0000-0000EF0D0000}"/>
    <cellStyle name="Normal 12 2 2 6 2" xfId="4242" xr:uid="{00000000-0005-0000-0000-0000F00D0000}"/>
    <cellStyle name="Normal 12 2 2 6 2 2" xfId="8464" xr:uid="{00000000-0005-0000-0000-0000F10D0000}"/>
    <cellStyle name="Normal 12 2 2 6 2 2 2" xfId="27090" xr:uid="{5B22F863-93C1-4A11-8E69-8CC1EB2CC069}"/>
    <cellStyle name="Normal 12 2 2 6 2 2 3" xfId="35537" xr:uid="{E99C70B8-2B8A-4A8E-BA47-5146A7667CD3}"/>
    <cellStyle name="Normal 12 2 2 6 2 2 4" xfId="43984" xr:uid="{A72FBEC2-496D-411D-AD85-2A6E4E754728}"/>
    <cellStyle name="Normal 12 2 2 6 2 2 5" xfId="17790" xr:uid="{F5E8B0B1-1564-4497-8ED8-1EFB531DD824}"/>
    <cellStyle name="Normal 12 2 2 6 2 3" xfId="22873" xr:uid="{92F0B019-C711-4980-9F03-A4448452508C}"/>
    <cellStyle name="Normal 12 2 2 6 2 4" xfId="31320" xr:uid="{1FC949B9-06AD-4AD9-8055-9AA3E600398B}"/>
    <cellStyle name="Normal 12 2 2 6 2 5" xfId="39767" xr:uid="{67C27891-B4C3-4182-8597-20EB3CE1B5B8}"/>
    <cellStyle name="Normal 12 2 2 6 2 6" xfId="13573" xr:uid="{6D64E3E0-337C-4324-A2DD-261C9A60BD18}"/>
    <cellStyle name="Normal 12 2 2 6 3" xfId="6319" xr:uid="{00000000-0005-0000-0000-0000F20D0000}"/>
    <cellStyle name="Normal 12 2 2 6 3 2" xfId="24945" xr:uid="{D0AAFE5D-DC13-4D9C-A022-CEC2B759101C}"/>
    <cellStyle name="Normal 12 2 2 6 3 3" xfId="33392" xr:uid="{F16D0DAC-B4D9-428B-830A-8E23B1F411A3}"/>
    <cellStyle name="Normal 12 2 2 6 3 4" xfId="41839" xr:uid="{3F999908-14AF-46E0-9F50-C65F97AAD71B}"/>
    <cellStyle name="Normal 12 2 2 6 3 5" xfId="15645" xr:uid="{9F4DBE43-CC62-431B-AC3B-D95696F25A43}"/>
    <cellStyle name="Normal 12 2 2 6 4" xfId="20728" xr:uid="{1AEEABC8-C4AD-4F67-9938-5D9D4F807C4B}"/>
    <cellStyle name="Normal 12 2 2 6 5" xfId="29175" xr:uid="{A5925046-26D4-4782-BEDE-3D84029990E8}"/>
    <cellStyle name="Normal 12 2 2 6 6" xfId="37622" xr:uid="{3AAA0D18-0F6A-4DBE-A62D-05E7DFEE0CD4}"/>
    <cellStyle name="Normal 12 2 2 6 7" xfId="11428" xr:uid="{3056BEB1-F25C-446C-9C2D-58F09177FD3D}"/>
    <cellStyle name="Normal 12 2 2 7" xfId="2449" xr:uid="{00000000-0005-0000-0000-0000F30D0000}"/>
    <cellStyle name="Normal 12 2 2 7 2" xfId="6732" xr:uid="{00000000-0005-0000-0000-0000F40D0000}"/>
    <cellStyle name="Normal 12 2 2 7 2 2" xfId="25358" xr:uid="{81390141-A616-435F-9AF5-AA9AEEEAE9D9}"/>
    <cellStyle name="Normal 12 2 2 7 2 3" xfId="33805" xr:uid="{70B95C34-30E9-415A-8B66-D24C8EC367BB}"/>
    <cellStyle name="Normal 12 2 2 7 2 4" xfId="42252" xr:uid="{EB2B4E7A-F54B-4D2D-8256-AF0CD60679B9}"/>
    <cellStyle name="Normal 12 2 2 7 2 5" xfId="16058" xr:uid="{11531EE6-DB7B-426E-8AD6-3486D63732EB}"/>
    <cellStyle name="Normal 12 2 2 7 3" xfId="21141" xr:uid="{1A0BEF7D-7A72-4A27-BCF6-E8E31CF503C7}"/>
    <cellStyle name="Normal 12 2 2 7 4" xfId="29588" xr:uid="{F52BE34D-A095-48AD-9F89-7482A3497CC9}"/>
    <cellStyle name="Normal 12 2 2 7 5" xfId="38035" xr:uid="{2D896B66-9A0F-4DFD-BA93-B3C4AD368927}"/>
    <cellStyle name="Normal 12 2 2 7 6" xfId="11841" xr:uid="{54FA60DA-C8FE-4734-860A-6481BEEF8CA0}"/>
    <cellStyle name="Normal 12 2 2 8" xfId="4666" xr:uid="{00000000-0005-0000-0000-0000F50D0000}"/>
    <cellStyle name="Normal 12 2 2 8 2" xfId="23292" xr:uid="{00DC74D0-CF56-4E36-A8CB-4EA8898B48A4}"/>
    <cellStyle name="Normal 12 2 2 8 3" xfId="31739" xr:uid="{C92108D9-CF84-4C57-8E6B-8B0A843F1806}"/>
    <cellStyle name="Normal 12 2 2 8 4" xfId="40186" xr:uid="{3C62E1B8-7957-486C-BE62-DA4F83BEC0DB}"/>
    <cellStyle name="Normal 12 2 2 8 5" xfId="13992" xr:uid="{BC169371-D8B5-44B2-848A-E2EB109E5C8E}"/>
    <cellStyle name="Normal 12 2 2 9" xfId="8914" xr:uid="{85903DBC-FA0A-4A9D-9FB4-BA36A4B6F510}"/>
    <cellStyle name="Normal 12 2 2 9 2" xfId="18238" xr:uid="{F1676AC3-F3AA-4653-A6AD-61C82C8AAFD4}"/>
    <cellStyle name="Normal 12 2 3" xfId="263" xr:uid="{00000000-0005-0000-0000-0000F60D0000}"/>
    <cellStyle name="Normal 12 2 3 10" xfId="27524" xr:uid="{6A70D11C-758E-49AF-BFC3-0505570820B5}"/>
    <cellStyle name="Normal 12 2 3 11" xfId="35971" xr:uid="{2D9781C9-A621-40B5-B3F7-0BFB7F45B740}"/>
    <cellStyle name="Normal 12 2 3 12" xfId="9777" xr:uid="{627FCD16-12B8-4E33-B947-787373190A61}"/>
    <cellStyle name="Normal 12 2 3 2" xfId="764" xr:uid="{00000000-0005-0000-0000-0000F70D0000}"/>
    <cellStyle name="Normal 12 2 3 2 2" xfId="3005" xr:uid="{00000000-0005-0000-0000-0000F80D0000}"/>
    <cellStyle name="Normal 12 2 3 2 2 2" xfId="7227" xr:uid="{00000000-0005-0000-0000-0000F90D0000}"/>
    <cellStyle name="Normal 12 2 3 2 2 2 2" xfId="25853" xr:uid="{DD4B4754-95DA-4C06-88E7-75BC605A0077}"/>
    <cellStyle name="Normal 12 2 3 2 2 2 3" xfId="34300" xr:uid="{AC21C98A-CBE5-40BC-86D7-4AF91EFF6913}"/>
    <cellStyle name="Normal 12 2 3 2 2 2 4" xfId="42747" xr:uid="{134A64D8-A29E-413A-A4A6-06C4B5350837}"/>
    <cellStyle name="Normal 12 2 3 2 2 2 5" xfId="16553" xr:uid="{E7DE7EBF-35ED-4985-9CDD-7D5065ED7D50}"/>
    <cellStyle name="Normal 12 2 3 2 2 3" xfId="21636" xr:uid="{86ADD772-D5B5-4666-949C-61485BBA9AE5}"/>
    <cellStyle name="Normal 12 2 3 2 2 4" xfId="30083" xr:uid="{EA74B152-99C7-41A5-B3E8-593827E324E5}"/>
    <cellStyle name="Normal 12 2 3 2 2 5" xfId="38530" xr:uid="{F2AA8CF7-74C2-48D1-88A6-1061F37A29B9}"/>
    <cellStyle name="Normal 12 2 3 2 2 6" xfId="12336" xr:uid="{373F3BCD-F0E2-4145-9826-0D4C64A7709F}"/>
    <cellStyle name="Normal 12 2 3 2 3" xfId="5082" xr:uid="{00000000-0005-0000-0000-0000FA0D0000}"/>
    <cellStyle name="Normal 12 2 3 2 3 2" xfId="23708" xr:uid="{C16C36D3-99CE-4951-9E62-39C5C064E7BC}"/>
    <cellStyle name="Normal 12 2 3 2 3 3" xfId="32155" xr:uid="{4E4CE074-AE19-4248-AD97-C7E61445D4BB}"/>
    <cellStyle name="Normal 12 2 3 2 3 4" xfId="40602" xr:uid="{3B44B8BE-D95F-4691-AE70-F65718174AC6}"/>
    <cellStyle name="Normal 12 2 3 2 3 5" xfId="14408" xr:uid="{0CD6AD72-4B72-453B-8BC3-B413EB5F8A6D}"/>
    <cellStyle name="Normal 12 2 3 2 4" xfId="9443" xr:uid="{61F0A971-1285-4215-8170-49D07520551A}"/>
    <cellStyle name="Normal 12 2 3 2 4 2" xfId="18759" xr:uid="{29E8869D-DB32-4788-863C-C5B3C90BE3E9}"/>
    <cellStyle name="Normal 12 2 3 2 5" xfId="19491" xr:uid="{ACEA15D5-1321-4DBE-AC39-CEA2A529D668}"/>
    <cellStyle name="Normal 12 2 3 2 6" xfId="27938" xr:uid="{B4D156F4-7E67-4280-9A01-BF8DAC31DB50}"/>
    <cellStyle name="Normal 12 2 3 2 7" xfId="36385" xr:uid="{31BC7C1F-D1C2-4130-A2E8-C5674D2F16D8}"/>
    <cellStyle name="Normal 12 2 3 2 8" xfId="10191" xr:uid="{5D377C89-D0F8-4F68-801C-CB7E80012595}"/>
    <cellStyle name="Normal 12 2 3 3" xfId="1187" xr:uid="{00000000-0005-0000-0000-0000FB0D0000}"/>
    <cellStyle name="Normal 12 2 3 3 2" xfId="3418" xr:uid="{00000000-0005-0000-0000-0000FC0D0000}"/>
    <cellStyle name="Normal 12 2 3 3 2 2" xfId="7640" xr:uid="{00000000-0005-0000-0000-0000FD0D0000}"/>
    <cellStyle name="Normal 12 2 3 3 2 2 2" xfId="26266" xr:uid="{22F5A782-0C2D-4FEE-AB40-7EB284B8D1B9}"/>
    <cellStyle name="Normal 12 2 3 3 2 2 3" xfId="34713" xr:uid="{329C8BAE-B260-441F-BE03-892E07D0CD20}"/>
    <cellStyle name="Normal 12 2 3 3 2 2 4" xfId="43160" xr:uid="{25B3370C-21F4-413B-B571-76BB79C57DC3}"/>
    <cellStyle name="Normal 12 2 3 3 2 2 5" xfId="16966" xr:uid="{0C2B1072-0032-45EA-8F40-CC3F87ED6117}"/>
    <cellStyle name="Normal 12 2 3 3 2 3" xfId="22049" xr:uid="{2F2F0FF0-C412-4ADF-B7A5-0C0527EA5C75}"/>
    <cellStyle name="Normal 12 2 3 3 2 4" xfId="30496" xr:uid="{473D83C5-683F-4391-935C-124B099C4F08}"/>
    <cellStyle name="Normal 12 2 3 3 2 5" xfId="38943" xr:uid="{96995AC3-BC1A-4193-8418-CA34343793BA}"/>
    <cellStyle name="Normal 12 2 3 3 2 6" xfId="12749" xr:uid="{C3459C0C-103E-4982-B6CD-16E17200033A}"/>
    <cellStyle name="Normal 12 2 3 3 3" xfId="5495" xr:uid="{00000000-0005-0000-0000-0000FE0D0000}"/>
    <cellStyle name="Normal 12 2 3 3 3 2" xfId="24121" xr:uid="{AA22429E-7E72-4DA2-9E0E-68DFCDCDA440}"/>
    <cellStyle name="Normal 12 2 3 3 3 3" xfId="32568" xr:uid="{5C803489-F1BC-4AD5-B3D6-B41005257B24}"/>
    <cellStyle name="Normal 12 2 3 3 3 4" xfId="41015" xr:uid="{F7F91E82-AC85-4AB7-83FE-58E871302DE4}"/>
    <cellStyle name="Normal 12 2 3 3 3 5" xfId="14821" xr:uid="{F424A91A-F802-4773-9092-D11CADB6E5E4}"/>
    <cellStyle name="Normal 12 2 3 3 4" xfId="19904" xr:uid="{5E19C442-037C-4A0C-A2A1-4C9DE5A3FF36}"/>
    <cellStyle name="Normal 12 2 3 3 5" xfId="28351" xr:uid="{CB23BFCC-15CB-4DE8-A328-8B9065C0A493}"/>
    <cellStyle name="Normal 12 2 3 3 6" xfId="36798" xr:uid="{A0E6E676-80DD-4499-869A-A81C9F440F42}"/>
    <cellStyle name="Normal 12 2 3 3 7" xfId="10604" xr:uid="{DEE68AA6-4047-4200-955D-6E83430D3523}"/>
    <cellStyle name="Normal 12 2 3 4" xfId="1601" xr:uid="{00000000-0005-0000-0000-0000FF0D0000}"/>
    <cellStyle name="Normal 12 2 3 4 2" xfId="3831" xr:uid="{00000000-0005-0000-0000-0000000E0000}"/>
    <cellStyle name="Normal 12 2 3 4 2 2" xfId="8053" xr:uid="{00000000-0005-0000-0000-0000010E0000}"/>
    <cellStyle name="Normal 12 2 3 4 2 2 2" xfId="26679" xr:uid="{ED47DA62-16E5-42BF-9DC6-E68D8265DA3F}"/>
    <cellStyle name="Normal 12 2 3 4 2 2 3" xfId="35126" xr:uid="{D78A5887-E032-4162-AA7C-F647605A46E4}"/>
    <cellStyle name="Normal 12 2 3 4 2 2 4" xfId="43573" xr:uid="{387D00FC-0398-42FE-BE51-6CE81F2B957A}"/>
    <cellStyle name="Normal 12 2 3 4 2 2 5" xfId="17379" xr:uid="{58DCD9C9-359B-4901-8574-71A73FE2970F}"/>
    <cellStyle name="Normal 12 2 3 4 2 3" xfId="22462" xr:uid="{00D77F18-BBA5-40D3-9A0E-6C9CA45F62CA}"/>
    <cellStyle name="Normal 12 2 3 4 2 4" xfId="30909" xr:uid="{CD6C48C2-1B39-4539-8C61-08C9557DF2C8}"/>
    <cellStyle name="Normal 12 2 3 4 2 5" xfId="39356" xr:uid="{A38264AA-1297-4FBA-BE10-9B022EBDC6F2}"/>
    <cellStyle name="Normal 12 2 3 4 2 6" xfId="13162" xr:uid="{A07315D2-57EC-4711-9300-08F71B80966F}"/>
    <cellStyle name="Normal 12 2 3 4 3" xfId="5908" xr:uid="{00000000-0005-0000-0000-0000020E0000}"/>
    <cellStyle name="Normal 12 2 3 4 3 2" xfId="24534" xr:uid="{1E8E0C7A-D6DD-45C9-B038-4A89798C6695}"/>
    <cellStyle name="Normal 12 2 3 4 3 3" xfId="32981" xr:uid="{30F7AB8E-C75D-4858-8965-63078202E1A9}"/>
    <cellStyle name="Normal 12 2 3 4 3 4" xfId="41428" xr:uid="{5F9ABD9D-3272-4FD7-B31F-7BBD68043DA3}"/>
    <cellStyle name="Normal 12 2 3 4 3 5" xfId="15234" xr:uid="{43042451-B671-4677-AAA4-0A398B3B7A9B}"/>
    <cellStyle name="Normal 12 2 3 4 4" xfId="20317" xr:uid="{C4C9FAB4-8454-4575-8AA3-D2D526B4FB68}"/>
    <cellStyle name="Normal 12 2 3 4 5" xfId="28764" xr:uid="{0B89F405-054A-47D6-BE3B-F7E66D021094}"/>
    <cellStyle name="Normal 12 2 3 4 6" xfId="37211" xr:uid="{BDBACB13-3BEA-4606-80F6-14B91B6B1A5F}"/>
    <cellStyle name="Normal 12 2 3 4 7" xfId="11017" xr:uid="{297D8190-37C7-4736-892E-693FCCEAE7A5}"/>
    <cellStyle name="Normal 12 2 3 5" xfId="2015" xr:uid="{00000000-0005-0000-0000-0000030E0000}"/>
    <cellStyle name="Normal 12 2 3 5 2" xfId="4244" xr:uid="{00000000-0005-0000-0000-0000040E0000}"/>
    <cellStyle name="Normal 12 2 3 5 2 2" xfId="8466" xr:uid="{00000000-0005-0000-0000-0000050E0000}"/>
    <cellStyle name="Normal 12 2 3 5 2 2 2" xfId="27092" xr:uid="{414149CE-E150-47B9-BE73-20F8F18F4F19}"/>
    <cellStyle name="Normal 12 2 3 5 2 2 3" xfId="35539" xr:uid="{92ED44A7-EC88-4103-9A63-AFCEEB8B0C77}"/>
    <cellStyle name="Normal 12 2 3 5 2 2 4" xfId="43986" xr:uid="{8D350BDC-C898-4F24-8382-7112013AC5A7}"/>
    <cellStyle name="Normal 12 2 3 5 2 2 5" xfId="17792" xr:uid="{6BCEC732-198E-43E1-857B-D7B1FD2C5509}"/>
    <cellStyle name="Normal 12 2 3 5 2 3" xfId="22875" xr:uid="{27439275-82A6-41EB-BB89-17AF26D97364}"/>
    <cellStyle name="Normal 12 2 3 5 2 4" xfId="31322" xr:uid="{7C403E21-099D-47EA-8D99-C3525C9B6D88}"/>
    <cellStyle name="Normal 12 2 3 5 2 5" xfId="39769" xr:uid="{6285BDA8-E0A7-4437-BE54-E6FCA83F9D72}"/>
    <cellStyle name="Normal 12 2 3 5 2 6" xfId="13575" xr:uid="{495F41DB-EC54-459B-A729-3D053EC96071}"/>
    <cellStyle name="Normal 12 2 3 5 3" xfId="6321" xr:uid="{00000000-0005-0000-0000-0000060E0000}"/>
    <cellStyle name="Normal 12 2 3 5 3 2" xfId="24947" xr:uid="{E9B63A3B-2A33-44CB-A249-F88BE7C82649}"/>
    <cellStyle name="Normal 12 2 3 5 3 3" xfId="33394" xr:uid="{BA35C5EF-927B-49DA-B9BB-95038BDF4CD9}"/>
    <cellStyle name="Normal 12 2 3 5 3 4" xfId="41841" xr:uid="{FD112E7C-8B58-4007-B37D-7E8440DC37B9}"/>
    <cellStyle name="Normal 12 2 3 5 3 5" xfId="15647" xr:uid="{49EF2880-EF6D-4D13-A439-6B26DEAE521A}"/>
    <cellStyle name="Normal 12 2 3 5 4" xfId="20730" xr:uid="{65C40054-1DBA-44EB-B609-87692E836551}"/>
    <cellStyle name="Normal 12 2 3 5 5" xfId="29177" xr:uid="{42DCD28E-E739-4072-86C5-B2EDE5650981}"/>
    <cellStyle name="Normal 12 2 3 5 6" xfId="37624" xr:uid="{B146E245-87D2-4915-98DC-3D81E19151C8}"/>
    <cellStyle name="Normal 12 2 3 5 7" xfId="11430" xr:uid="{0C1BE132-B9E4-45E4-87BB-FC223C501588}"/>
    <cellStyle name="Normal 12 2 3 6" xfId="2451" xr:uid="{00000000-0005-0000-0000-0000070E0000}"/>
    <cellStyle name="Normal 12 2 3 6 2" xfId="6734" xr:uid="{00000000-0005-0000-0000-0000080E0000}"/>
    <cellStyle name="Normal 12 2 3 6 2 2" xfId="25360" xr:uid="{7371389D-01BD-4F27-A66B-805D6E42F933}"/>
    <cellStyle name="Normal 12 2 3 6 2 3" xfId="33807" xr:uid="{B376754C-D637-44A2-A322-678C190304FC}"/>
    <cellStyle name="Normal 12 2 3 6 2 4" xfId="42254" xr:uid="{9C581723-A26F-41DC-8924-CAB996990ECE}"/>
    <cellStyle name="Normal 12 2 3 6 2 5" xfId="16060" xr:uid="{06A717DE-1E27-4264-9E85-520BF5CCFFDB}"/>
    <cellStyle name="Normal 12 2 3 6 3" xfId="21143" xr:uid="{83326353-D025-4808-A07F-6F7E8D68F2DC}"/>
    <cellStyle name="Normal 12 2 3 6 4" xfId="29590" xr:uid="{225203A8-E4E0-422D-924E-0C14A3CEFBF1}"/>
    <cellStyle name="Normal 12 2 3 6 5" xfId="38037" xr:uid="{692EDDE5-1327-4DFA-B40E-92B85D7AE985}"/>
    <cellStyle name="Normal 12 2 3 6 6" xfId="11843" xr:uid="{5F625879-C13D-4DAA-BDA2-67273E9B6429}"/>
    <cellStyle name="Normal 12 2 3 7" xfId="4668" xr:uid="{00000000-0005-0000-0000-0000090E0000}"/>
    <cellStyle name="Normal 12 2 3 7 2" xfId="23294" xr:uid="{1D9C0ACF-CF75-48DF-9652-2C465CE22549}"/>
    <cellStyle name="Normal 12 2 3 7 3" xfId="31741" xr:uid="{3DE25944-055D-4CD6-8187-A138614087B9}"/>
    <cellStyle name="Normal 12 2 3 7 4" xfId="40188" xr:uid="{9839DAA7-705D-41FA-BDDB-D6517D17721B}"/>
    <cellStyle name="Normal 12 2 3 7 5" xfId="13994" xr:uid="{40D58493-D4EB-41B9-BA48-75FB5C9B25D1}"/>
    <cellStyle name="Normal 12 2 3 8" xfId="9018" xr:uid="{C3F41DC6-3A80-4145-A68D-169ABB54B6D0}"/>
    <cellStyle name="Normal 12 2 3 8 2" xfId="18342" xr:uid="{3E07AF38-2300-419D-A8D9-A9E348AD7BE1}"/>
    <cellStyle name="Normal 12 2 3 9" xfId="19077" xr:uid="{5CF2DA12-8EAE-4531-8DEF-13220A65F416}"/>
    <cellStyle name="Normal 12 2 4" xfId="761" xr:uid="{00000000-0005-0000-0000-00000A0E0000}"/>
    <cellStyle name="Normal 12 2 4 2" xfId="3002" xr:uid="{00000000-0005-0000-0000-00000B0E0000}"/>
    <cellStyle name="Normal 12 2 4 2 2" xfId="7224" xr:uid="{00000000-0005-0000-0000-00000C0E0000}"/>
    <cellStyle name="Normal 12 2 4 2 2 2" xfId="25850" xr:uid="{FE82FB84-2E2A-485C-A10F-2D343EA7A1E6}"/>
    <cellStyle name="Normal 12 2 4 2 2 3" xfId="34297" xr:uid="{2DDFF007-7FCB-4BA3-8257-E67C54FBFD1D}"/>
    <cellStyle name="Normal 12 2 4 2 2 4" xfId="42744" xr:uid="{1DFADD9F-7B34-4A7C-8DA6-F020FC93E49D}"/>
    <cellStyle name="Normal 12 2 4 2 2 5" xfId="16550" xr:uid="{0F539B7B-F916-4CBD-8F83-A046B58CE06E}"/>
    <cellStyle name="Normal 12 2 4 2 3" xfId="21633" xr:uid="{EC369928-6A4D-45E1-BC84-86DB36273D68}"/>
    <cellStyle name="Normal 12 2 4 2 4" xfId="30080" xr:uid="{699E44B0-142D-47B1-97FE-CCDCB3D9ADBD}"/>
    <cellStyle name="Normal 12 2 4 2 5" xfId="38527" xr:uid="{0C433352-5B68-4BE6-92B5-031380666B50}"/>
    <cellStyle name="Normal 12 2 4 2 6" xfId="12333" xr:uid="{F753E0B2-829E-432D-B6A7-2E5E7CAE185D}"/>
    <cellStyle name="Normal 12 2 4 3" xfId="5079" xr:uid="{00000000-0005-0000-0000-00000D0E0000}"/>
    <cellStyle name="Normal 12 2 4 3 2" xfId="23705" xr:uid="{9F146911-D179-4D6E-9F7D-863FDF1FC181}"/>
    <cellStyle name="Normal 12 2 4 3 3" xfId="32152" xr:uid="{8E1A71B6-4429-4EF1-873C-DCD7A1D5F003}"/>
    <cellStyle name="Normal 12 2 4 3 4" xfId="40599" xr:uid="{E07F1204-3B23-4AA4-8549-70CFA3CC3020}"/>
    <cellStyle name="Normal 12 2 4 3 5" xfId="14405" xr:uid="{2FECC7C2-2A4E-445B-A5A3-2808637F14C3}"/>
    <cellStyle name="Normal 12 2 4 4" xfId="9236" xr:uid="{C3D0196D-4BB3-4870-9762-A3CF40E5B45B}"/>
    <cellStyle name="Normal 12 2 4 4 2" xfId="18552" xr:uid="{06E058A0-569F-4060-A893-D5A4DB1EB127}"/>
    <cellStyle name="Normal 12 2 4 5" xfId="19488" xr:uid="{DAE4E188-8A4A-48DD-971A-495DD9E9B275}"/>
    <cellStyle name="Normal 12 2 4 6" xfId="27935" xr:uid="{A3DFACC0-0062-4442-9CDB-80BB6F204270}"/>
    <cellStyle name="Normal 12 2 4 7" xfId="36382" xr:uid="{78006C02-0BB5-45DB-AF53-9B44E2D9247D}"/>
    <cellStyle name="Normal 12 2 4 8" xfId="10188" xr:uid="{8E72AD98-1DB2-4A3E-9A77-FEE043DBEBDA}"/>
    <cellStyle name="Normal 12 2 5" xfId="1184" xr:uid="{00000000-0005-0000-0000-00000E0E0000}"/>
    <cellStyle name="Normal 12 2 5 2" xfId="3415" xr:uid="{00000000-0005-0000-0000-00000F0E0000}"/>
    <cellStyle name="Normal 12 2 5 2 2" xfId="7637" xr:uid="{00000000-0005-0000-0000-0000100E0000}"/>
    <cellStyle name="Normal 12 2 5 2 2 2" xfId="26263" xr:uid="{2B9D5A6F-4BA2-41C4-8DA0-CBBC2FF24FC4}"/>
    <cellStyle name="Normal 12 2 5 2 2 3" xfId="34710" xr:uid="{A15430C6-4755-4958-857B-CFC0A16AA844}"/>
    <cellStyle name="Normal 12 2 5 2 2 4" xfId="43157" xr:uid="{FFADCB7F-D99D-4FF0-87AE-D8D3C98E2B26}"/>
    <cellStyle name="Normal 12 2 5 2 2 5" xfId="16963" xr:uid="{84F04F62-5CCC-4E83-B55D-0C752D50A3F1}"/>
    <cellStyle name="Normal 12 2 5 2 3" xfId="22046" xr:uid="{2EF89C93-B197-48F5-9CD1-67E999BD660D}"/>
    <cellStyle name="Normal 12 2 5 2 4" xfId="30493" xr:uid="{33A74CD2-6E7C-4ADE-BE4F-CEE5A5115842}"/>
    <cellStyle name="Normal 12 2 5 2 5" xfId="38940" xr:uid="{32677D89-6C1D-41EF-A61F-3122BB05063E}"/>
    <cellStyle name="Normal 12 2 5 2 6" xfId="12746" xr:uid="{3D433DD0-F113-429A-AC89-46DD790049F8}"/>
    <cellStyle name="Normal 12 2 5 3" xfId="5492" xr:uid="{00000000-0005-0000-0000-0000110E0000}"/>
    <cellStyle name="Normal 12 2 5 3 2" xfId="24118" xr:uid="{F939C062-EFEC-411B-8A27-EA6CE5998690}"/>
    <cellStyle name="Normal 12 2 5 3 3" xfId="32565" xr:uid="{F5396C77-FF6B-49C5-A460-C2444603F76D}"/>
    <cellStyle name="Normal 12 2 5 3 4" xfId="41012" xr:uid="{0E989A46-5A2A-4ED4-940B-786C8E3DF759}"/>
    <cellStyle name="Normal 12 2 5 3 5" xfId="14818" xr:uid="{7D4EA3CB-65D8-4871-B41F-D68C6BDD3CB0}"/>
    <cellStyle name="Normal 12 2 5 4" xfId="19901" xr:uid="{662D0BF3-3539-410E-8260-4B1DA685898C}"/>
    <cellStyle name="Normal 12 2 5 5" xfId="28348" xr:uid="{00A2928B-0229-4E7D-9C22-B7490D2E6695}"/>
    <cellStyle name="Normal 12 2 5 6" xfId="36795" xr:uid="{5F447F46-84DD-4A0F-B7CC-EECFFE869D74}"/>
    <cellStyle name="Normal 12 2 5 7" xfId="10601" xr:uid="{17FA59DE-B294-4344-8B7F-E224C82DE99D}"/>
    <cellStyle name="Normal 12 2 6" xfId="1598" xr:uid="{00000000-0005-0000-0000-0000120E0000}"/>
    <cellStyle name="Normal 12 2 6 2" xfId="3828" xr:uid="{00000000-0005-0000-0000-0000130E0000}"/>
    <cellStyle name="Normal 12 2 6 2 2" xfId="8050" xr:uid="{00000000-0005-0000-0000-0000140E0000}"/>
    <cellStyle name="Normal 12 2 6 2 2 2" xfId="26676" xr:uid="{BFB5C0D2-D98C-47EA-8BB2-25BACE466602}"/>
    <cellStyle name="Normal 12 2 6 2 2 3" xfId="35123" xr:uid="{0219EFED-3AA1-4668-9CF4-DEC75742C8FA}"/>
    <cellStyle name="Normal 12 2 6 2 2 4" xfId="43570" xr:uid="{C71A262A-38A5-40CF-94B6-4B6AD82FE1A8}"/>
    <cellStyle name="Normal 12 2 6 2 2 5" xfId="17376" xr:uid="{E2C2565C-B945-40E3-A5BC-A1082949F928}"/>
    <cellStyle name="Normal 12 2 6 2 3" xfId="22459" xr:uid="{247610FC-A603-4909-ACE7-3285059979CF}"/>
    <cellStyle name="Normal 12 2 6 2 4" xfId="30906" xr:uid="{05315DBA-4A2A-4B42-AF9E-5E8D441D6657}"/>
    <cellStyle name="Normal 12 2 6 2 5" xfId="39353" xr:uid="{274BB5BE-6FBE-4530-BD46-3F07B546C1CE}"/>
    <cellStyle name="Normal 12 2 6 2 6" xfId="13159" xr:uid="{257A4D3E-A33C-4DF8-B1CB-00B1CE7C46C7}"/>
    <cellStyle name="Normal 12 2 6 3" xfId="5905" xr:uid="{00000000-0005-0000-0000-0000150E0000}"/>
    <cellStyle name="Normal 12 2 6 3 2" xfId="24531" xr:uid="{159033C2-7716-47E1-B9E0-9DB61A860F46}"/>
    <cellStyle name="Normal 12 2 6 3 3" xfId="32978" xr:uid="{AE41266A-DD3F-4D52-BC69-288D147B00FB}"/>
    <cellStyle name="Normal 12 2 6 3 4" xfId="41425" xr:uid="{63D86DF7-C304-4A83-94AF-4458A7115A46}"/>
    <cellStyle name="Normal 12 2 6 3 5" xfId="15231" xr:uid="{E53C722B-9F3B-4720-A2A7-69EC6241D991}"/>
    <cellStyle name="Normal 12 2 6 4" xfId="20314" xr:uid="{2ABB61F5-4AC4-46CD-94E2-2391A66AC565}"/>
    <cellStyle name="Normal 12 2 6 5" xfId="28761" xr:uid="{AE2E72C8-1031-4FAF-A0C3-5C1BB649B9EB}"/>
    <cellStyle name="Normal 12 2 6 6" xfId="37208" xr:uid="{126530D3-7764-4EED-A045-F233546A422E}"/>
    <cellStyle name="Normal 12 2 6 7" xfId="11014" xr:uid="{26B60C06-8F7F-4928-A64E-EE104DDE65FE}"/>
    <cellStyle name="Normal 12 2 7" xfId="2012" xr:uid="{00000000-0005-0000-0000-0000160E0000}"/>
    <cellStyle name="Normal 12 2 7 2" xfId="4241" xr:uid="{00000000-0005-0000-0000-0000170E0000}"/>
    <cellStyle name="Normal 12 2 7 2 2" xfId="8463" xr:uid="{00000000-0005-0000-0000-0000180E0000}"/>
    <cellStyle name="Normal 12 2 7 2 2 2" xfId="27089" xr:uid="{661B9D41-220D-4EC4-82A3-F84857B54568}"/>
    <cellStyle name="Normal 12 2 7 2 2 3" xfId="35536" xr:uid="{70D45752-430F-4C24-BBEF-95E5077227CD}"/>
    <cellStyle name="Normal 12 2 7 2 2 4" xfId="43983" xr:uid="{8973EC14-1BF2-466F-B221-EB168A140E1F}"/>
    <cellStyle name="Normal 12 2 7 2 2 5" xfId="17789" xr:uid="{2FFBAAF1-CD99-451F-A70D-2A2E956E013D}"/>
    <cellStyle name="Normal 12 2 7 2 3" xfId="22872" xr:uid="{C83C245B-0973-4ACD-A737-75395EEBB505}"/>
    <cellStyle name="Normal 12 2 7 2 4" xfId="31319" xr:uid="{1D348138-6A0C-4488-8872-50DFDB1F6D8C}"/>
    <cellStyle name="Normal 12 2 7 2 5" xfId="39766" xr:uid="{F46CF0B8-7BC9-41FA-B9D7-D518A32C7698}"/>
    <cellStyle name="Normal 12 2 7 2 6" xfId="13572" xr:uid="{C44A75FC-BEF3-43E6-9FC4-97127A947414}"/>
    <cellStyle name="Normal 12 2 7 3" xfId="6318" xr:uid="{00000000-0005-0000-0000-0000190E0000}"/>
    <cellStyle name="Normal 12 2 7 3 2" xfId="24944" xr:uid="{D3BE4846-26F0-48A9-AA91-D72DCAE3C5F8}"/>
    <cellStyle name="Normal 12 2 7 3 3" xfId="33391" xr:uid="{4385D96E-679D-4498-91E6-492CB0C45A32}"/>
    <cellStyle name="Normal 12 2 7 3 4" xfId="41838" xr:uid="{64B83751-BE3D-4899-A6A6-6251D2FBE257}"/>
    <cellStyle name="Normal 12 2 7 3 5" xfId="15644" xr:uid="{87B974DD-7AB7-4143-87DB-B14EADF70081}"/>
    <cellStyle name="Normal 12 2 7 4" xfId="20727" xr:uid="{10A395AA-D325-42A0-8B7E-DC2A24AF2D99}"/>
    <cellStyle name="Normal 12 2 7 5" xfId="29174" xr:uid="{E486DA37-BFDD-48F1-8796-83EEB587C4D3}"/>
    <cellStyle name="Normal 12 2 7 6" xfId="37621" xr:uid="{F2B7AA5A-64EA-4578-9AF2-58EDA5261214}"/>
    <cellStyle name="Normal 12 2 7 7" xfId="11427" xr:uid="{31E97EC2-8EC8-4795-BD86-B7D821D3ADCA}"/>
    <cellStyle name="Normal 12 2 8" xfId="2448" xr:uid="{00000000-0005-0000-0000-00001A0E0000}"/>
    <cellStyle name="Normal 12 2 8 2" xfId="6731" xr:uid="{00000000-0005-0000-0000-00001B0E0000}"/>
    <cellStyle name="Normal 12 2 8 2 2" xfId="25357" xr:uid="{A849E37E-03AD-4ADE-A20A-32FA786191AC}"/>
    <cellStyle name="Normal 12 2 8 2 3" xfId="33804" xr:uid="{C8408A87-88B1-4307-BF07-9F177BF7E7D3}"/>
    <cellStyle name="Normal 12 2 8 2 4" xfId="42251" xr:uid="{1CC476F3-8EFA-41A1-B9CF-D7A99338138D}"/>
    <cellStyle name="Normal 12 2 8 2 5" xfId="16057" xr:uid="{4ACD9CA1-C045-48A7-B0C5-1F878D6D92D1}"/>
    <cellStyle name="Normal 12 2 8 3" xfId="21140" xr:uid="{0FB52E4F-98D0-4609-85F1-99673C0D06A3}"/>
    <cellStyle name="Normal 12 2 8 4" xfId="29587" xr:uid="{AF99A4C3-9A83-4A47-99F4-238BB90A1E18}"/>
    <cellStyle name="Normal 12 2 8 5" xfId="38034" xr:uid="{B11B7B0F-6B67-494B-B654-464FABA1CA81}"/>
    <cellStyle name="Normal 12 2 8 6" xfId="11840" xr:uid="{B7F78015-5D61-4FD3-A15D-17C6C4A99C3A}"/>
    <cellStyle name="Normal 12 2 9" xfId="4665" xr:uid="{00000000-0005-0000-0000-00001C0E0000}"/>
    <cellStyle name="Normal 12 2 9 2" xfId="23291" xr:uid="{50FFEB33-6E98-4ACA-81C6-2C5C04F2EAED}"/>
    <cellStyle name="Normal 12 2 9 3" xfId="31738" xr:uid="{43392932-E8EF-40E0-8CBB-739941C3E9AE}"/>
    <cellStyle name="Normal 12 2 9 4" xfId="40185" xr:uid="{7716C7ED-C5A9-46BE-ACE0-2143DDF5A57A}"/>
    <cellStyle name="Normal 12 2 9 5" xfId="13991" xr:uid="{76FA8812-F9A5-4FB5-AE6B-0BE0A93BEB76}"/>
    <cellStyle name="Normal 12 3" xfId="264" xr:uid="{00000000-0005-0000-0000-00001D0E0000}"/>
    <cellStyle name="Normal 12 3 10" xfId="19078" xr:uid="{9A0E1DF0-952C-4504-96FB-363FA23D4300}"/>
    <cellStyle name="Normal 12 3 11" xfId="27525" xr:uid="{F7EB3D13-95A5-4D9D-801A-09E3EA08FE29}"/>
    <cellStyle name="Normal 12 3 12" xfId="35972" xr:uid="{68550207-8740-44CA-950A-3A104FBE0950}"/>
    <cellStyle name="Normal 12 3 13" xfId="9778" xr:uid="{BA75CB23-3FCB-4E92-B544-63306D6C583A}"/>
    <cellStyle name="Normal 12 3 2" xfId="265" xr:uid="{00000000-0005-0000-0000-00001E0E0000}"/>
    <cellStyle name="Normal 12 3 2 10" xfId="27526" xr:uid="{86DFB96A-8AF9-4858-88CD-9EA118D63E8B}"/>
    <cellStyle name="Normal 12 3 2 11" xfId="35973" xr:uid="{DD028564-A761-40AA-88A5-593B44A82BBB}"/>
    <cellStyle name="Normal 12 3 2 12" xfId="9779" xr:uid="{BEDC37D5-DAD1-4BEB-8AEC-CAB85B96E39F}"/>
    <cellStyle name="Normal 12 3 2 2" xfId="766" xr:uid="{00000000-0005-0000-0000-00001F0E0000}"/>
    <cellStyle name="Normal 12 3 2 2 2" xfId="3007" xr:uid="{00000000-0005-0000-0000-0000200E0000}"/>
    <cellStyle name="Normal 12 3 2 2 2 2" xfId="7229" xr:uid="{00000000-0005-0000-0000-0000210E0000}"/>
    <cellStyle name="Normal 12 3 2 2 2 2 2" xfId="25855" xr:uid="{90B56F7C-1ABB-4664-B453-8AD371A93EF1}"/>
    <cellStyle name="Normal 12 3 2 2 2 2 3" xfId="34302" xr:uid="{93199E66-CE25-4024-B70B-C681268C1FAE}"/>
    <cellStyle name="Normal 12 3 2 2 2 2 4" xfId="42749" xr:uid="{8D0D5193-133B-4AC3-9CD9-BB75D7F94383}"/>
    <cellStyle name="Normal 12 3 2 2 2 2 5" xfId="16555" xr:uid="{66DFAAFC-F42F-4F9E-B94E-5EF99C2E5687}"/>
    <cellStyle name="Normal 12 3 2 2 2 3" xfId="21638" xr:uid="{36E5BE94-D2C2-42EF-A522-3170410E4B54}"/>
    <cellStyle name="Normal 12 3 2 2 2 4" xfId="30085" xr:uid="{86B7E098-72C4-43F9-AC11-1A5F8238BE6D}"/>
    <cellStyle name="Normal 12 3 2 2 2 5" xfId="38532" xr:uid="{77DFF93E-DF60-4575-BCB9-69EB73DF4A2B}"/>
    <cellStyle name="Normal 12 3 2 2 2 6" xfId="12338" xr:uid="{12D0317D-B149-4F2F-BDDC-126A8DBC8FE6}"/>
    <cellStyle name="Normal 12 3 2 2 3" xfId="5084" xr:uid="{00000000-0005-0000-0000-0000220E0000}"/>
    <cellStyle name="Normal 12 3 2 2 3 2" xfId="23710" xr:uid="{A62E043C-C7D2-4F0E-A8F4-5306097EB83F}"/>
    <cellStyle name="Normal 12 3 2 2 3 3" xfId="32157" xr:uid="{A381D5FC-04C2-40D5-9E1D-37560E000436}"/>
    <cellStyle name="Normal 12 3 2 2 3 4" xfId="40604" xr:uid="{A6A70DD9-3BD4-4A87-A640-B887812414BA}"/>
    <cellStyle name="Normal 12 3 2 2 3 5" xfId="14410" xr:uid="{AB5783C4-D8D6-4E43-AAFA-0BD810FB3EDB}"/>
    <cellStyle name="Normal 12 3 2 2 4" xfId="9505" xr:uid="{B127619B-367D-40AD-851E-01DDBB2DCD13}"/>
    <cellStyle name="Normal 12 3 2 2 4 2" xfId="18821" xr:uid="{38749596-D9EF-4F82-89CE-44D17BD69314}"/>
    <cellStyle name="Normal 12 3 2 2 5" xfId="19493" xr:uid="{989F5E7D-203B-439A-96E7-A6A441A0C059}"/>
    <cellStyle name="Normal 12 3 2 2 6" xfId="27940" xr:uid="{98CBEFB8-380A-434B-800F-0DFE0F43A2A2}"/>
    <cellStyle name="Normal 12 3 2 2 7" xfId="36387" xr:uid="{9F22E8AB-D5E4-4ACE-ABC1-FC90560E7A9B}"/>
    <cellStyle name="Normal 12 3 2 2 8" xfId="10193" xr:uid="{A76CD3AF-25DC-45FF-95CE-B4354232A1E0}"/>
    <cellStyle name="Normal 12 3 2 3" xfId="1189" xr:uid="{00000000-0005-0000-0000-0000230E0000}"/>
    <cellStyle name="Normal 12 3 2 3 2" xfId="3420" xr:uid="{00000000-0005-0000-0000-0000240E0000}"/>
    <cellStyle name="Normal 12 3 2 3 2 2" xfId="7642" xr:uid="{00000000-0005-0000-0000-0000250E0000}"/>
    <cellStyle name="Normal 12 3 2 3 2 2 2" xfId="26268" xr:uid="{F60AA315-6CC2-485F-B2A8-F1A1FC9D7981}"/>
    <cellStyle name="Normal 12 3 2 3 2 2 3" xfId="34715" xr:uid="{AB9B4A45-96E7-44A0-921E-4C27964B0D9F}"/>
    <cellStyle name="Normal 12 3 2 3 2 2 4" xfId="43162" xr:uid="{6F5AB7E4-E29E-4D35-B6CA-0ED0AEACCFF7}"/>
    <cellStyle name="Normal 12 3 2 3 2 2 5" xfId="16968" xr:uid="{AEB17ECA-8034-4388-BC7A-5B8527992112}"/>
    <cellStyle name="Normal 12 3 2 3 2 3" xfId="22051" xr:uid="{07342019-A7C0-48DC-A92C-535C2CF205A0}"/>
    <cellStyle name="Normal 12 3 2 3 2 4" xfId="30498" xr:uid="{0698C0FE-5803-4CF9-9F37-31CC7F7C91B1}"/>
    <cellStyle name="Normal 12 3 2 3 2 5" xfId="38945" xr:uid="{A833499D-A8B7-450B-9CE6-D7DAB909DA85}"/>
    <cellStyle name="Normal 12 3 2 3 2 6" xfId="12751" xr:uid="{97F17F5E-23D7-48D5-8449-A7BD758D9D0B}"/>
    <cellStyle name="Normal 12 3 2 3 3" xfId="5497" xr:uid="{00000000-0005-0000-0000-0000260E0000}"/>
    <cellStyle name="Normal 12 3 2 3 3 2" xfId="24123" xr:uid="{06DB474B-3BC2-454A-955A-46585A730A84}"/>
    <cellStyle name="Normal 12 3 2 3 3 3" xfId="32570" xr:uid="{59C1F51E-E576-4346-B85C-26587ABE31D0}"/>
    <cellStyle name="Normal 12 3 2 3 3 4" xfId="41017" xr:uid="{206E227E-45DC-4CA7-AB9D-BD6BB871E9FE}"/>
    <cellStyle name="Normal 12 3 2 3 3 5" xfId="14823" xr:uid="{6AB3F444-7A20-4361-884B-8524F27D49D6}"/>
    <cellStyle name="Normal 12 3 2 3 4" xfId="19906" xr:uid="{9E913DC9-CDC4-40DF-8960-02F65E9291B5}"/>
    <cellStyle name="Normal 12 3 2 3 5" xfId="28353" xr:uid="{3837396C-F3CD-4641-AE60-45E9C18C0DE4}"/>
    <cellStyle name="Normal 12 3 2 3 6" xfId="36800" xr:uid="{92BDF6E9-2805-4DC8-BF72-1C3729261CC0}"/>
    <cellStyle name="Normal 12 3 2 3 7" xfId="10606" xr:uid="{26925506-3485-472F-8212-413CBD59D45E}"/>
    <cellStyle name="Normal 12 3 2 4" xfId="1603" xr:uid="{00000000-0005-0000-0000-0000270E0000}"/>
    <cellStyle name="Normal 12 3 2 4 2" xfId="3833" xr:uid="{00000000-0005-0000-0000-0000280E0000}"/>
    <cellStyle name="Normal 12 3 2 4 2 2" xfId="8055" xr:uid="{00000000-0005-0000-0000-0000290E0000}"/>
    <cellStyle name="Normal 12 3 2 4 2 2 2" xfId="26681" xr:uid="{B34B57D2-FB55-47B5-9FB6-CFE6AE77EA40}"/>
    <cellStyle name="Normal 12 3 2 4 2 2 3" xfId="35128" xr:uid="{97E649C9-C49D-45F8-9393-8632952C4A3F}"/>
    <cellStyle name="Normal 12 3 2 4 2 2 4" xfId="43575" xr:uid="{5CAC6131-EA22-460F-993E-E5D63334B500}"/>
    <cellStyle name="Normal 12 3 2 4 2 2 5" xfId="17381" xr:uid="{0D5BC1FE-9FCB-4035-8993-8890253A32C8}"/>
    <cellStyle name="Normal 12 3 2 4 2 3" xfId="22464" xr:uid="{EF5E3588-2157-489B-91AF-6877F4D7A1A0}"/>
    <cellStyle name="Normal 12 3 2 4 2 4" xfId="30911" xr:uid="{7AD6C01F-D317-4B32-AC12-4973981F3E34}"/>
    <cellStyle name="Normal 12 3 2 4 2 5" xfId="39358" xr:uid="{E1B41F8A-64C7-4E43-B64E-30A2161D28F1}"/>
    <cellStyle name="Normal 12 3 2 4 2 6" xfId="13164" xr:uid="{B585E57C-F339-4C28-A2D5-7BAC01E73776}"/>
    <cellStyle name="Normal 12 3 2 4 3" xfId="5910" xr:uid="{00000000-0005-0000-0000-00002A0E0000}"/>
    <cellStyle name="Normal 12 3 2 4 3 2" xfId="24536" xr:uid="{80C427FB-BAA7-4553-A4CA-E15DBFAE0ED7}"/>
    <cellStyle name="Normal 12 3 2 4 3 3" xfId="32983" xr:uid="{402914D9-3174-4A12-97E2-22D86235C0E8}"/>
    <cellStyle name="Normal 12 3 2 4 3 4" xfId="41430" xr:uid="{EC5D7FA8-6C64-4068-8D0E-7CD72C68E5AE}"/>
    <cellStyle name="Normal 12 3 2 4 3 5" xfId="15236" xr:uid="{A409C4B6-D2D7-4317-B816-8CFF5E441393}"/>
    <cellStyle name="Normal 12 3 2 4 4" xfId="20319" xr:uid="{AF84E1EB-1EE9-4EEE-802F-EF8366073BBA}"/>
    <cellStyle name="Normal 12 3 2 4 5" xfId="28766" xr:uid="{A84DD60B-E8A3-4BB8-8320-893740DC542C}"/>
    <cellStyle name="Normal 12 3 2 4 6" xfId="37213" xr:uid="{679C1F6B-1DAD-46B5-9AFF-CD53D0208B30}"/>
    <cellStyle name="Normal 12 3 2 4 7" xfId="11019" xr:uid="{F17E9609-36E9-43D4-AC27-031B59E80122}"/>
    <cellStyle name="Normal 12 3 2 5" xfId="2017" xr:uid="{00000000-0005-0000-0000-00002B0E0000}"/>
    <cellStyle name="Normal 12 3 2 5 2" xfId="4246" xr:uid="{00000000-0005-0000-0000-00002C0E0000}"/>
    <cellStyle name="Normal 12 3 2 5 2 2" xfId="8468" xr:uid="{00000000-0005-0000-0000-00002D0E0000}"/>
    <cellStyle name="Normal 12 3 2 5 2 2 2" xfId="27094" xr:uid="{1C06B087-63DA-4E7A-8A8B-B4E255371346}"/>
    <cellStyle name="Normal 12 3 2 5 2 2 3" xfId="35541" xr:uid="{9CD96D61-1468-4FD4-8C54-D48BE0B707C0}"/>
    <cellStyle name="Normal 12 3 2 5 2 2 4" xfId="43988" xr:uid="{88C4E43C-7F46-4672-B57E-91B211457D56}"/>
    <cellStyle name="Normal 12 3 2 5 2 2 5" xfId="17794" xr:uid="{FE63BC19-B08C-4BEF-8D3E-B589FF5CE4EA}"/>
    <cellStyle name="Normal 12 3 2 5 2 3" xfId="22877" xr:uid="{5EFFF7C5-8A05-4C01-97F0-B89A722BEF9E}"/>
    <cellStyle name="Normal 12 3 2 5 2 4" xfId="31324" xr:uid="{22A52711-6D96-4406-95EE-174BC40BB716}"/>
    <cellStyle name="Normal 12 3 2 5 2 5" xfId="39771" xr:uid="{41102C2D-0897-43CB-B1D5-4D6B2D8382B2}"/>
    <cellStyle name="Normal 12 3 2 5 2 6" xfId="13577" xr:uid="{B387040F-E173-42B2-9987-A31BF6B27AA2}"/>
    <cellStyle name="Normal 12 3 2 5 3" xfId="6323" xr:uid="{00000000-0005-0000-0000-00002E0E0000}"/>
    <cellStyle name="Normal 12 3 2 5 3 2" xfId="24949" xr:uid="{6A52F3C0-E125-48A1-9C4C-D3ADDF3C29CB}"/>
    <cellStyle name="Normal 12 3 2 5 3 3" xfId="33396" xr:uid="{C6D260B6-B3B7-4C43-8EFF-2A3C60E9AF8F}"/>
    <cellStyle name="Normal 12 3 2 5 3 4" xfId="41843" xr:uid="{2BA53969-3C09-4848-84F5-E03B43AE2B7A}"/>
    <cellStyle name="Normal 12 3 2 5 3 5" xfId="15649" xr:uid="{39E450ED-CD29-42D5-A222-8364B1732D72}"/>
    <cellStyle name="Normal 12 3 2 5 4" xfId="20732" xr:uid="{FD8E58EF-59F7-4897-8FC1-C2D861903D5A}"/>
    <cellStyle name="Normal 12 3 2 5 5" xfId="29179" xr:uid="{B8EFF6A2-53C7-4B6B-B811-08B7C68D57B5}"/>
    <cellStyle name="Normal 12 3 2 5 6" xfId="37626" xr:uid="{473516C9-3A08-4AA6-9FE8-E7AD1E4F40D8}"/>
    <cellStyle name="Normal 12 3 2 5 7" xfId="11432" xr:uid="{1E624D78-DC27-4EFC-9062-E105A2689275}"/>
    <cellStyle name="Normal 12 3 2 6" xfId="2453" xr:uid="{00000000-0005-0000-0000-00002F0E0000}"/>
    <cellStyle name="Normal 12 3 2 6 2" xfId="6736" xr:uid="{00000000-0005-0000-0000-0000300E0000}"/>
    <cellStyle name="Normal 12 3 2 6 2 2" xfId="25362" xr:uid="{7BA88032-6CB2-4B5D-BB03-390A736E09E1}"/>
    <cellStyle name="Normal 12 3 2 6 2 3" xfId="33809" xr:uid="{5C8A3941-68BA-465C-872F-BE2755380707}"/>
    <cellStyle name="Normal 12 3 2 6 2 4" xfId="42256" xr:uid="{7983881F-8EFE-4F72-850F-7F8612AE5661}"/>
    <cellStyle name="Normal 12 3 2 6 2 5" xfId="16062" xr:uid="{294BDDC3-62D8-4C7B-9C2B-4149AD4A3152}"/>
    <cellStyle name="Normal 12 3 2 6 3" xfId="21145" xr:uid="{4A5BDAEF-45F5-4F5B-988F-B8F30C7086CB}"/>
    <cellStyle name="Normal 12 3 2 6 4" xfId="29592" xr:uid="{9D2CA04F-DCC3-4797-A5B3-9F1551F7ECCC}"/>
    <cellStyle name="Normal 12 3 2 6 5" xfId="38039" xr:uid="{4229B629-F3ED-44F1-9743-1A621051DD86}"/>
    <cellStyle name="Normal 12 3 2 6 6" xfId="11845" xr:uid="{DC66D92D-CCE6-4CCA-B301-9DEAF2EDC4B8}"/>
    <cellStyle name="Normal 12 3 2 7" xfId="4670" xr:uid="{00000000-0005-0000-0000-0000310E0000}"/>
    <cellStyle name="Normal 12 3 2 7 2" xfId="23296" xr:uid="{6D0FB93A-5D65-48D8-9874-14BF8C2554B7}"/>
    <cellStyle name="Normal 12 3 2 7 3" xfId="31743" xr:uid="{F8F74FD5-B2A5-4BCF-A791-BC5816829293}"/>
    <cellStyle name="Normal 12 3 2 7 4" xfId="40190" xr:uid="{CFF56447-E1E0-4E7A-94B0-4E747E6482ED}"/>
    <cellStyle name="Normal 12 3 2 7 5" xfId="13996" xr:uid="{CFB2AB41-54CD-42F9-BA65-3622B55BF00E}"/>
    <cellStyle name="Normal 12 3 2 8" xfId="9080" xr:uid="{403F3083-4A9F-4295-B676-C31241B8936E}"/>
    <cellStyle name="Normal 12 3 2 8 2" xfId="18404" xr:uid="{7C6FB7D8-3724-40DE-A7DE-8287ADFAB4A8}"/>
    <cellStyle name="Normal 12 3 2 9" xfId="19079" xr:uid="{BB136027-10F3-4A8F-BCB0-A8D7B6307C5A}"/>
    <cellStyle name="Normal 12 3 3" xfId="765" xr:uid="{00000000-0005-0000-0000-0000320E0000}"/>
    <cellStyle name="Normal 12 3 3 2" xfId="3006" xr:uid="{00000000-0005-0000-0000-0000330E0000}"/>
    <cellStyle name="Normal 12 3 3 2 2" xfId="7228" xr:uid="{00000000-0005-0000-0000-0000340E0000}"/>
    <cellStyle name="Normal 12 3 3 2 2 2" xfId="25854" xr:uid="{D695F391-7612-47E0-8949-FFB05E94908F}"/>
    <cellStyle name="Normal 12 3 3 2 2 3" xfId="34301" xr:uid="{4685ABE8-65C9-48F8-AC6C-D40056B7ABAB}"/>
    <cellStyle name="Normal 12 3 3 2 2 4" xfId="42748" xr:uid="{5A6D3216-6858-4B44-9619-7C6941AF6923}"/>
    <cellStyle name="Normal 12 3 3 2 2 5" xfId="16554" xr:uid="{7D10509D-9B81-4006-B30A-B4927FA5D9BA}"/>
    <cellStyle name="Normal 12 3 3 2 3" xfId="21637" xr:uid="{EE436EE4-6F90-4714-9253-EE0BA3414E8B}"/>
    <cellStyle name="Normal 12 3 3 2 4" xfId="30084" xr:uid="{82F343FD-5E9E-4226-B1C4-82C1ED69F74D}"/>
    <cellStyle name="Normal 12 3 3 2 5" xfId="38531" xr:uid="{67484B05-33E6-44B4-8F26-810C4D95F3BD}"/>
    <cellStyle name="Normal 12 3 3 2 6" xfId="12337" xr:uid="{2379927D-B404-4FF6-8F11-5FBD2251885C}"/>
    <cellStyle name="Normal 12 3 3 3" xfId="5083" xr:uid="{00000000-0005-0000-0000-0000350E0000}"/>
    <cellStyle name="Normal 12 3 3 3 2" xfId="23709" xr:uid="{6147A88D-3BA6-461E-B6A3-9514742B2F99}"/>
    <cellStyle name="Normal 12 3 3 3 3" xfId="32156" xr:uid="{050344AF-0CF0-4E85-A21E-104BA8B52C03}"/>
    <cellStyle name="Normal 12 3 3 3 4" xfId="40603" xr:uid="{26630FDB-FFF8-4719-AEFA-DB40E69394DA}"/>
    <cellStyle name="Normal 12 3 3 3 5" xfId="14409" xr:uid="{B652F64E-F76F-4CD8-9518-FB165BA902BC}"/>
    <cellStyle name="Normal 12 3 3 4" xfId="9298" xr:uid="{A6F9D711-F86A-406D-B160-91678C261745}"/>
    <cellStyle name="Normal 12 3 3 4 2" xfId="18614" xr:uid="{4F8926B2-6F3C-430F-9E65-ED3608D80B11}"/>
    <cellStyle name="Normal 12 3 3 5" xfId="19492" xr:uid="{C4EAF6E2-5319-4FF5-98F9-F26337A275A5}"/>
    <cellStyle name="Normal 12 3 3 6" xfId="27939" xr:uid="{74745F21-F8BD-4727-82DD-EDA2E5AE0FDC}"/>
    <cellStyle name="Normal 12 3 3 7" xfId="36386" xr:uid="{C812027B-C3B9-4F15-B97A-698B5623F56A}"/>
    <cellStyle name="Normal 12 3 3 8" xfId="10192" xr:uid="{5C2740CE-1F39-4E99-AE7F-946878528F67}"/>
    <cellStyle name="Normal 12 3 4" xfId="1188" xr:uid="{00000000-0005-0000-0000-0000360E0000}"/>
    <cellStyle name="Normal 12 3 4 2" xfId="3419" xr:uid="{00000000-0005-0000-0000-0000370E0000}"/>
    <cellStyle name="Normal 12 3 4 2 2" xfId="7641" xr:uid="{00000000-0005-0000-0000-0000380E0000}"/>
    <cellStyle name="Normal 12 3 4 2 2 2" xfId="26267" xr:uid="{ACC94F6D-570B-4FD3-A9CE-20A99E6A87CD}"/>
    <cellStyle name="Normal 12 3 4 2 2 3" xfId="34714" xr:uid="{D23F1A40-D3D5-487F-AD0E-79314FD8A70A}"/>
    <cellStyle name="Normal 12 3 4 2 2 4" xfId="43161" xr:uid="{FA078D28-D1ED-420F-9AB4-9D88FE78BF09}"/>
    <cellStyle name="Normal 12 3 4 2 2 5" xfId="16967" xr:uid="{DC051BF8-708C-40B8-92C0-6AE0E6EA46DB}"/>
    <cellStyle name="Normal 12 3 4 2 3" xfId="22050" xr:uid="{3052F25B-4805-48BA-8D3F-E4267CF45AED}"/>
    <cellStyle name="Normal 12 3 4 2 4" xfId="30497" xr:uid="{D2EABA17-94E6-49E5-9A22-CDCBA152619A}"/>
    <cellStyle name="Normal 12 3 4 2 5" xfId="38944" xr:uid="{5D845426-801B-4FD2-B137-D70D32089553}"/>
    <cellStyle name="Normal 12 3 4 2 6" xfId="12750" xr:uid="{CF3027DF-7E44-4BF8-8C62-0BA5B84DF079}"/>
    <cellStyle name="Normal 12 3 4 3" xfId="5496" xr:uid="{00000000-0005-0000-0000-0000390E0000}"/>
    <cellStyle name="Normal 12 3 4 3 2" xfId="24122" xr:uid="{438E4607-5D7B-4B3E-A487-B5C843DD48F3}"/>
    <cellStyle name="Normal 12 3 4 3 3" xfId="32569" xr:uid="{8E6DAEA4-2941-4CA1-BA2F-B11AF19ABF08}"/>
    <cellStyle name="Normal 12 3 4 3 4" xfId="41016" xr:uid="{EA6D3C2B-5852-46F7-BB9B-62CC976511BB}"/>
    <cellStyle name="Normal 12 3 4 3 5" xfId="14822" xr:uid="{6B819FDC-8BEF-426E-92F0-236B7F78734F}"/>
    <cellStyle name="Normal 12 3 4 4" xfId="19905" xr:uid="{4F9409BC-16F5-477F-988A-509B99DE1534}"/>
    <cellStyle name="Normal 12 3 4 5" xfId="28352" xr:uid="{836FBEBF-4203-49C4-8078-E40FA8DC3DAA}"/>
    <cellStyle name="Normal 12 3 4 6" xfId="36799" xr:uid="{952E1A5B-D409-415E-9196-948FCA0D1BC6}"/>
    <cellStyle name="Normal 12 3 4 7" xfId="10605" xr:uid="{EF9C2528-9C6E-4658-AF4E-4AE16572CF47}"/>
    <cellStyle name="Normal 12 3 5" xfId="1602" xr:uid="{00000000-0005-0000-0000-00003A0E0000}"/>
    <cellStyle name="Normal 12 3 5 2" xfId="3832" xr:uid="{00000000-0005-0000-0000-00003B0E0000}"/>
    <cellStyle name="Normal 12 3 5 2 2" xfId="8054" xr:uid="{00000000-0005-0000-0000-00003C0E0000}"/>
    <cellStyle name="Normal 12 3 5 2 2 2" xfId="26680" xr:uid="{63784558-791F-40DA-B7FA-73FB614B14B8}"/>
    <cellStyle name="Normal 12 3 5 2 2 3" xfId="35127" xr:uid="{F020A14E-06F1-4EF0-B574-CC87C77F970A}"/>
    <cellStyle name="Normal 12 3 5 2 2 4" xfId="43574" xr:uid="{A044362B-BA18-475D-9751-00CE8B947314}"/>
    <cellStyle name="Normal 12 3 5 2 2 5" xfId="17380" xr:uid="{4A5A7C37-35F2-4741-B309-59FA827ACE57}"/>
    <cellStyle name="Normal 12 3 5 2 3" xfId="22463" xr:uid="{CD7CAC31-8506-4625-805E-7CAC902F1B8D}"/>
    <cellStyle name="Normal 12 3 5 2 4" xfId="30910" xr:uid="{847D4CCD-AAE8-4A59-9548-FA06EC0FE504}"/>
    <cellStyle name="Normal 12 3 5 2 5" xfId="39357" xr:uid="{0FF8CCD7-CBDE-4D1B-B5C8-29589A59C7CB}"/>
    <cellStyle name="Normal 12 3 5 2 6" xfId="13163" xr:uid="{CAACC2F6-0F7C-4C0D-812E-18964CA893F3}"/>
    <cellStyle name="Normal 12 3 5 3" xfId="5909" xr:uid="{00000000-0005-0000-0000-00003D0E0000}"/>
    <cellStyle name="Normal 12 3 5 3 2" xfId="24535" xr:uid="{CF665E37-1DEA-49E4-9CFD-53F9A87B7F03}"/>
    <cellStyle name="Normal 12 3 5 3 3" xfId="32982" xr:uid="{F74B3431-8706-44B1-9F46-E7D1FBBE843C}"/>
    <cellStyle name="Normal 12 3 5 3 4" xfId="41429" xr:uid="{53B4F8DA-3219-452D-84A9-D8A4AB940A61}"/>
    <cellStyle name="Normal 12 3 5 3 5" xfId="15235" xr:uid="{F533BEF8-FDCF-47CD-8869-2251EB9F91A9}"/>
    <cellStyle name="Normal 12 3 5 4" xfId="20318" xr:uid="{4F6DFEF7-8933-48A7-9282-1E1D2792C223}"/>
    <cellStyle name="Normal 12 3 5 5" xfId="28765" xr:uid="{EAA61680-8135-4400-B2D3-C5A766EBC35F}"/>
    <cellStyle name="Normal 12 3 5 6" xfId="37212" xr:uid="{A60BBFD7-0156-4C53-B64C-57F6ACA958A9}"/>
    <cellStyle name="Normal 12 3 5 7" xfId="11018" xr:uid="{EFE52A63-5077-4AC9-BCA6-5DBBDB0AA402}"/>
    <cellStyle name="Normal 12 3 6" xfId="2016" xr:uid="{00000000-0005-0000-0000-00003E0E0000}"/>
    <cellStyle name="Normal 12 3 6 2" xfId="4245" xr:uid="{00000000-0005-0000-0000-00003F0E0000}"/>
    <cellStyle name="Normal 12 3 6 2 2" xfId="8467" xr:uid="{00000000-0005-0000-0000-0000400E0000}"/>
    <cellStyle name="Normal 12 3 6 2 2 2" xfId="27093" xr:uid="{79221663-4ABF-4943-80B5-5F7D8DE61D71}"/>
    <cellStyle name="Normal 12 3 6 2 2 3" xfId="35540" xr:uid="{086B0994-4C88-45E1-8484-3A1CE065A8C2}"/>
    <cellStyle name="Normal 12 3 6 2 2 4" xfId="43987" xr:uid="{C18B751E-4764-461C-90A8-9306DE551D5F}"/>
    <cellStyle name="Normal 12 3 6 2 2 5" xfId="17793" xr:uid="{330CA787-12AF-4AEC-808A-2F07558AF961}"/>
    <cellStyle name="Normal 12 3 6 2 3" xfId="22876" xr:uid="{A063D3F8-1F3E-4B31-AE9A-50E8DA03F23B}"/>
    <cellStyle name="Normal 12 3 6 2 4" xfId="31323" xr:uid="{7C3A36FD-C515-4EA0-BFA8-2AB233521FC7}"/>
    <cellStyle name="Normal 12 3 6 2 5" xfId="39770" xr:uid="{0D4A1FDF-BE21-49C1-B083-AAA840087BA1}"/>
    <cellStyle name="Normal 12 3 6 2 6" xfId="13576" xr:uid="{2E3FC5CB-8326-4FBA-836F-873BEC22BCBF}"/>
    <cellStyle name="Normal 12 3 6 3" xfId="6322" xr:uid="{00000000-0005-0000-0000-0000410E0000}"/>
    <cellStyle name="Normal 12 3 6 3 2" xfId="24948" xr:uid="{10ECA3D3-1B1A-45A5-B4C7-E699ABB458B8}"/>
    <cellStyle name="Normal 12 3 6 3 3" xfId="33395" xr:uid="{D3FF922E-D275-4A6B-87DF-397486BA8E6D}"/>
    <cellStyle name="Normal 12 3 6 3 4" xfId="41842" xr:uid="{BE9D97B5-4DAD-414D-9A7A-5D1C96E03021}"/>
    <cellStyle name="Normal 12 3 6 3 5" xfId="15648" xr:uid="{9F0F44F1-2F8D-42C9-AD1A-5D7FA27E8404}"/>
    <cellStyle name="Normal 12 3 6 4" xfId="20731" xr:uid="{9D453770-4062-435B-AC86-889CF678C0A9}"/>
    <cellStyle name="Normal 12 3 6 5" xfId="29178" xr:uid="{BC43E9B2-0FC1-46B7-A9E5-A3E294EACAAB}"/>
    <cellStyle name="Normal 12 3 6 6" xfId="37625" xr:uid="{940C0356-F06D-40CA-B5AA-A683680EDFDD}"/>
    <cellStyle name="Normal 12 3 6 7" xfId="11431" xr:uid="{D04DE1D5-C8D7-4EE6-8EA9-BB804C93AEC7}"/>
    <cellStyle name="Normal 12 3 7" xfId="2452" xr:uid="{00000000-0005-0000-0000-0000420E0000}"/>
    <cellStyle name="Normal 12 3 7 2" xfId="6735" xr:uid="{00000000-0005-0000-0000-0000430E0000}"/>
    <cellStyle name="Normal 12 3 7 2 2" xfId="25361" xr:uid="{34DB10FB-D3C3-460B-B82F-7966AA890C5E}"/>
    <cellStyle name="Normal 12 3 7 2 3" xfId="33808" xr:uid="{8DCE80BA-BE3A-4D50-A9CB-20674254FACB}"/>
    <cellStyle name="Normal 12 3 7 2 4" xfId="42255" xr:uid="{DD0390E6-4E6D-49D8-A69C-2748B88A8DDF}"/>
    <cellStyle name="Normal 12 3 7 2 5" xfId="16061" xr:uid="{E54DE342-2564-4E8B-8E7D-8862027A3904}"/>
    <cellStyle name="Normal 12 3 7 3" xfId="21144" xr:uid="{29D44336-57BB-4BB9-9AEE-26626DAD8FD8}"/>
    <cellStyle name="Normal 12 3 7 4" xfId="29591" xr:uid="{BDFCD640-1C7D-4ABF-8FEA-5CE0D8E26E2C}"/>
    <cellStyle name="Normal 12 3 7 5" xfId="38038" xr:uid="{CE9ADAFC-BCF0-4780-8C24-D87EEA1C6F14}"/>
    <cellStyle name="Normal 12 3 7 6" xfId="11844" xr:uid="{D95269E4-82E6-4B22-B0EB-083BC56E60AB}"/>
    <cellStyle name="Normal 12 3 8" xfId="4669" xr:uid="{00000000-0005-0000-0000-0000440E0000}"/>
    <cellStyle name="Normal 12 3 8 2" xfId="23295" xr:uid="{4CDF084A-717E-43EF-B1F2-2CB1279F4AAD}"/>
    <cellStyle name="Normal 12 3 8 3" xfId="31742" xr:uid="{7FF01EF0-1897-4FF5-AAAE-367E75707584}"/>
    <cellStyle name="Normal 12 3 8 4" xfId="40189" xr:uid="{08761AFC-18CC-4B64-A74B-CCEA588643F5}"/>
    <cellStyle name="Normal 12 3 8 5" xfId="13995" xr:uid="{9AE878D7-3535-46BF-9A1F-187EDA2623E8}"/>
    <cellStyle name="Normal 12 3 9" xfId="8873" xr:uid="{72AE7E6C-F254-4BFC-80A7-F73848FA4F21}"/>
    <cellStyle name="Normal 12 3 9 2" xfId="18197" xr:uid="{5F4361FF-C70F-4690-AB72-89FF9E3EFC1D}"/>
    <cellStyle name="Normal 12 4" xfId="266" xr:uid="{00000000-0005-0000-0000-0000450E0000}"/>
    <cellStyle name="Normal 12 4 10" xfId="27527" xr:uid="{01607CF4-069B-4BC3-9C9A-2C741F8593C0}"/>
    <cellStyle name="Normal 12 4 11" xfId="35974" xr:uid="{344B2124-2FC1-401E-B1F7-BCF597408E6D}"/>
    <cellStyle name="Normal 12 4 12" xfId="9780" xr:uid="{48DAFB81-E154-4FC4-8773-29ABBF726AD5}"/>
    <cellStyle name="Normal 12 4 2" xfId="767" xr:uid="{00000000-0005-0000-0000-0000460E0000}"/>
    <cellStyle name="Normal 12 4 2 2" xfId="3008" xr:uid="{00000000-0005-0000-0000-0000470E0000}"/>
    <cellStyle name="Normal 12 4 2 2 2" xfId="7230" xr:uid="{00000000-0005-0000-0000-0000480E0000}"/>
    <cellStyle name="Normal 12 4 2 2 2 2" xfId="25856" xr:uid="{2E2DF140-A2C5-4776-AE74-03CCC08820F7}"/>
    <cellStyle name="Normal 12 4 2 2 2 3" xfId="34303" xr:uid="{F97CC7C6-BF5B-4315-BE10-4B5B55324AB7}"/>
    <cellStyle name="Normal 12 4 2 2 2 4" xfId="42750" xr:uid="{0459713D-F01B-498C-994C-F6F65D790110}"/>
    <cellStyle name="Normal 12 4 2 2 2 5" xfId="16556" xr:uid="{E72A1C51-AD79-4D09-B3D1-2871F060E4C9}"/>
    <cellStyle name="Normal 12 4 2 2 3" xfId="21639" xr:uid="{0282606E-281F-4D2F-8E74-9ECD5F3838EE}"/>
    <cellStyle name="Normal 12 4 2 2 4" xfId="30086" xr:uid="{D3F6530D-59F5-4070-96C2-4D433D0DC916}"/>
    <cellStyle name="Normal 12 4 2 2 5" xfId="38533" xr:uid="{D75A6387-E528-4654-B88F-417F6FAFA8B8}"/>
    <cellStyle name="Normal 12 4 2 2 6" xfId="12339" xr:uid="{B9F8C287-195F-4ED6-9430-FEF95BB1F1BD}"/>
    <cellStyle name="Normal 12 4 2 3" xfId="5085" xr:uid="{00000000-0005-0000-0000-0000490E0000}"/>
    <cellStyle name="Normal 12 4 2 3 2" xfId="23711" xr:uid="{6D6F4C58-6905-41E8-8ED0-03DD0EE4ABAE}"/>
    <cellStyle name="Normal 12 4 2 3 3" xfId="32158" xr:uid="{AB41CA7B-357E-4786-8069-46EF8C96E261}"/>
    <cellStyle name="Normal 12 4 2 3 4" xfId="40605" xr:uid="{C4BCA4F7-40C2-4F2D-BB46-CBB1F39CDAD0}"/>
    <cellStyle name="Normal 12 4 2 3 5" xfId="14411" xr:uid="{6C4B00BD-51D9-40C6-8B74-DBC68A13E249}"/>
    <cellStyle name="Normal 12 4 2 4" xfId="9402" xr:uid="{F40C9AB7-F4D0-4A65-BBAA-FF5409160FE5}"/>
    <cellStyle name="Normal 12 4 2 4 2" xfId="18718" xr:uid="{CBE635D4-2DBE-4ACC-90E9-80D81D390308}"/>
    <cellStyle name="Normal 12 4 2 5" xfId="19494" xr:uid="{8BF1EEF0-8EA2-4074-9BB3-82BA6D41A63D}"/>
    <cellStyle name="Normal 12 4 2 6" xfId="27941" xr:uid="{8DAF4492-0D2E-4770-A0C9-E3D0BD227808}"/>
    <cellStyle name="Normal 12 4 2 7" xfId="36388" xr:uid="{6A4799D0-F2BA-405A-B5EA-CCC270287CBC}"/>
    <cellStyle name="Normal 12 4 2 8" xfId="10194" xr:uid="{EFD2E018-CE04-44DB-9383-796FD29D20A0}"/>
    <cellStyle name="Normal 12 4 3" xfId="1190" xr:uid="{00000000-0005-0000-0000-00004A0E0000}"/>
    <cellStyle name="Normal 12 4 3 2" xfId="3421" xr:uid="{00000000-0005-0000-0000-00004B0E0000}"/>
    <cellStyle name="Normal 12 4 3 2 2" xfId="7643" xr:uid="{00000000-0005-0000-0000-00004C0E0000}"/>
    <cellStyle name="Normal 12 4 3 2 2 2" xfId="26269" xr:uid="{4EE24C46-44EB-437D-AC90-E8D2FB3F0CFB}"/>
    <cellStyle name="Normal 12 4 3 2 2 3" xfId="34716" xr:uid="{F6E2F832-055A-4F1D-A44F-4DB4B0C97E43}"/>
    <cellStyle name="Normal 12 4 3 2 2 4" xfId="43163" xr:uid="{9DBFAE30-3F3A-46DA-B286-B2DD5A5E3091}"/>
    <cellStyle name="Normal 12 4 3 2 2 5" xfId="16969" xr:uid="{921942B1-2BE0-49D0-82E8-472B1B0A3DAD}"/>
    <cellStyle name="Normal 12 4 3 2 3" xfId="22052" xr:uid="{C330B6CC-8B25-4481-B1D8-46845D980AD3}"/>
    <cellStyle name="Normal 12 4 3 2 4" xfId="30499" xr:uid="{665C16FC-49A1-4FB2-877A-F5063EA763EB}"/>
    <cellStyle name="Normal 12 4 3 2 5" xfId="38946" xr:uid="{09792EEB-02A1-411D-BF5C-EEBAC87041ED}"/>
    <cellStyle name="Normal 12 4 3 2 6" xfId="12752" xr:uid="{C0A49FE9-4F09-4AD1-B955-C50FDBB8D685}"/>
    <cellStyle name="Normal 12 4 3 3" xfId="5498" xr:uid="{00000000-0005-0000-0000-00004D0E0000}"/>
    <cellStyle name="Normal 12 4 3 3 2" xfId="24124" xr:uid="{1D9034BE-6305-4D40-A789-7A6A3DF4DBF9}"/>
    <cellStyle name="Normal 12 4 3 3 3" xfId="32571" xr:uid="{A5A18634-7415-498E-A93C-82CB54400AF8}"/>
    <cellStyle name="Normal 12 4 3 3 4" xfId="41018" xr:uid="{F79CA7AD-21A1-4E2B-883F-B2CB42D15C55}"/>
    <cellStyle name="Normal 12 4 3 3 5" xfId="14824" xr:uid="{3D7C647F-7D88-4E06-AC20-DFE8FFD49DC1}"/>
    <cellStyle name="Normal 12 4 3 4" xfId="19907" xr:uid="{CC4340EB-CF77-49E1-A3DA-B2627C8027B6}"/>
    <cellStyle name="Normal 12 4 3 5" xfId="28354" xr:uid="{F5F55E72-C016-441F-815E-5F1736117209}"/>
    <cellStyle name="Normal 12 4 3 6" xfId="36801" xr:uid="{630467E2-FD8F-4EBB-9539-23A5C9267810}"/>
    <cellStyle name="Normal 12 4 3 7" xfId="10607" xr:uid="{33C15249-2046-4D20-87C9-6E9B4008B8D1}"/>
    <cellStyle name="Normal 12 4 4" xfId="1604" xr:uid="{00000000-0005-0000-0000-00004E0E0000}"/>
    <cellStyle name="Normal 12 4 4 2" xfId="3834" xr:uid="{00000000-0005-0000-0000-00004F0E0000}"/>
    <cellStyle name="Normal 12 4 4 2 2" xfId="8056" xr:uid="{00000000-0005-0000-0000-0000500E0000}"/>
    <cellStyle name="Normal 12 4 4 2 2 2" xfId="26682" xr:uid="{3C3A64EB-CFD0-4046-BA73-17FC12BCBABE}"/>
    <cellStyle name="Normal 12 4 4 2 2 3" xfId="35129" xr:uid="{76F0A5C9-FA6E-4A70-917F-E8A2D80DF73D}"/>
    <cellStyle name="Normal 12 4 4 2 2 4" xfId="43576" xr:uid="{75D59EE5-6066-4F8B-8C8D-3F909A4B14F9}"/>
    <cellStyle name="Normal 12 4 4 2 2 5" xfId="17382" xr:uid="{D2ED8B4E-D923-41C5-B4D9-D3B36F4C01F8}"/>
    <cellStyle name="Normal 12 4 4 2 3" xfId="22465" xr:uid="{0583D36E-87C4-4FDC-B5D9-E1052D55F79F}"/>
    <cellStyle name="Normal 12 4 4 2 4" xfId="30912" xr:uid="{7B581787-B7D1-414C-8BF2-B23448679F89}"/>
    <cellStyle name="Normal 12 4 4 2 5" xfId="39359" xr:uid="{9138CE8A-ECC2-4963-8FB7-66A0C90606B0}"/>
    <cellStyle name="Normal 12 4 4 2 6" xfId="13165" xr:uid="{484223DF-41B9-4843-ACE3-427098AA9A38}"/>
    <cellStyle name="Normal 12 4 4 3" xfId="5911" xr:uid="{00000000-0005-0000-0000-0000510E0000}"/>
    <cellStyle name="Normal 12 4 4 3 2" xfId="24537" xr:uid="{E28B2577-C53E-4F95-B8B4-4BCD61DE13FE}"/>
    <cellStyle name="Normal 12 4 4 3 3" xfId="32984" xr:uid="{3670FEBB-A5FF-4097-A758-781A1D54240C}"/>
    <cellStyle name="Normal 12 4 4 3 4" xfId="41431" xr:uid="{8C437791-1A00-46DE-826E-DBAF97BBE75F}"/>
    <cellStyle name="Normal 12 4 4 3 5" xfId="15237" xr:uid="{15E26801-A61A-4AD0-BA4C-A035124F468F}"/>
    <cellStyle name="Normal 12 4 4 4" xfId="20320" xr:uid="{A0920A47-20E3-4223-A495-FDCA2094D968}"/>
    <cellStyle name="Normal 12 4 4 5" xfId="28767" xr:uid="{BB1D5107-0B0F-4E27-9CE0-48F665EA1EE2}"/>
    <cellStyle name="Normal 12 4 4 6" xfId="37214" xr:uid="{3A933CDE-0E3E-48E3-9D6B-43EAE3CB122F}"/>
    <cellStyle name="Normal 12 4 4 7" xfId="11020" xr:uid="{D16CC569-4EE3-46BD-BF87-835EDD72D923}"/>
    <cellStyle name="Normal 12 4 5" xfId="2018" xr:uid="{00000000-0005-0000-0000-0000520E0000}"/>
    <cellStyle name="Normal 12 4 5 2" xfId="4247" xr:uid="{00000000-0005-0000-0000-0000530E0000}"/>
    <cellStyle name="Normal 12 4 5 2 2" xfId="8469" xr:uid="{00000000-0005-0000-0000-0000540E0000}"/>
    <cellStyle name="Normal 12 4 5 2 2 2" xfId="27095" xr:uid="{46BCAD6F-ED01-4D53-8A6F-B2655CB8DB4F}"/>
    <cellStyle name="Normal 12 4 5 2 2 3" xfId="35542" xr:uid="{97288884-4802-45BC-915D-7B4564FA07B1}"/>
    <cellStyle name="Normal 12 4 5 2 2 4" xfId="43989" xr:uid="{BAEC51F3-2071-422F-B004-400B1CFA3743}"/>
    <cellStyle name="Normal 12 4 5 2 2 5" xfId="17795" xr:uid="{E4A856F6-0B3B-4438-9E62-2D5E279791B5}"/>
    <cellStyle name="Normal 12 4 5 2 3" xfId="22878" xr:uid="{F20D71DB-6C02-4961-88A8-AD319C8A094F}"/>
    <cellStyle name="Normal 12 4 5 2 4" xfId="31325" xr:uid="{B3DC5AE6-57C2-40C5-A1C2-2AD5443C07F2}"/>
    <cellStyle name="Normal 12 4 5 2 5" xfId="39772" xr:uid="{60B71E1E-D0CE-4EE9-A8C4-F118506DFCBB}"/>
    <cellStyle name="Normal 12 4 5 2 6" xfId="13578" xr:uid="{ABE3A7A4-1573-493E-89F9-4D09E932E5F0}"/>
    <cellStyle name="Normal 12 4 5 3" xfId="6324" xr:uid="{00000000-0005-0000-0000-0000550E0000}"/>
    <cellStyle name="Normal 12 4 5 3 2" xfId="24950" xr:uid="{573FB6EC-2D5A-4359-97A9-1B0D0045EB07}"/>
    <cellStyle name="Normal 12 4 5 3 3" xfId="33397" xr:uid="{D43CE05D-CA72-4928-A87A-1DC159FBD1BC}"/>
    <cellStyle name="Normal 12 4 5 3 4" xfId="41844" xr:uid="{FA530FF6-94DF-429E-86A1-35172C8B2786}"/>
    <cellStyle name="Normal 12 4 5 3 5" xfId="15650" xr:uid="{0F106F51-8589-4862-8451-ECA6B043BA1F}"/>
    <cellStyle name="Normal 12 4 5 4" xfId="20733" xr:uid="{5FF4E263-A053-49F1-BC39-884DC72592A7}"/>
    <cellStyle name="Normal 12 4 5 5" xfId="29180" xr:uid="{C21875AD-3A1C-4E1D-857C-136503D137E5}"/>
    <cellStyle name="Normal 12 4 5 6" xfId="37627" xr:uid="{325F1FF0-A99A-4C06-B11A-151250ACE723}"/>
    <cellStyle name="Normal 12 4 5 7" xfId="11433" xr:uid="{1C33D6EA-B140-4D98-B41B-A92A0EA793B1}"/>
    <cellStyle name="Normal 12 4 6" xfId="2454" xr:uid="{00000000-0005-0000-0000-0000560E0000}"/>
    <cellStyle name="Normal 12 4 6 2" xfId="6737" xr:uid="{00000000-0005-0000-0000-0000570E0000}"/>
    <cellStyle name="Normal 12 4 6 2 2" xfId="25363" xr:uid="{89696CA7-538B-4430-873C-D9322F0C000C}"/>
    <cellStyle name="Normal 12 4 6 2 3" xfId="33810" xr:uid="{3E18E096-F064-45D6-9F6D-88742B593691}"/>
    <cellStyle name="Normal 12 4 6 2 4" xfId="42257" xr:uid="{C3D5729B-A858-4016-A92E-36CA2B497F48}"/>
    <cellStyle name="Normal 12 4 6 2 5" xfId="16063" xr:uid="{2F31DB32-B2FF-46CA-A3EB-6F3F2D08128F}"/>
    <cellStyle name="Normal 12 4 6 3" xfId="21146" xr:uid="{2828D149-A805-4A9D-97E2-DFA2A3EE9E83}"/>
    <cellStyle name="Normal 12 4 6 4" xfId="29593" xr:uid="{B696C0C6-E692-4915-9D1A-DBC278F2C192}"/>
    <cellStyle name="Normal 12 4 6 5" xfId="38040" xr:uid="{9C349EB6-B9AA-42BF-A85B-ED2443ABCCB3}"/>
    <cellStyle name="Normal 12 4 6 6" xfId="11846" xr:uid="{413C04C5-4013-4185-B82E-ADF5573A5EDC}"/>
    <cellStyle name="Normal 12 4 7" xfId="4671" xr:uid="{00000000-0005-0000-0000-0000580E0000}"/>
    <cellStyle name="Normal 12 4 7 2" xfId="23297" xr:uid="{1CB03339-B5CA-49C0-9189-B2AAC4436E07}"/>
    <cellStyle name="Normal 12 4 7 3" xfId="31744" xr:uid="{B6844947-9E85-468B-94A6-04077F08AA97}"/>
    <cellStyle name="Normal 12 4 7 4" xfId="40191" xr:uid="{448ACE8E-A2D3-45C6-B4F7-79D3D8F8EFF2}"/>
    <cellStyle name="Normal 12 4 7 5" xfId="13997" xr:uid="{682B03B5-3534-440E-B716-42D5BC78E881}"/>
    <cellStyle name="Normal 12 4 8" xfId="8977" xr:uid="{5BFFE5F3-99F6-4DA1-A3EF-BF749B3B7ACB}"/>
    <cellStyle name="Normal 12 4 8 2" xfId="18301" xr:uid="{AAC8FB35-1AD1-4ECA-89E1-56444F5605B5}"/>
    <cellStyle name="Normal 12 4 9" xfId="19080" xr:uid="{B427600C-BA72-405B-8781-81029F24130E}"/>
    <cellStyle name="Normal 12 5" xfId="267" xr:uid="{00000000-0005-0000-0000-0000590E0000}"/>
    <cellStyle name="Normal 12 5 2" xfId="9579" xr:uid="{43940F87-8803-4E34-B3E0-736FAF89CA32}"/>
    <cellStyle name="Normal 12 5 2 2" xfId="18895" xr:uid="{CA31D83C-0D82-444A-86E1-F1A5BCDEF800}"/>
    <cellStyle name="Normal 12 5 3" xfId="9586" xr:uid="{72B01073-C2DA-4DF8-9E0D-6932F6AF67FF}"/>
    <cellStyle name="Normal 12 5 4" xfId="9156" xr:uid="{4BCB05AE-5738-4A10-9D4D-B3A4CD16FD2C}"/>
    <cellStyle name="Normal 12 5 4 2" xfId="18478" xr:uid="{00563A17-6DD0-41CF-88F5-257ED23CF4FA}"/>
    <cellStyle name="Normal 12 6" xfId="760" xr:uid="{00000000-0005-0000-0000-00005A0E0000}"/>
    <cellStyle name="Normal 12 6 2" xfId="3001" xr:uid="{00000000-0005-0000-0000-00005B0E0000}"/>
    <cellStyle name="Normal 12 6 2 2" xfId="7223" xr:uid="{00000000-0005-0000-0000-00005C0E0000}"/>
    <cellStyle name="Normal 12 6 2 2 2" xfId="25849" xr:uid="{EF949F3A-2FB8-4D6C-9DC0-064057C625C6}"/>
    <cellStyle name="Normal 12 6 2 2 3" xfId="34296" xr:uid="{D6DF2F73-0164-4F29-BB2A-60D3E45D4046}"/>
    <cellStyle name="Normal 12 6 2 2 4" xfId="42743" xr:uid="{8BFD5DE6-785D-4E85-98FB-850B5DD5A1BE}"/>
    <cellStyle name="Normal 12 6 2 2 5" xfId="16549" xr:uid="{23908505-8E88-42A0-94CB-AAD3E45F4C05}"/>
    <cellStyle name="Normal 12 6 2 3" xfId="21632" xr:uid="{D5D9D2BC-0C4D-4AA1-BF96-882C9DC97D5F}"/>
    <cellStyle name="Normal 12 6 2 4" xfId="30079" xr:uid="{63606D3F-229A-4B80-BE70-109CFFFC6D9D}"/>
    <cellStyle name="Normal 12 6 2 5" xfId="38526" xr:uid="{86E8D6BA-463E-4A7C-9B09-268B471EF500}"/>
    <cellStyle name="Normal 12 6 2 6" xfId="12332" xr:uid="{5FCFC0C7-8B10-45A4-BEFD-E565EC6AEED1}"/>
    <cellStyle name="Normal 12 6 3" xfId="5078" xr:uid="{00000000-0005-0000-0000-00005D0E0000}"/>
    <cellStyle name="Normal 12 6 3 2" xfId="23704" xr:uid="{3B4720F6-4CB9-4DD3-83A3-DDE595E3D06E}"/>
    <cellStyle name="Normal 12 6 3 3" xfId="32151" xr:uid="{09C190EC-F2B2-4868-A085-AEF52B7897B8}"/>
    <cellStyle name="Normal 12 6 3 4" xfId="40598" xr:uid="{AB7D459E-BE21-4EE8-AE83-3972D4050C6B}"/>
    <cellStyle name="Normal 12 6 3 5" xfId="14404" xr:uid="{19CD4444-A75F-4F3D-8CA5-2DA7966FF54F}"/>
    <cellStyle name="Normal 12 6 4" xfId="9194" xr:uid="{92D32932-3865-4F6F-A551-9A99EC116A43}"/>
    <cellStyle name="Normal 12 6 4 2" xfId="18511" xr:uid="{49C02B93-F5F5-4FE2-8EBF-BDF7BB77688D}"/>
    <cellStyle name="Normal 12 6 5" xfId="19487" xr:uid="{1D9CF799-0215-4199-BE83-1063418A17C6}"/>
    <cellStyle name="Normal 12 6 6" xfId="27934" xr:uid="{04B9482C-F418-4505-BE86-BB029AC2262A}"/>
    <cellStyle name="Normal 12 6 7" xfId="36381" xr:uid="{183B9F74-18D9-4E43-A59A-0C1EDC1F5893}"/>
    <cellStyle name="Normal 12 6 8" xfId="10187" xr:uid="{693DC63E-D87C-4D11-B674-FF50971398EB}"/>
    <cellStyle name="Normal 12 7" xfId="1183" xr:uid="{00000000-0005-0000-0000-00005E0E0000}"/>
    <cellStyle name="Normal 12 7 2" xfId="3414" xr:uid="{00000000-0005-0000-0000-00005F0E0000}"/>
    <cellStyle name="Normal 12 7 2 2" xfId="7636" xr:uid="{00000000-0005-0000-0000-0000600E0000}"/>
    <cellStyle name="Normal 12 7 2 2 2" xfId="26262" xr:uid="{FE7C5232-80BC-4B56-A14E-BABF7E952B95}"/>
    <cellStyle name="Normal 12 7 2 2 3" xfId="34709" xr:uid="{9E8986B2-2F54-4869-879C-7F3CD09BD994}"/>
    <cellStyle name="Normal 12 7 2 2 4" xfId="43156" xr:uid="{0DE59A14-F18E-47D6-BDEC-45EB6C4204DF}"/>
    <cellStyle name="Normal 12 7 2 2 5" xfId="16962" xr:uid="{96FE25E3-CD5B-470A-A144-1214F00B4DD1}"/>
    <cellStyle name="Normal 12 7 2 3" xfId="22045" xr:uid="{62288AA4-1598-48DE-8022-1FE89F3B287D}"/>
    <cellStyle name="Normal 12 7 2 4" xfId="30492" xr:uid="{6EE7AD51-700B-45A0-893F-2F4B7FF01DC5}"/>
    <cellStyle name="Normal 12 7 2 5" xfId="38939" xr:uid="{B3FD9987-AAA7-41A1-8249-26AE501CD138}"/>
    <cellStyle name="Normal 12 7 2 6" xfId="12745" xr:uid="{8AC51CF0-4FAA-4D60-8C8E-240A187491F7}"/>
    <cellStyle name="Normal 12 7 3" xfId="5491" xr:uid="{00000000-0005-0000-0000-0000610E0000}"/>
    <cellStyle name="Normal 12 7 3 2" xfId="24117" xr:uid="{F721976E-DCDC-4BC6-8858-3C1F4907F908}"/>
    <cellStyle name="Normal 12 7 3 3" xfId="32564" xr:uid="{0D442C91-419E-4A0C-9383-3EBCC6AF8B17}"/>
    <cellStyle name="Normal 12 7 3 4" xfId="41011" xr:uid="{97FDA739-D720-419B-85CF-49D298FCFACB}"/>
    <cellStyle name="Normal 12 7 3 5" xfId="14817" xr:uid="{88232070-C4ED-423B-8AE7-BD140CC62FCF}"/>
    <cellStyle name="Normal 12 7 4" xfId="19900" xr:uid="{EE0FCA5E-5AA1-4466-A49F-98D6137E28E1}"/>
    <cellStyle name="Normal 12 7 5" xfId="28347" xr:uid="{4AF91771-8D50-453F-B9D7-DCFFC3D42104}"/>
    <cellStyle name="Normal 12 7 6" xfId="36794" xr:uid="{7EE73E06-AF50-472F-9F20-10E81AA5F9E1}"/>
    <cellStyle name="Normal 12 7 7" xfId="10600" xr:uid="{327B0751-7047-438A-93C7-5D496B05ABF9}"/>
    <cellStyle name="Normal 12 8" xfId="1597" xr:uid="{00000000-0005-0000-0000-0000620E0000}"/>
    <cellStyle name="Normal 12 8 2" xfId="3827" xr:uid="{00000000-0005-0000-0000-0000630E0000}"/>
    <cellStyle name="Normal 12 8 2 2" xfId="8049" xr:uid="{00000000-0005-0000-0000-0000640E0000}"/>
    <cellStyle name="Normal 12 8 2 2 2" xfId="26675" xr:uid="{40BD5C10-ED5F-4845-940A-A71A837F6051}"/>
    <cellStyle name="Normal 12 8 2 2 3" xfId="35122" xr:uid="{032AEAEA-184D-4C5D-979E-0A012190B67C}"/>
    <cellStyle name="Normal 12 8 2 2 4" xfId="43569" xr:uid="{0989F7C9-D070-41ED-A3C0-63A925B8A708}"/>
    <cellStyle name="Normal 12 8 2 2 5" xfId="17375" xr:uid="{8A6FC4A8-73FD-4B67-A232-CCCF152F47FF}"/>
    <cellStyle name="Normal 12 8 2 3" xfId="22458" xr:uid="{A857CE31-C789-4107-B151-BBD28E2653C1}"/>
    <cellStyle name="Normal 12 8 2 4" xfId="30905" xr:uid="{7315BDCC-EECA-4EF3-A979-98B7911DAFD8}"/>
    <cellStyle name="Normal 12 8 2 5" xfId="39352" xr:uid="{4B51436B-6309-4778-91A5-0B8F8AB63EB9}"/>
    <cellStyle name="Normal 12 8 2 6" xfId="13158" xr:uid="{31FA43A9-ABCD-448B-8399-309EFD989F3C}"/>
    <cellStyle name="Normal 12 8 3" xfId="5904" xr:uid="{00000000-0005-0000-0000-0000650E0000}"/>
    <cellStyle name="Normal 12 8 3 2" xfId="24530" xr:uid="{28B1C9BE-33AE-4F44-9C58-934AEFD46F19}"/>
    <cellStyle name="Normal 12 8 3 3" xfId="32977" xr:uid="{607F61E2-88BE-4461-846F-6D34F6333E78}"/>
    <cellStyle name="Normal 12 8 3 4" xfId="41424" xr:uid="{9AB4BED8-EB88-4DA6-85C7-C7E691D50857}"/>
    <cellStyle name="Normal 12 8 3 5" xfId="15230" xr:uid="{B89AF4AB-F79D-4C16-90E4-82E18AC18219}"/>
    <cellStyle name="Normal 12 8 4" xfId="20313" xr:uid="{C04A1161-7217-4CD9-8D05-40CCD27CE293}"/>
    <cellStyle name="Normal 12 8 5" xfId="28760" xr:uid="{F8C0A471-AB07-4793-AE14-039A5726AC55}"/>
    <cellStyle name="Normal 12 8 6" xfId="37207" xr:uid="{A356D020-6C0B-4A2F-B8A2-AEFA27D7718D}"/>
    <cellStyle name="Normal 12 8 7" xfId="11013" xr:uid="{8E85D2B5-91AD-4117-9BBF-B899FCFD7595}"/>
    <cellStyle name="Normal 12 9" xfId="2011" xr:uid="{00000000-0005-0000-0000-0000660E0000}"/>
    <cellStyle name="Normal 12 9 2" xfId="4240" xr:uid="{00000000-0005-0000-0000-0000670E0000}"/>
    <cellStyle name="Normal 12 9 2 2" xfId="8462" xr:uid="{00000000-0005-0000-0000-0000680E0000}"/>
    <cellStyle name="Normal 12 9 2 2 2" xfId="27088" xr:uid="{F7A5816F-445B-46D2-B78E-743697B9582B}"/>
    <cellStyle name="Normal 12 9 2 2 3" xfId="35535" xr:uid="{C8FD9302-F921-4B46-AF0A-8AB824D163C3}"/>
    <cellStyle name="Normal 12 9 2 2 4" xfId="43982" xr:uid="{7897ED19-1138-438A-ABA6-90DDCDC3AFF8}"/>
    <cellStyle name="Normal 12 9 2 2 5" xfId="17788" xr:uid="{0ECC12FF-BAF8-440B-83F8-FE186CAB87C8}"/>
    <cellStyle name="Normal 12 9 2 3" xfId="22871" xr:uid="{00346DBE-BE41-4055-948B-E8459D8A7FD3}"/>
    <cellStyle name="Normal 12 9 2 4" xfId="31318" xr:uid="{11920D67-E332-4C64-85A3-D3B783289B63}"/>
    <cellStyle name="Normal 12 9 2 5" xfId="39765" xr:uid="{D262338C-B1E8-4443-A83F-A11B3726965D}"/>
    <cellStyle name="Normal 12 9 2 6" xfId="13571" xr:uid="{A8318A7F-899F-47FC-95C5-8D665FB366A2}"/>
    <cellStyle name="Normal 12 9 3" xfId="6317" xr:uid="{00000000-0005-0000-0000-0000690E0000}"/>
    <cellStyle name="Normal 12 9 3 2" xfId="24943" xr:uid="{ECF8E0D2-65CA-4EF8-B6D7-0DAB9309FE84}"/>
    <cellStyle name="Normal 12 9 3 3" xfId="33390" xr:uid="{A5F0D239-831C-4717-AEEB-9708A5FF000B}"/>
    <cellStyle name="Normal 12 9 3 4" xfId="41837" xr:uid="{94684DF4-0D48-4524-ACF4-6EF373613D80}"/>
    <cellStyle name="Normal 12 9 3 5" xfId="15643" xr:uid="{49F56424-5FC7-4C1B-B8AB-14D9B74EDA70}"/>
    <cellStyle name="Normal 12 9 4" xfId="20726" xr:uid="{A115003D-13F9-4731-8D17-B169512EA6CC}"/>
    <cellStyle name="Normal 12 9 5" xfId="29173" xr:uid="{EED79A18-8CC6-4F23-A0ED-31067B3778FD}"/>
    <cellStyle name="Normal 12 9 6" xfId="37620" xr:uid="{6C5A38D9-DE13-4263-8AE6-FD9E0D665F61}"/>
    <cellStyle name="Normal 12 9 7" xfId="11426" xr:uid="{78221609-177F-4C37-88F4-D15C9AA4599B}"/>
    <cellStyle name="Normal 13" xfId="268" xr:uid="{00000000-0005-0000-0000-00006A0E0000}"/>
    <cellStyle name="Normal 13 2" xfId="269" xr:uid="{00000000-0005-0000-0000-00006B0E0000}"/>
    <cellStyle name="Normal 14" xfId="270" xr:uid="{00000000-0005-0000-0000-00006C0E0000}"/>
    <cellStyle name="Normal 14 10" xfId="27528" xr:uid="{8AA54620-310A-483C-855C-A9B1F6B6ECBF}"/>
    <cellStyle name="Normal 14 11" xfId="35975" xr:uid="{274A0912-5A0B-4BFC-A80B-B71A3F545829}"/>
    <cellStyle name="Normal 14 12" xfId="9781" xr:uid="{E38E830C-6678-48BE-800A-298D67C23C8B}"/>
    <cellStyle name="Normal 14 2" xfId="768" xr:uid="{00000000-0005-0000-0000-00006D0E0000}"/>
    <cellStyle name="Normal 14 2 2" xfId="3009" xr:uid="{00000000-0005-0000-0000-00006E0E0000}"/>
    <cellStyle name="Normal 14 2 2 2" xfId="7231" xr:uid="{00000000-0005-0000-0000-00006F0E0000}"/>
    <cellStyle name="Normal 14 2 2 2 2" xfId="25857" xr:uid="{5B3F4443-AA11-454B-B373-831439A01CAD}"/>
    <cellStyle name="Normal 14 2 2 2 3" xfId="34304" xr:uid="{14DF55F7-785A-482E-B130-24C86C9F93BF}"/>
    <cellStyle name="Normal 14 2 2 2 4" xfId="42751" xr:uid="{C8F3A40E-50F6-4024-9075-722B44FC911A}"/>
    <cellStyle name="Normal 14 2 2 2 5" xfId="16557" xr:uid="{C2EB20ED-CD4C-412F-8D17-8A98232346E8}"/>
    <cellStyle name="Normal 14 2 2 3" xfId="21640" xr:uid="{18A31A5B-794E-45A2-855A-5E99BE929820}"/>
    <cellStyle name="Normal 14 2 2 4" xfId="30087" xr:uid="{50DA0182-7075-4767-A245-55ADED9E545D}"/>
    <cellStyle name="Normal 14 2 2 5" xfId="38534" xr:uid="{0362BE54-F4E5-48AE-B68C-0D0761ED2A40}"/>
    <cellStyle name="Normal 14 2 2 6" xfId="12340" xr:uid="{3667932E-C30A-43DC-A694-0AD30C489BCF}"/>
    <cellStyle name="Normal 14 2 3" xfId="5086" xr:uid="{00000000-0005-0000-0000-0000700E0000}"/>
    <cellStyle name="Normal 14 2 3 2" xfId="23712" xr:uid="{67664B6E-055F-4BBD-A9BF-334EE73C5224}"/>
    <cellStyle name="Normal 14 2 3 3" xfId="32159" xr:uid="{192E38F4-4F4C-429C-A9CC-220C04E0BFC7}"/>
    <cellStyle name="Normal 14 2 3 4" xfId="40606" xr:uid="{F910273D-17F9-460B-9135-C2C75D0A4A88}"/>
    <cellStyle name="Normal 14 2 3 5" xfId="14412" xr:uid="{BBE1CC9E-D3CA-40E5-93E0-B13FF9D61A69}"/>
    <cellStyle name="Normal 14 2 4" xfId="9371" xr:uid="{E1AFB5B4-F468-480A-B09F-3374B2F03BDA}"/>
    <cellStyle name="Normal 14 2 4 2" xfId="18687" xr:uid="{2B482A9A-7A85-4248-BC46-37D680B51947}"/>
    <cellStyle name="Normal 14 2 5" xfId="19495" xr:uid="{DB6814DB-BD7A-40F0-AF91-C7EAF82A3520}"/>
    <cellStyle name="Normal 14 2 6" xfId="27942" xr:uid="{4C1961C7-5991-48D6-9657-76C33C397690}"/>
    <cellStyle name="Normal 14 2 7" xfId="36389" xr:uid="{FBC150E8-621C-4674-8F49-101407A5BB81}"/>
    <cellStyle name="Normal 14 2 8" xfId="10195" xr:uid="{9CD229DF-279D-4267-AEA8-448E62F81727}"/>
    <cellStyle name="Normal 14 3" xfId="1191" xr:uid="{00000000-0005-0000-0000-0000710E0000}"/>
    <cellStyle name="Normal 14 3 2" xfId="3422" xr:uid="{00000000-0005-0000-0000-0000720E0000}"/>
    <cellStyle name="Normal 14 3 2 2" xfId="7644" xr:uid="{00000000-0005-0000-0000-0000730E0000}"/>
    <cellStyle name="Normal 14 3 2 2 2" xfId="26270" xr:uid="{444B883B-1784-4E3F-85C6-FCDE22963C76}"/>
    <cellStyle name="Normal 14 3 2 2 3" xfId="34717" xr:uid="{6224F8DF-54A6-4603-917D-C1C51C438A00}"/>
    <cellStyle name="Normal 14 3 2 2 4" xfId="43164" xr:uid="{8DBE98BA-A1EE-4EA3-A836-05491BD03807}"/>
    <cellStyle name="Normal 14 3 2 2 5" xfId="16970" xr:uid="{FD78E6A5-96BC-4EFC-8B49-15F5C36C9631}"/>
    <cellStyle name="Normal 14 3 2 3" xfId="22053" xr:uid="{DA9F3029-61BD-4314-8C8E-23197DBCD50F}"/>
    <cellStyle name="Normal 14 3 2 4" xfId="30500" xr:uid="{B2B3AAC5-6DBF-4FAB-AEC8-D5376156413B}"/>
    <cellStyle name="Normal 14 3 2 5" xfId="38947" xr:uid="{613521BE-C678-4578-9FBD-5AA242E75B75}"/>
    <cellStyle name="Normal 14 3 2 6" xfId="12753" xr:uid="{8C038344-BB3A-488E-99BC-FDC623CE66FA}"/>
    <cellStyle name="Normal 14 3 3" xfId="5499" xr:uid="{00000000-0005-0000-0000-0000740E0000}"/>
    <cellStyle name="Normal 14 3 3 2" xfId="24125" xr:uid="{083F7E5E-328F-4C07-90EF-68B7B9ED7138}"/>
    <cellStyle name="Normal 14 3 3 3" xfId="32572" xr:uid="{61A9964D-B56C-4663-9BB7-5B8425FCAED2}"/>
    <cellStyle name="Normal 14 3 3 4" xfId="41019" xr:uid="{60083032-E0EE-4AD8-8EBC-C54B0F51A38E}"/>
    <cellStyle name="Normal 14 3 3 5" xfId="14825" xr:uid="{A148D3B0-D4A6-4599-BDB5-41089817CC3F}"/>
    <cellStyle name="Normal 14 3 4" xfId="19908" xr:uid="{36809A47-EB9F-4B93-9D1B-CC8E7337B255}"/>
    <cellStyle name="Normal 14 3 5" xfId="28355" xr:uid="{595447B4-61E1-4CF8-A56B-85663A758B12}"/>
    <cellStyle name="Normal 14 3 6" xfId="36802" xr:uid="{9F20AE3A-42C4-45AA-B8AA-5B890F6CCA9C}"/>
    <cellStyle name="Normal 14 3 7" xfId="10608" xr:uid="{10A7DED3-955C-42CA-8501-AC7407D9D6CB}"/>
    <cellStyle name="Normal 14 4" xfId="1605" xr:uid="{00000000-0005-0000-0000-0000750E0000}"/>
    <cellStyle name="Normal 14 4 2" xfId="3835" xr:uid="{00000000-0005-0000-0000-0000760E0000}"/>
    <cellStyle name="Normal 14 4 2 2" xfId="8057" xr:uid="{00000000-0005-0000-0000-0000770E0000}"/>
    <cellStyle name="Normal 14 4 2 2 2" xfId="26683" xr:uid="{3AE4FB4C-C5D5-4D3D-8A39-814F2A5A777B}"/>
    <cellStyle name="Normal 14 4 2 2 3" xfId="35130" xr:uid="{17F8A94E-3520-4E4A-87A1-CA3FF30E6E04}"/>
    <cellStyle name="Normal 14 4 2 2 4" xfId="43577" xr:uid="{F0F5BCF9-07B1-4854-83A5-7FAE83FC9D41}"/>
    <cellStyle name="Normal 14 4 2 2 5" xfId="17383" xr:uid="{932E4AC2-CF49-4130-AE23-26305AF212C0}"/>
    <cellStyle name="Normal 14 4 2 3" xfId="22466" xr:uid="{16B43BF0-50C8-4E93-9B01-B1DAE947D3E5}"/>
    <cellStyle name="Normal 14 4 2 4" xfId="30913" xr:uid="{24EBF857-469F-4552-9BD5-9BA2D3BBE2FA}"/>
    <cellStyle name="Normal 14 4 2 5" xfId="39360" xr:uid="{7BA5FAED-FE2F-4C45-806B-961CBBE4E788}"/>
    <cellStyle name="Normal 14 4 2 6" xfId="13166" xr:uid="{9226654C-A36A-4F18-B5FA-3131B0085A39}"/>
    <cellStyle name="Normal 14 4 3" xfId="5912" xr:uid="{00000000-0005-0000-0000-0000780E0000}"/>
    <cellStyle name="Normal 14 4 3 2" xfId="24538" xr:uid="{91755451-9CBF-460A-B1D1-96C762B1E74A}"/>
    <cellStyle name="Normal 14 4 3 3" xfId="32985" xr:uid="{5EBFBE7F-3BD4-4F49-96BF-C63C2485C895}"/>
    <cellStyle name="Normal 14 4 3 4" xfId="41432" xr:uid="{11270140-CFBF-43BE-B9E5-69A661146261}"/>
    <cellStyle name="Normal 14 4 3 5" xfId="15238" xr:uid="{BED28C70-BF01-4637-AC42-61200FF5F25F}"/>
    <cellStyle name="Normal 14 4 4" xfId="20321" xr:uid="{7608CE79-12F6-48F1-A525-CED846E9B3C1}"/>
    <cellStyle name="Normal 14 4 5" xfId="28768" xr:uid="{DE011561-ADC9-47FF-93C6-E96B6E7C078B}"/>
    <cellStyle name="Normal 14 4 6" xfId="37215" xr:uid="{BF2E24DA-2C2F-4F45-9D6C-AFDE33AF8697}"/>
    <cellStyle name="Normal 14 4 7" xfId="11021" xr:uid="{D34F4FE1-0938-4B44-BD82-4FF2D23BEE9E}"/>
    <cellStyle name="Normal 14 5" xfId="2019" xr:uid="{00000000-0005-0000-0000-0000790E0000}"/>
    <cellStyle name="Normal 14 5 2" xfId="4248" xr:uid="{00000000-0005-0000-0000-00007A0E0000}"/>
    <cellStyle name="Normal 14 5 2 2" xfId="8470" xr:uid="{00000000-0005-0000-0000-00007B0E0000}"/>
    <cellStyle name="Normal 14 5 2 2 2" xfId="27096" xr:uid="{B12D2369-890C-4932-BE3C-9E79714711FC}"/>
    <cellStyle name="Normal 14 5 2 2 3" xfId="35543" xr:uid="{BE0A23DF-BAEC-4443-980D-3C17CC92F95D}"/>
    <cellStyle name="Normal 14 5 2 2 4" xfId="43990" xr:uid="{A2419620-003A-4FB2-AFAD-61B1532BE007}"/>
    <cellStyle name="Normal 14 5 2 2 5" xfId="17796" xr:uid="{9920F25F-F2C7-4002-84E4-07FE7A3A25F1}"/>
    <cellStyle name="Normal 14 5 2 3" xfId="22879" xr:uid="{7EA70C53-3F8E-4FC4-9E38-B831ADB3EDE4}"/>
    <cellStyle name="Normal 14 5 2 4" xfId="31326" xr:uid="{98158C5E-2D89-4744-8C3C-FEF1B640F3A6}"/>
    <cellStyle name="Normal 14 5 2 5" xfId="39773" xr:uid="{199BF726-6A65-486C-B874-CD154C0569EE}"/>
    <cellStyle name="Normal 14 5 2 6" xfId="13579" xr:uid="{46A17910-2A6A-4AD3-AAA6-A041EA7E6473}"/>
    <cellStyle name="Normal 14 5 3" xfId="6325" xr:uid="{00000000-0005-0000-0000-00007C0E0000}"/>
    <cellStyle name="Normal 14 5 3 2" xfId="24951" xr:uid="{64B05445-2FE9-44EB-87F9-F9B20EA7AEAE}"/>
    <cellStyle name="Normal 14 5 3 3" xfId="33398" xr:uid="{F06BF6A4-F7DD-47BE-9247-47CC766E98A0}"/>
    <cellStyle name="Normal 14 5 3 4" xfId="41845" xr:uid="{022C2C2C-D8DA-4334-8A87-59C6B1E14D38}"/>
    <cellStyle name="Normal 14 5 3 5" xfId="15651" xr:uid="{85AA0300-7F08-4070-A69A-808DECB35E47}"/>
    <cellStyle name="Normal 14 5 4" xfId="20734" xr:uid="{4A68B0EF-B960-4A52-8B6C-06EA77EC4F36}"/>
    <cellStyle name="Normal 14 5 5" xfId="29181" xr:uid="{26C82B02-1ADD-493D-8A6A-F8F9A220981B}"/>
    <cellStyle name="Normal 14 5 6" xfId="37628" xr:uid="{B8DC8B72-7124-4017-8F0A-9791FD357E50}"/>
    <cellStyle name="Normal 14 5 7" xfId="11434" xr:uid="{4DDA90CF-F82A-400C-B769-708862760C5D}"/>
    <cellStyle name="Normal 14 6" xfId="2455" xr:uid="{00000000-0005-0000-0000-00007D0E0000}"/>
    <cellStyle name="Normal 14 6 2" xfId="6738" xr:uid="{00000000-0005-0000-0000-00007E0E0000}"/>
    <cellStyle name="Normal 14 6 2 2" xfId="25364" xr:uid="{82774E27-A415-4A72-997B-77FE77111B01}"/>
    <cellStyle name="Normal 14 6 2 3" xfId="33811" xr:uid="{12183C2A-A2EB-4529-B01C-9B67D2F06446}"/>
    <cellStyle name="Normal 14 6 2 4" xfId="42258" xr:uid="{44971686-6860-4523-BE35-11B82B92495B}"/>
    <cellStyle name="Normal 14 6 2 5" xfId="16064" xr:uid="{F0F97E86-11FA-47B9-A315-0F00603ACDF8}"/>
    <cellStyle name="Normal 14 6 3" xfId="21147" xr:uid="{48ADC6AF-EDC3-43EC-BE8C-8AC10CD3FF84}"/>
    <cellStyle name="Normal 14 6 4" xfId="29594" xr:uid="{66CDEAB8-D4B2-4FD1-85D7-9E60E16D7F76}"/>
    <cellStyle name="Normal 14 6 5" xfId="38041" xr:uid="{610037FF-814B-462E-BD37-1C2D8B6D74DE}"/>
    <cellStyle name="Normal 14 6 6" xfId="11847" xr:uid="{A9474514-7C39-4F22-9C53-0267C0ACB7B9}"/>
    <cellStyle name="Normal 14 7" xfId="4672" xr:uid="{00000000-0005-0000-0000-00007F0E0000}"/>
    <cellStyle name="Normal 14 7 2" xfId="23298" xr:uid="{F9861520-AB0F-461A-BF3A-A1E94A913441}"/>
    <cellStyle name="Normal 14 7 3" xfId="31745" xr:uid="{D0EA9830-74B1-4DDB-A3A3-690E3EA666DA}"/>
    <cellStyle name="Normal 14 7 4" xfId="40192" xr:uid="{9AE07B3B-7D4B-4803-BE74-4CA68FED87C3}"/>
    <cellStyle name="Normal 14 7 5" xfId="13998" xr:uid="{A934DA20-86B2-40A6-8681-2668C43498A1}"/>
    <cellStyle name="Normal 14 8" xfId="8946" xr:uid="{DD997A1C-6669-41AA-8AC1-78121AFC796C}"/>
    <cellStyle name="Normal 14 8 2" xfId="18270" xr:uid="{A4F31676-9EE9-487A-922B-233225878650}"/>
    <cellStyle name="Normal 14 9" xfId="19081" xr:uid="{4648714F-CBB8-4AF1-B668-451052F2A464}"/>
    <cellStyle name="Normal 15" xfId="4496" xr:uid="{00000000-0005-0000-0000-0000800E0000}"/>
    <cellStyle name="Normal 15 2" xfId="9578" xr:uid="{99513E76-E7E2-49D8-ADC5-F882C61FFC79}"/>
    <cellStyle name="Normal 15 2 2" xfId="18894" xr:uid="{CF6A5911-A027-43F1-BDC1-6048B45A3DDD}"/>
    <cellStyle name="Normal 15 3" xfId="9155" xr:uid="{47700DD8-A88A-4CB4-BFAD-BA75A2D4FC8E}"/>
    <cellStyle name="Normal 15 3 2" xfId="18477" xr:uid="{BC4FA86D-3815-4B0D-9306-77ABEF2DA0AE}"/>
    <cellStyle name="Normal 15 4" xfId="23124" xr:uid="{345BC016-E423-434F-9ACC-B4BA06F90F04}"/>
    <cellStyle name="Normal 15 5" xfId="31571" xr:uid="{4A1FFF9F-099A-40AC-A8A9-5FA38817E57F}"/>
    <cellStyle name="Normal 15 6" xfId="40018" xr:uid="{1A3ED817-7AC3-42AB-BF71-35550BD156E8}"/>
    <cellStyle name="Normal 15 7" xfId="13824" xr:uid="{E3AF5209-4CB7-4F44-B9B8-CA681B6E478A}"/>
    <cellStyle name="Normal 16" xfId="4500" xr:uid="{00000000-0005-0000-0000-0000810E0000}"/>
    <cellStyle name="Normal 16 2" xfId="8715" xr:uid="{00000000-0005-0000-0000-0000820E0000}"/>
    <cellStyle name="Normal 16 2 2" xfId="27341" xr:uid="{EC5EEF41-ACCF-450F-95A4-387212A735C6}"/>
    <cellStyle name="Normal 16 2 3" xfId="35788" xr:uid="{8E2F87C1-7ACA-4020-9A34-A6A736824868}"/>
    <cellStyle name="Normal 16 2 4" xfId="44235" xr:uid="{B0BBA945-6787-4338-9C6B-65EDFC6966F6}"/>
    <cellStyle name="Normal 16 2 5" xfId="18041" xr:uid="{8D3D79A5-ADE1-4494-908B-C9A67866F6CB}"/>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3 2 2 2 2 2 2" xfId="18060" xr:uid="{9B893B24-0C1E-46CE-82C1-F0606FC8F951}"/>
    <cellStyle name="Normal 16 3 2 2 2 2 3" xfId="27357" xr:uid="{B814180C-D5A0-4228-9EF6-97A1524669A2}"/>
    <cellStyle name="Normal 16 3 2 2 2 2 4" xfId="35804" xr:uid="{64D27AFF-CBDD-48E0-B3E6-9F6BA21F9D75}"/>
    <cellStyle name="Normal 16 3 2 2 2 2 5" xfId="44251" xr:uid="{7007EB5B-EB2D-4F1A-95A2-00D24D9B85B1}"/>
    <cellStyle name="Normal 16 3 2 2 2 2 6" xfId="18057" xr:uid="{442CE609-76F9-4736-A7EC-00158F46626F}"/>
    <cellStyle name="Normal 16 3 2 2 2 3" xfId="27354" xr:uid="{4CC17916-B5A4-4C8C-B181-B3998C7AFF8B}"/>
    <cellStyle name="Normal 16 3 2 2 2 4" xfId="35801" xr:uid="{3A4CA93E-AA9F-4D94-895A-D7647221B119}"/>
    <cellStyle name="Normal 16 3 2 2 2 5" xfId="44248" xr:uid="{BEE3D2A9-34B7-4AD5-9D01-69436D360AD4}"/>
    <cellStyle name="Normal 16 3 2 2 2 6" xfId="18054" xr:uid="{52772E46-74A8-4B4E-9488-198466F628C6}"/>
    <cellStyle name="Normal 16 3 2 2 3" xfId="27350" xr:uid="{3ABA4BD3-1923-4B24-A1AF-F35886B57542}"/>
    <cellStyle name="Normal 16 3 2 2 4" xfId="35797" xr:uid="{7FD5036E-CD55-424E-8222-9411661EEB5A}"/>
    <cellStyle name="Normal 16 3 2 2 5" xfId="44244" xr:uid="{A28E39DC-8C35-44AA-A56D-7BC7C0C2622C}"/>
    <cellStyle name="Normal 16 3 2 2 6" xfId="18050" xr:uid="{C00FEB76-9DD0-4420-B3BA-C8DB8971C350}"/>
    <cellStyle name="Normal 16 3 2 3" xfId="27347" xr:uid="{2E4FB963-0EE7-420F-91C0-ABC2158190A9}"/>
    <cellStyle name="Normal 16 3 2 4" xfId="35794" xr:uid="{DD74DA11-EECF-4D28-8105-760FB6DBB767}"/>
    <cellStyle name="Normal 16 3 2 5" xfId="44241" xr:uid="{CBF411CD-8B94-4579-92B0-38A58C805F4B}"/>
    <cellStyle name="Normal 16 3 2 6" xfId="18047" xr:uid="{76A09D32-FF63-4E55-B067-036B02FAFC6A}"/>
    <cellStyle name="Normal 16 3 3" xfId="27344" xr:uid="{85B9357E-1578-4302-B2F5-9D01B825C394}"/>
    <cellStyle name="Normal 16 3 4" xfId="35791" xr:uid="{CB67D345-70F9-41AE-939E-E40EEA136EF1}"/>
    <cellStyle name="Normal 16 3 5" xfId="44238" xr:uid="{8870210B-9F13-498A-88EA-6EB5129E3D0A}"/>
    <cellStyle name="Normal 16 3 6" xfId="18044" xr:uid="{CDCD1BED-9A43-4C79-B56C-8D63D878C5F6}"/>
    <cellStyle name="Normal 16 4" xfId="9612" xr:uid="{8729F6E8-3534-4DAE-B0B2-B2AF3CDCD313}"/>
    <cellStyle name="Normal 16 5" xfId="23127" xr:uid="{90D1F905-1421-4923-9393-7E530EF77C7A}"/>
    <cellStyle name="Normal 16 6" xfId="31574" xr:uid="{69DD9D1B-E052-434D-8E65-65EEA5F7C65E}"/>
    <cellStyle name="Normal 16 7" xfId="40021" xr:uid="{E4C6145A-D440-4F64-A88C-71BA97829A85}"/>
    <cellStyle name="Normal 16 8" xfId="13827" xr:uid="{DCB8262A-A992-4E24-BB73-B466BC4DD230}"/>
    <cellStyle name="Normal 17" xfId="8728" xr:uid="{3FF0972C-833B-4475-99D8-1A6907499E71}"/>
    <cellStyle name="Normal 17 2" xfId="9157" xr:uid="{6C872296-5E17-4821-9139-E52AD113B06C}"/>
    <cellStyle name="Normal 17 3" xfId="9154" xr:uid="{DC3FF210-EC1F-47CE-8CCE-F8F5460671B1}"/>
    <cellStyle name="Normal 17 4" xfId="27353" xr:uid="{20C75A72-BBF8-4523-877E-6AB556735608}"/>
    <cellStyle name="Normal 17 5" xfId="35800" xr:uid="{3CC555B9-21CE-4AE5-AB12-C155A39E93A3}"/>
    <cellStyle name="Normal 17 6" xfId="44247" xr:uid="{0CC1D6D1-EA14-4A14-8B28-D353CCCD50C2}"/>
    <cellStyle name="Normal 17 7" xfId="18053" xr:uid="{8A5543F8-5BE9-4A3A-BF57-03E49AAF0A15}"/>
    <cellStyle name="Normal 18" xfId="9153" xr:uid="{EF04732C-9519-4C21-BD73-A108E18EA17F}"/>
    <cellStyle name="Normal 19" xfId="8739" xr:uid="{D907EBA7-1F94-4726-9ABB-7E7835FFF57E}"/>
    <cellStyle name="Normal 19 2" xfId="18063" xr:uid="{C4030FF3-A8C7-4EAB-9444-1337B54F062D}"/>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10 2" xfId="18072" xr:uid="{1AFABD14-04AF-4E56-A5E0-F8951C9A0EEF}"/>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2 2 2" xfId="27097" xr:uid="{B21FA716-C1D9-43A3-A3A2-ECD1B895D475}"/>
    <cellStyle name="Normal 2 4 2 10 2 2 3" xfId="35544" xr:uid="{0B9F050D-291E-4303-B986-8F1A7D884F0C}"/>
    <cellStyle name="Normal 2 4 2 10 2 2 4" xfId="43991" xr:uid="{C1FFCC7E-BF1A-4475-94DD-090908B92891}"/>
    <cellStyle name="Normal 2 4 2 10 2 2 5" xfId="17797" xr:uid="{C0C4B922-D6E3-4CD1-B428-60344E82541D}"/>
    <cellStyle name="Normal 2 4 2 10 2 3" xfId="22880" xr:uid="{498B991B-B804-4BD1-B183-DF397EAAC008}"/>
    <cellStyle name="Normal 2 4 2 10 2 4" xfId="31327" xr:uid="{308DDA36-474C-4454-BDAC-48D0675C2150}"/>
    <cellStyle name="Normal 2 4 2 10 2 5" xfId="39774" xr:uid="{ACF67612-C12C-4AB2-A360-C79F69B3CB18}"/>
    <cellStyle name="Normal 2 4 2 10 2 6" xfId="13580" xr:uid="{4CE672BA-9D80-4368-B29F-FC73AE9DFD9B}"/>
    <cellStyle name="Normal 2 4 2 10 3" xfId="6326" xr:uid="{00000000-0005-0000-0000-0000910E0000}"/>
    <cellStyle name="Normal 2 4 2 10 3 2" xfId="24952" xr:uid="{51B217AD-A1E9-408A-B35E-B5DD43694984}"/>
    <cellStyle name="Normal 2 4 2 10 3 3" xfId="33399" xr:uid="{9F0CCBB4-B02E-41C6-A06A-185A1313727B}"/>
    <cellStyle name="Normal 2 4 2 10 3 4" xfId="41846" xr:uid="{5DA2689F-7883-406A-B59B-01B0C25B547A}"/>
    <cellStyle name="Normal 2 4 2 10 3 5" xfId="15652" xr:uid="{0FBA59A5-FD09-4EFA-81FD-DA924A68B2FA}"/>
    <cellStyle name="Normal 2 4 2 10 4" xfId="20735" xr:uid="{C07A7E3F-A6E2-4FF0-982C-1D365880A896}"/>
    <cellStyle name="Normal 2 4 2 10 5" xfId="29182" xr:uid="{0B80DD82-AE4E-4078-A0DC-A418C75F8E1B}"/>
    <cellStyle name="Normal 2 4 2 10 6" xfId="37629" xr:uid="{063F340A-83B1-4160-836C-296333C40AC3}"/>
    <cellStyle name="Normal 2 4 2 10 7" xfId="11435" xr:uid="{2D1B71A2-AA56-4836-BBDD-5FF378FA8926}"/>
    <cellStyle name="Normal 2 4 2 11" xfId="2456" xr:uid="{00000000-0005-0000-0000-0000920E0000}"/>
    <cellStyle name="Normal 2 4 2 11 2" xfId="6739" xr:uid="{00000000-0005-0000-0000-0000930E0000}"/>
    <cellStyle name="Normal 2 4 2 11 2 2" xfId="25365" xr:uid="{F707C39F-9746-4814-9541-FA062727E450}"/>
    <cellStyle name="Normal 2 4 2 11 2 3" xfId="33812" xr:uid="{8377C356-ACDA-4E60-9625-29479FC335E1}"/>
    <cellStyle name="Normal 2 4 2 11 2 4" xfId="42259" xr:uid="{F2444B19-BC61-4921-8304-5EB9D2ED1893}"/>
    <cellStyle name="Normal 2 4 2 11 2 5" xfId="16065" xr:uid="{380A1677-FCAC-4C57-A6AF-7CC043810448}"/>
    <cellStyle name="Normal 2 4 2 11 3" xfId="21148" xr:uid="{E0506505-4382-4BD8-90A8-20737A7D8BFC}"/>
    <cellStyle name="Normal 2 4 2 11 4" xfId="29595" xr:uid="{02B50594-612D-412A-8E4E-14F607C256FD}"/>
    <cellStyle name="Normal 2 4 2 11 5" xfId="38042" xr:uid="{8B26919E-15A6-4314-9CFD-603BE14FE4E6}"/>
    <cellStyle name="Normal 2 4 2 11 6" xfId="11848" xr:uid="{4A39E802-6AC2-460A-9689-DC8ABC2A6FCF}"/>
    <cellStyle name="Normal 2 4 2 12" xfId="4673" xr:uid="{00000000-0005-0000-0000-0000940E0000}"/>
    <cellStyle name="Normal 2 4 2 12 2" xfId="23299" xr:uid="{A7B3CC84-9058-4E5A-AFE2-36B397C9C311}"/>
    <cellStyle name="Normal 2 4 2 12 3" xfId="31746" xr:uid="{D972DEF7-6D02-4740-860C-9430D8DBBFD8}"/>
    <cellStyle name="Normal 2 4 2 12 4" xfId="40193" xr:uid="{8FE73374-59B8-4441-9B38-70D40F45BBE3}"/>
    <cellStyle name="Normal 2 4 2 12 5" xfId="13999" xr:uid="{363ADD7D-81E3-44D1-B501-0073E0C04642}"/>
    <cellStyle name="Normal 2 4 2 13" xfId="8757" xr:uid="{563A76DD-F7DD-49F0-A61E-0419F4C31301}"/>
    <cellStyle name="Normal 2 4 2 13 2" xfId="18081" xr:uid="{B19A7094-044C-4A69-AFF0-F9B57D5946F3}"/>
    <cellStyle name="Normal 2 4 2 14" xfId="19082" xr:uid="{1B0C44AB-7B7A-4D41-BF83-5437277AC05E}"/>
    <cellStyle name="Normal 2 4 2 15" xfId="27529" xr:uid="{1A2A7374-D133-47E6-9D8C-9316B8F34758}"/>
    <cellStyle name="Normal 2 4 2 16" xfId="35976" xr:uid="{9E48FA82-B75D-48B9-B350-7D01ACDA2A79}"/>
    <cellStyle name="Normal 2 4 2 17" xfId="9782" xr:uid="{7CB2D0A6-861B-4C09-84AE-D935248BA432}"/>
    <cellStyle name="Normal 2 4 2 2" xfId="280" xr:uid="{00000000-0005-0000-0000-0000950E0000}"/>
    <cellStyle name="Normal 2 4 2 3" xfId="281" xr:uid="{00000000-0005-0000-0000-0000960E0000}"/>
    <cellStyle name="Normal 2 4 2 3 10" xfId="4674" xr:uid="{00000000-0005-0000-0000-0000970E0000}"/>
    <cellStyle name="Normal 2 4 2 3 10 2" xfId="23300" xr:uid="{EBD894AF-3D18-4189-8960-8B1468345CF6}"/>
    <cellStyle name="Normal 2 4 2 3 10 3" xfId="31747" xr:uid="{38C3EC56-3FB8-417B-BD56-6BCD1AF3068C}"/>
    <cellStyle name="Normal 2 4 2 3 10 4" xfId="40194" xr:uid="{BAB4E708-E911-4AE8-9FD8-2E3C98ACD925}"/>
    <cellStyle name="Normal 2 4 2 3 10 5" xfId="14000" xr:uid="{2BA9C8CB-7D58-4162-822B-8C7C8D1C5743}"/>
    <cellStyle name="Normal 2 4 2 3 11" xfId="8788" xr:uid="{EAD3D227-C8EF-4F54-8D24-EE1EA1F017BB}"/>
    <cellStyle name="Normal 2 4 2 3 11 2" xfId="18112" xr:uid="{C89CA9F4-A8AF-4BF4-9A1B-2415B5744DB3}"/>
    <cellStyle name="Normal 2 4 2 3 12" xfId="19083" xr:uid="{52388A42-4393-4BE6-981E-E1D4B28CEE87}"/>
    <cellStyle name="Normal 2 4 2 3 13" xfId="27530" xr:uid="{882329E1-AAAB-4883-9A69-7A8ABDE5EBD5}"/>
    <cellStyle name="Normal 2 4 2 3 14" xfId="35977" xr:uid="{F15901FB-1B40-42F9-ABB8-5F54AB999589}"/>
    <cellStyle name="Normal 2 4 2 3 15" xfId="9783" xr:uid="{61303060-4C77-4121-90A1-1C25B7D0F9DF}"/>
    <cellStyle name="Normal 2 4 2 3 2" xfId="282" xr:uid="{00000000-0005-0000-0000-0000980E0000}"/>
    <cellStyle name="Normal 2 4 2 3 2 10" xfId="8813" xr:uid="{C03AE35D-2438-4E07-AE9C-6D04EC6DA2B7}"/>
    <cellStyle name="Normal 2 4 2 3 2 10 2" xfId="18137" xr:uid="{56C8F565-F333-4755-9B68-E5E2C6F689BD}"/>
    <cellStyle name="Normal 2 4 2 3 2 11" xfId="19084" xr:uid="{A6BFDED6-D58E-467F-8D15-CFB753B72DD2}"/>
    <cellStyle name="Normal 2 4 2 3 2 12" xfId="27531" xr:uid="{E928B7B5-0262-4A4A-BD92-E4C44CD8C759}"/>
    <cellStyle name="Normal 2 4 2 3 2 13" xfId="35978" xr:uid="{4DE7CF81-89E9-4A72-8924-CE440AF6B2CE}"/>
    <cellStyle name="Normal 2 4 2 3 2 14" xfId="9784" xr:uid="{5F25F33A-EC63-48F3-BFD3-71A5A7A9283F}"/>
    <cellStyle name="Normal 2 4 2 3 2 2" xfId="283" xr:uid="{00000000-0005-0000-0000-0000990E0000}"/>
    <cellStyle name="Normal 2 4 2 3 2 2 10" xfId="19085" xr:uid="{85ED348C-112B-4878-8D57-162290C27850}"/>
    <cellStyle name="Normal 2 4 2 3 2 2 11" xfId="27532" xr:uid="{B3E737FF-B655-4816-9EF5-C4A4EF42007D}"/>
    <cellStyle name="Normal 2 4 2 3 2 2 12" xfId="35979" xr:uid="{F84FC588-1835-437C-9D6B-AF94D0C68834}"/>
    <cellStyle name="Normal 2 4 2 3 2 2 13" xfId="9785" xr:uid="{CAC789D3-0DBE-4CB3-9FC4-76C1829B60D8}"/>
    <cellStyle name="Normal 2 4 2 3 2 2 2" xfId="284" xr:uid="{00000000-0005-0000-0000-00009A0E0000}"/>
    <cellStyle name="Normal 2 4 2 3 2 2 2 10" xfId="27533" xr:uid="{6B41ED59-47D1-4EAB-8079-79E3446B836F}"/>
    <cellStyle name="Normal 2 4 2 3 2 2 2 11" xfId="35980" xr:uid="{EFD90337-851F-4D2E-B368-87FF90B5775F}"/>
    <cellStyle name="Normal 2 4 2 3 2 2 2 12" xfId="9786" xr:uid="{1F9146D0-E246-49F4-88F8-2CE1AE26FFB9}"/>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2 2 2" xfId="25862" xr:uid="{1919A5B6-02CC-4A0F-A0EC-72EA56908E17}"/>
    <cellStyle name="Normal 2 4 2 3 2 2 2 2 2 2 3" xfId="34309" xr:uid="{DB30860D-5F5F-484E-9BB4-773146695378}"/>
    <cellStyle name="Normal 2 4 2 3 2 2 2 2 2 2 4" xfId="42756" xr:uid="{7D2FB9A6-AA8A-49D2-93A6-E2ABED74E4ED}"/>
    <cellStyle name="Normal 2 4 2 3 2 2 2 2 2 2 5" xfId="16562" xr:uid="{073F253F-35CE-46BE-8BBC-3BF3C52652E5}"/>
    <cellStyle name="Normal 2 4 2 3 2 2 2 2 2 3" xfId="21645" xr:uid="{5A78E230-4A74-4F59-8568-4BB047A1A889}"/>
    <cellStyle name="Normal 2 4 2 3 2 2 2 2 2 4" xfId="30092" xr:uid="{876DD7A9-4B5B-4772-A676-C5047B7B1F9B}"/>
    <cellStyle name="Normal 2 4 2 3 2 2 2 2 2 5" xfId="38539" xr:uid="{B6750874-2CCB-4C90-ADDB-D0378AB80838}"/>
    <cellStyle name="Normal 2 4 2 3 2 2 2 2 2 6" xfId="12345" xr:uid="{07A29DAC-C882-496B-A65E-87C539EC18F8}"/>
    <cellStyle name="Normal 2 4 2 3 2 2 2 2 3" xfId="5091" xr:uid="{00000000-0005-0000-0000-00009E0E0000}"/>
    <cellStyle name="Normal 2 4 2 3 2 2 2 2 3 2" xfId="23717" xr:uid="{0FD8D538-31D4-4873-93EE-8E8310B64F5A}"/>
    <cellStyle name="Normal 2 4 2 3 2 2 2 2 3 3" xfId="32164" xr:uid="{93205481-9EF9-4663-9DED-736E68254604}"/>
    <cellStyle name="Normal 2 4 2 3 2 2 2 2 3 4" xfId="40611" xr:uid="{4E306D50-2ADB-4868-B5DF-C1E5C3A4748F}"/>
    <cellStyle name="Normal 2 4 2 3 2 2 2 2 3 5" xfId="14417" xr:uid="{0B949F70-43FA-41F0-87DC-FAC5B747F7DA}"/>
    <cellStyle name="Normal 2 4 2 3 2 2 2 2 4" xfId="9548" xr:uid="{29E7289E-B3F4-4F63-9B9C-B531B0E50CEB}"/>
    <cellStyle name="Normal 2 4 2 3 2 2 2 2 4 2" xfId="18864" xr:uid="{D05937BF-CBAF-4A72-B8C6-223789B9ED6E}"/>
    <cellStyle name="Normal 2 4 2 3 2 2 2 2 5" xfId="19500" xr:uid="{4DC332BF-8D02-4BB3-82A2-B94B2ADF348A}"/>
    <cellStyle name="Normal 2 4 2 3 2 2 2 2 6" xfId="27947" xr:uid="{E8A920AD-6CA9-4494-8D6E-9E7B4686E2C8}"/>
    <cellStyle name="Normal 2 4 2 3 2 2 2 2 7" xfId="36394" xr:uid="{6A20D7F1-5F8C-432A-B4D0-7AD28EC0BA85}"/>
    <cellStyle name="Normal 2 4 2 3 2 2 2 2 8" xfId="10200" xr:uid="{B4FAABEE-B790-4A4E-AD89-B5E995E10B66}"/>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2 2 2" xfId="26275" xr:uid="{D68DC992-E3E4-4483-BABE-0F37BA239AC4}"/>
    <cellStyle name="Normal 2 4 2 3 2 2 2 3 2 2 3" xfId="34722" xr:uid="{3604ED32-9542-4011-BEAC-91D807A98B1B}"/>
    <cellStyle name="Normal 2 4 2 3 2 2 2 3 2 2 4" xfId="43169" xr:uid="{C8318D6A-9249-447E-8441-9409452AF13E}"/>
    <cellStyle name="Normal 2 4 2 3 2 2 2 3 2 2 5" xfId="16975" xr:uid="{5AC4E01C-DB87-4F71-B4D4-96CE4A4385E6}"/>
    <cellStyle name="Normal 2 4 2 3 2 2 2 3 2 3" xfId="22058" xr:uid="{30480399-C397-468F-942C-62BBF8B4A297}"/>
    <cellStyle name="Normal 2 4 2 3 2 2 2 3 2 4" xfId="30505" xr:uid="{D3D2E052-6DC9-4D2D-B987-32047D0218F5}"/>
    <cellStyle name="Normal 2 4 2 3 2 2 2 3 2 5" xfId="38952" xr:uid="{E1BB4FC6-0C82-4369-8ED8-AB54AA5F99B4}"/>
    <cellStyle name="Normal 2 4 2 3 2 2 2 3 2 6" xfId="12758" xr:uid="{67CEA5C1-9569-4F97-8B7E-B90B082324F3}"/>
    <cellStyle name="Normal 2 4 2 3 2 2 2 3 3" xfId="5504" xr:uid="{00000000-0005-0000-0000-0000A20E0000}"/>
    <cellStyle name="Normal 2 4 2 3 2 2 2 3 3 2" xfId="24130" xr:uid="{4130CF30-C687-4086-BB34-809AFE15482E}"/>
    <cellStyle name="Normal 2 4 2 3 2 2 2 3 3 3" xfId="32577" xr:uid="{AC09B8F7-6241-4994-89F8-3D59B0294C49}"/>
    <cellStyle name="Normal 2 4 2 3 2 2 2 3 3 4" xfId="41024" xr:uid="{DC0AB6D2-C189-4C87-BC77-939FB309EE72}"/>
    <cellStyle name="Normal 2 4 2 3 2 2 2 3 3 5" xfId="14830" xr:uid="{7A218DB6-2514-4373-ABFC-30B051E797E3}"/>
    <cellStyle name="Normal 2 4 2 3 2 2 2 3 4" xfId="19913" xr:uid="{D9C2803F-AA09-4D91-8502-F5BB17C036F1}"/>
    <cellStyle name="Normal 2 4 2 3 2 2 2 3 5" xfId="28360" xr:uid="{32627214-8EBA-4B7A-9850-DA17C66F65A1}"/>
    <cellStyle name="Normal 2 4 2 3 2 2 2 3 6" xfId="36807" xr:uid="{54168FEA-08E2-4A8E-AE66-BEA2A175D40B}"/>
    <cellStyle name="Normal 2 4 2 3 2 2 2 3 7" xfId="10613" xr:uid="{A8FB383A-4088-42B3-8955-01B5EBC7B7BC}"/>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2 2 2" xfId="26688" xr:uid="{DA7C9392-442B-4990-BE67-07CA422C9EB0}"/>
    <cellStyle name="Normal 2 4 2 3 2 2 2 4 2 2 3" xfId="35135" xr:uid="{6FE108E3-8E04-440C-92AD-263C6B934792}"/>
    <cellStyle name="Normal 2 4 2 3 2 2 2 4 2 2 4" xfId="43582" xr:uid="{85F7C1E6-3E50-42C4-A883-0CFF2C522171}"/>
    <cellStyle name="Normal 2 4 2 3 2 2 2 4 2 2 5" xfId="17388" xr:uid="{9AEAE84B-7D22-414B-843E-588D896B9508}"/>
    <cellStyle name="Normal 2 4 2 3 2 2 2 4 2 3" xfId="22471" xr:uid="{4E05895F-6A37-4F38-979E-415A3278AF97}"/>
    <cellStyle name="Normal 2 4 2 3 2 2 2 4 2 4" xfId="30918" xr:uid="{FB83BF61-8F20-49D8-84BF-0AA66571F08D}"/>
    <cellStyle name="Normal 2 4 2 3 2 2 2 4 2 5" xfId="39365" xr:uid="{88835D21-59EB-444C-84B4-7D11A3184F2B}"/>
    <cellStyle name="Normal 2 4 2 3 2 2 2 4 2 6" xfId="13171" xr:uid="{C1667A99-140D-42A5-97DA-AC10A8343A25}"/>
    <cellStyle name="Normal 2 4 2 3 2 2 2 4 3" xfId="5917" xr:uid="{00000000-0005-0000-0000-0000A60E0000}"/>
    <cellStyle name="Normal 2 4 2 3 2 2 2 4 3 2" xfId="24543" xr:uid="{D6BF4057-7133-475A-B443-7B780C55306B}"/>
    <cellStyle name="Normal 2 4 2 3 2 2 2 4 3 3" xfId="32990" xr:uid="{26E0F78D-1B25-4031-8DE7-C50A6A6B22C4}"/>
    <cellStyle name="Normal 2 4 2 3 2 2 2 4 3 4" xfId="41437" xr:uid="{93400E97-C22F-490D-B570-6E66664BF034}"/>
    <cellStyle name="Normal 2 4 2 3 2 2 2 4 3 5" xfId="15243" xr:uid="{0D27B451-EFCE-4EAD-A182-EC9336AA284D}"/>
    <cellStyle name="Normal 2 4 2 3 2 2 2 4 4" xfId="20326" xr:uid="{C9379295-DE80-467B-B92E-6960E69273E8}"/>
    <cellStyle name="Normal 2 4 2 3 2 2 2 4 5" xfId="28773" xr:uid="{E31975C9-3F7F-4463-A2E5-0891409CA808}"/>
    <cellStyle name="Normal 2 4 2 3 2 2 2 4 6" xfId="37220" xr:uid="{4750D331-6772-4626-87C6-BDAC8CF573C1}"/>
    <cellStyle name="Normal 2 4 2 3 2 2 2 4 7" xfId="11026" xr:uid="{98D588C5-B236-41FD-A111-E9B2B14A440C}"/>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2 2 2" xfId="27101" xr:uid="{E7D11CCD-76D1-4613-B706-A5EE87A5F4DF}"/>
    <cellStyle name="Normal 2 4 2 3 2 2 2 5 2 2 3" xfId="35548" xr:uid="{0F5DAD32-7A0E-4466-8380-317098CEFFB7}"/>
    <cellStyle name="Normal 2 4 2 3 2 2 2 5 2 2 4" xfId="43995" xr:uid="{78C12ED3-DC7D-4641-8B50-153CC44D075A}"/>
    <cellStyle name="Normal 2 4 2 3 2 2 2 5 2 2 5" xfId="17801" xr:uid="{00E8FABD-E4A3-4488-BF10-BEC35FA4D4CD}"/>
    <cellStyle name="Normal 2 4 2 3 2 2 2 5 2 3" xfId="22884" xr:uid="{3A2094C8-56CF-4643-8E76-98621D63F645}"/>
    <cellStyle name="Normal 2 4 2 3 2 2 2 5 2 4" xfId="31331" xr:uid="{DF49187A-8F36-4C51-9CFA-81DF05E23DD0}"/>
    <cellStyle name="Normal 2 4 2 3 2 2 2 5 2 5" xfId="39778" xr:uid="{D4DF5923-0C8E-4075-83C7-207F81C0103B}"/>
    <cellStyle name="Normal 2 4 2 3 2 2 2 5 2 6" xfId="13584" xr:uid="{113697CA-EC33-4FFC-B7FE-537EFD0E6CAE}"/>
    <cellStyle name="Normal 2 4 2 3 2 2 2 5 3" xfId="6330" xr:uid="{00000000-0005-0000-0000-0000AA0E0000}"/>
    <cellStyle name="Normal 2 4 2 3 2 2 2 5 3 2" xfId="24956" xr:uid="{E0765E3D-6396-4EEB-BB04-EDA9B99C77BB}"/>
    <cellStyle name="Normal 2 4 2 3 2 2 2 5 3 3" xfId="33403" xr:uid="{112E0227-384A-4D0E-AFEF-D1D8FEB6D326}"/>
    <cellStyle name="Normal 2 4 2 3 2 2 2 5 3 4" xfId="41850" xr:uid="{675B34A1-0FD6-4B1B-9C57-406882EC803A}"/>
    <cellStyle name="Normal 2 4 2 3 2 2 2 5 3 5" xfId="15656" xr:uid="{D6C80139-9FBD-4E26-8B5C-8C4B7BBE94B5}"/>
    <cellStyle name="Normal 2 4 2 3 2 2 2 5 4" xfId="20739" xr:uid="{65298DB8-FC78-4817-8600-B9F4547898F6}"/>
    <cellStyle name="Normal 2 4 2 3 2 2 2 5 5" xfId="29186" xr:uid="{18E0C52A-DBAD-4042-9A75-70945187AC26}"/>
    <cellStyle name="Normal 2 4 2 3 2 2 2 5 6" xfId="37633" xr:uid="{CB0A6911-A681-4421-B1A4-7CF08E1CB0EC}"/>
    <cellStyle name="Normal 2 4 2 3 2 2 2 5 7" xfId="11439" xr:uid="{00367A40-5C57-429D-BE3F-5188D1ABB40A}"/>
    <cellStyle name="Normal 2 4 2 3 2 2 2 6" xfId="2460" xr:uid="{00000000-0005-0000-0000-0000AB0E0000}"/>
    <cellStyle name="Normal 2 4 2 3 2 2 2 6 2" xfId="6743" xr:uid="{00000000-0005-0000-0000-0000AC0E0000}"/>
    <cellStyle name="Normal 2 4 2 3 2 2 2 6 2 2" xfId="25369" xr:uid="{C6B7FF6D-F9F6-4414-B19A-CE5CE20858E9}"/>
    <cellStyle name="Normal 2 4 2 3 2 2 2 6 2 3" xfId="33816" xr:uid="{692F8FEB-E728-49CD-8432-A4DDF960DD1F}"/>
    <cellStyle name="Normal 2 4 2 3 2 2 2 6 2 4" xfId="42263" xr:uid="{9D640028-5B6A-421C-A485-8C4F4569EB76}"/>
    <cellStyle name="Normal 2 4 2 3 2 2 2 6 2 5" xfId="16069" xr:uid="{E9E4D69D-46E9-42BF-9FC4-AFCCEE384CD8}"/>
    <cellStyle name="Normal 2 4 2 3 2 2 2 6 3" xfId="21152" xr:uid="{26F2459B-5BB2-4F91-BD07-BFBF4E6EE139}"/>
    <cellStyle name="Normal 2 4 2 3 2 2 2 6 4" xfId="29599" xr:uid="{AD4B7B0A-62CF-4120-B855-E147057C18B1}"/>
    <cellStyle name="Normal 2 4 2 3 2 2 2 6 5" xfId="38046" xr:uid="{79AF9095-EA6A-44F0-8B96-3FB3063A0F0A}"/>
    <cellStyle name="Normal 2 4 2 3 2 2 2 6 6" xfId="11852" xr:uid="{E665D8DC-3B65-4CDA-AE22-B46548407955}"/>
    <cellStyle name="Normal 2 4 2 3 2 2 2 7" xfId="4677" xr:uid="{00000000-0005-0000-0000-0000AD0E0000}"/>
    <cellStyle name="Normal 2 4 2 3 2 2 2 7 2" xfId="23303" xr:uid="{9372E8D2-0B48-48E9-9715-22FD543ACD0C}"/>
    <cellStyle name="Normal 2 4 2 3 2 2 2 7 3" xfId="31750" xr:uid="{E2395392-47AB-42A2-9099-810391A1E431}"/>
    <cellStyle name="Normal 2 4 2 3 2 2 2 7 4" xfId="40197" xr:uid="{4C45620A-58D7-4F8E-ACB9-2221045335FD}"/>
    <cellStyle name="Normal 2 4 2 3 2 2 2 7 5" xfId="14003" xr:uid="{36742518-F8B5-4346-B03D-96E40EBCF727}"/>
    <cellStyle name="Normal 2 4 2 3 2 2 2 8" xfId="9123" xr:uid="{9F0183A9-880D-46D9-BB7D-5696E4723F5F}"/>
    <cellStyle name="Normal 2 4 2 3 2 2 2 8 2" xfId="18447" xr:uid="{86B8B1F9-CDCA-4049-9816-D8264DCD8DF9}"/>
    <cellStyle name="Normal 2 4 2 3 2 2 2 9" xfId="19086" xr:uid="{D048E269-3805-49F8-8851-C80DCE9C1245}"/>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2 2 2" xfId="25861" xr:uid="{A017694D-7CBB-4AAA-9CD6-2C5D9BD9A007}"/>
    <cellStyle name="Normal 2 4 2 3 2 2 3 2 2 3" xfId="34308" xr:uid="{7E634DDA-5FFE-446A-A7A1-E92A75C38B96}"/>
    <cellStyle name="Normal 2 4 2 3 2 2 3 2 2 4" xfId="42755" xr:uid="{536F65E3-530D-4BD4-919F-6CC3FDB8BDB0}"/>
    <cellStyle name="Normal 2 4 2 3 2 2 3 2 2 5" xfId="16561" xr:uid="{3567094C-6A07-4013-B25A-96950908FCA3}"/>
    <cellStyle name="Normal 2 4 2 3 2 2 3 2 3" xfId="21644" xr:uid="{0BF7D9C8-0370-4749-B360-8F095A88CC16}"/>
    <cellStyle name="Normal 2 4 2 3 2 2 3 2 4" xfId="30091" xr:uid="{2C5E146D-24C3-4D03-88FD-0F6319F41191}"/>
    <cellStyle name="Normal 2 4 2 3 2 2 3 2 5" xfId="38538" xr:uid="{CD031ADF-9623-462F-881F-862C537AB408}"/>
    <cellStyle name="Normal 2 4 2 3 2 2 3 2 6" xfId="12344" xr:uid="{B60F6D2C-737B-4684-8B13-387A32E90D65}"/>
    <cellStyle name="Normal 2 4 2 3 2 2 3 3" xfId="5090" xr:uid="{00000000-0005-0000-0000-0000B10E0000}"/>
    <cellStyle name="Normal 2 4 2 3 2 2 3 3 2" xfId="23716" xr:uid="{460EF536-BB87-495F-A8C6-E50AE56E7FB0}"/>
    <cellStyle name="Normal 2 4 2 3 2 2 3 3 3" xfId="32163" xr:uid="{B6DD46CC-71C0-49E1-86E5-DFCD2F15057C}"/>
    <cellStyle name="Normal 2 4 2 3 2 2 3 3 4" xfId="40610" xr:uid="{F8939390-F246-48BE-9F7F-395B02EF68FC}"/>
    <cellStyle name="Normal 2 4 2 3 2 2 3 3 5" xfId="14416" xr:uid="{17743584-724E-4EF6-B6EB-6F2450FF91A6}"/>
    <cellStyle name="Normal 2 4 2 3 2 2 3 4" xfId="9341" xr:uid="{4F113FF5-050D-47D1-A7D5-F829C93D993D}"/>
    <cellStyle name="Normal 2 4 2 3 2 2 3 4 2" xfId="18657" xr:uid="{2E06DDB4-0534-4511-8B21-E146C4B57471}"/>
    <cellStyle name="Normal 2 4 2 3 2 2 3 5" xfId="19499" xr:uid="{6BD778E9-ED1F-4B7A-B730-1D8D506EBA8D}"/>
    <cellStyle name="Normal 2 4 2 3 2 2 3 6" xfId="27946" xr:uid="{B9177D63-B410-486C-8256-AF8C6BCA5DC7}"/>
    <cellStyle name="Normal 2 4 2 3 2 2 3 7" xfId="36393" xr:uid="{72F85F9C-48D2-446C-8D7E-21DA7E8FCF0C}"/>
    <cellStyle name="Normal 2 4 2 3 2 2 3 8" xfId="10199" xr:uid="{17AFCB5F-0BF4-4C18-AFD5-C19300452B7E}"/>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2 2 2" xfId="26274" xr:uid="{0880B1AF-2170-4DD4-BBFD-E535AB4161F7}"/>
    <cellStyle name="Normal 2 4 2 3 2 2 4 2 2 3" xfId="34721" xr:uid="{EFFC4C76-64C3-490D-A9C5-17B8FB921775}"/>
    <cellStyle name="Normal 2 4 2 3 2 2 4 2 2 4" xfId="43168" xr:uid="{7D5230C0-DC2D-4EC0-979B-BD7F011A325C}"/>
    <cellStyle name="Normal 2 4 2 3 2 2 4 2 2 5" xfId="16974" xr:uid="{5A53A44A-31A6-4A1A-AD9F-3C49A9433A53}"/>
    <cellStyle name="Normal 2 4 2 3 2 2 4 2 3" xfId="22057" xr:uid="{115B1089-1E22-4381-99E0-80F9560259D6}"/>
    <cellStyle name="Normal 2 4 2 3 2 2 4 2 4" xfId="30504" xr:uid="{24102AA9-6339-4D67-8759-F8449C3E0884}"/>
    <cellStyle name="Normal 2 4 2 3 2 2 4 2 5" xfId="38951" xr:uid="{20DC4FD2-AB00-46D6-9DDA-39BFB6C47EE4}"/>
    <cellStyle name="Normal 2 4 2 3 2 2 4 2 6" xfId="12757" xr:uid="{F131E312-CAFC-4A03-8015-1C427334381E}"/>
    <cellStyle name="Normal 2 4 2 3 2 2 4 3" xfId="5503" xr:uid="{00000000-0005-0000-0000-0000B50E0000}"/>
    <cellStyle name="Normal 2 4 2 3 2 2 4 3 2" xfId="24129" xr:uid="{BC702B17-63EA-4A7E-9CA0-2DC6FA1C86DF}"/>
    <cellStyle name="Normal 2 4 2 3 2 2 4 3 3" xfId="32576" xr:uid="{1E239FEF-F4C2-44D5-A47D-84F6614111D3}"/>
    <cellStyle name="Normal 2 4 2 3 2 2 4 3 4" xfId="41023" xr:uid="{DF096C96-C653-42AF-90F6-C4E6E298C632}"/>
    <cellStyle name="Normal 2 4 2 3 2 2 4 3 5" xfId="14829" xr:uid="{A5B3D6EE-F5AE-4E74-8CF1-AC98FE8F0EA0}"/>
    <cellStyle name="Normal 2 4 2 3 2 2 4 4" xfId="19912" xr:uid="{8E43B52D-131F-4D32-BDAE-EAE8AD9488CF}"/>
    <cellStyle name="Normal 2 4 2 3 2 2 4 5" xfId="28359" xr:uid="{26C975FF-F9A8-4354-9D03-57626C9C6C3A}"/>
    <cellStyle name="Normal 2 4 2 3 2 2 4 6" xfId="36806" xr:uid="{C3C1E0AE-D6CB-453F-8EC8-D679041E3599}"/>
    <cellStyle name="Normal 2 4 2 3 2 2 4 7" xfId="10612" xr:uid="{471734F4-BB65-4B70-9C99-64B827695205}"/>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2 2 2" xfId="26687" xr:uid="{15DDCCAD-69C6-4FC6-8971-FB830A86433D}"/>
    <cellStyle name="Normal 2 4 2 3 2 2 5 2 2 3" xfId="35134" xr:uid="{27DC5798-D49C-4D03-8C59-BB478FAC7830}"/>
    <cellStyle name="Normal 2 4 2 3 2 2 5 2 2 4" xfId="43581" xr:uid="{4AC0E664-F720-43C5-8530-A00F07091FD7}"/>
    <cellStyle name="Normal 2 4 2 3 2 2 5 2 2 5" xfId="17387" xr:uid="{8E971BED-88A5-4FA1-8503-237AC3C75FC0}"/>
    <cellStyle name="Normal 2 4 2 3 2 2 5 2 3" xfId="22470" xr:uid="{85A07A9B-EFA9-4FE6-9F9A-13A45DC882F3}"/>
    <cellStyle name="Normal 2 4 2 3 2 2 5 2 4" xfId="30917" xr:uid="{A0E9C7BB-656C-4976-8F1B-07D648A392DE}"/>
    <cellStyle name="Normal 2 4 2 3 2 2 5 2 5" xfId="39364" xr:uid="{9CED954D-8DBA-42F8-8623-6857A92B0F5E}"/>
    <cellStyle name="Normal 2 4 2 3 2 2 5 2 6" xfId="13170" xr:uid="{E801C26D-D3CD-4EA9-B00C-B808DE57F010}"/>
    <cellStyle name="Normal 2 4 2 3 2 2 5 3" xfId="5916" xr:uid="{00000000-0005-0000-0000-0000B90E0000}"/>
    <cellStyle name="Normal 2 4 2 3 2 2 5 3 2" xfId="24542" xr:uid="{0BFBEA04-97F3-4AFC-959D-A5D4B71B1807}"/>
    <cellStyle name="Normal 2 4 2 3 2 2 5 3 3" xfId="32989" xr:uid="{E5D0105D-C92F-4EAF-826A-5ADC4DAA5ACA}"/>
    <cellStyle name="Normal 2 4 2 3 2 2 5 3 4" xfId="41436" xr:uid="{A755CA85-F373-43C8-928C-11A951D7A5FC}"/>
    <cellStyle name="Normal 2 4 2 3 2 2 5 3 5" xfId="15242" xr:uid="{BA332303-F423-4F81-85C0-508D93232CBC}"/>
    <cellStyle name="Normal 2 4 2 3 2 2 5 4" xfId="20325" xr:uid="{B0770910-4AC7-443A-A1DA-3297BCC00D1E}"/>
    <cellStyle name="Normal 2 4 2 3 2 2 5 5" xfId="28772" xr:uid="{5A8C1B5A-C0C0-49C7-B010-201FDD54F6B4}"/>
    <cellStyle name="Normal 2 4 2 3 2 2 5 6" xfId="37219" xr:uid="{6699BA04-6EA3-44CF-864A-635C55B4E964}"/>
    <cellStyle name="Normal 2 4 2 3 2 2 5 7" xfId="11025" xr:uid="{EA460C5B-31EA-4963-904F-EC743464513F}"/>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2 2 2" xfId="27100" xr:uid="{13C70A69-CC8B-46B5-9007-32CA1A4A7656}"/>
    <cellStyle name="Normal 2 4 2 3 2 2 6 2 2 3" xfId="35547" xr:uid="{DF5A6DD6-383B-4170-B68B-1B147BE74955}"/>
    <cellStyle name="Normal 2 4 2 3 2 2 6 2 2 4" xfId="43994" xr:uid="{C89A9B0A-A61A-4E7B-BC09-C466BFCA1369}"/>
    <cellStyle name="Normal 2 4 2 3 2 2 6 2 2 5" xfId="17800" xr:uid="{25F7441A-45A0-46C9-8128-A4C41DB1229D}"/>
    <cellStyle name="Normal 2 4 2 3 2 2 6 2 3" xfId="22883" xr:uid="{7653D7CE-633D-4DC7-B6D3-ABF01972F867}"/>
    <cellStyle name="Normal 2 4 2 3 2 2 6 2 4" xfId="31330" xr:uid="{732A197D-98A8-48EE-AACF-323D81AF1FAB}"/>
    <cellStyle name="Normal 2 4 2 3 2 2 6 2 5" xfId="39777" xr:uid="{14554794-A68B-40FF-B00E-B85C5256199D}"/>
    <cellStyle name="Normal 2 4 2 3 2 2 6 2 6" xfId="13583" xr:uid="{25BCE982-9C70-4C11-BBFB-F17D8B39AB14}"/>
    <cellStyle name="Normal 2 4 2 3 2 2 6 3" xfId="6329" xr:uid="{00000000-0005-0000-0000-0000BD0E0000}"/>
    <cellStyle name="Normal 2 4 2 3 2 2 6 3 2" xfId="24955" xr:uid="{8E50E098-92E0-42E1-A0CB-1AFEB2FC803F}"/>
    <cellStyle name="Normal 2 4 2 3 2 2 6 3 3" xfId="33402" xr:uid="{3413AB52-015E-414C-A812-B1387E889ED4}"/>
    <cellStyle name="Normal 2 4 2 3 2 2 6 3 4" xfId="41849" xr:uid="{48BF750E-B254-47C7-8097-8B1B7B202B77}"/>
    <cellStyle name="Normal 2 4 2 3 2 2 6 3 5" xfId="15655" xr:uid="{3CA9608F-4B26-468E-9083-E1E395290E7A}"/>
    <cellStyle name="Normal 2 4 2 3 2 2 6 4" xfId="20738" xr:uid="{C3745D5A-8738-4558-A992-D226AFBF6220}"/>
    <cellStyle name="Normal 2 4 2 3 2 2 6 5" xfId="29185" xr:uid="{1BB7DFC7-42E1-45AC-8BCA-AB9E89C2B363}"/>
    <cellStyle name="Normal 2 4 2 3 2 2 6 6" xfId="37632" xr:uid="{D971FBD6-D1ED-4867-9E71-BCE395AE3639}"/>
    <cellStyle name="Normal 2 4 2 3 2 2 6 7" xfId="11438" xr:uid="{E2ABF8C7-92A4-431E-BFCB-6DC1D9FBFA2A}"/>
    <cellStyle name="Normal 2 4 2 3 2 2 7" xfId="2459" xr:uid="{00000000-0005-0000-0000-0000BE0E0000}"/>
    <cellStyle name="Normal 2 4 2 3 2 2 7 2" xfId="6742" xr:uid="{00000000-0005-0000-0000-0000BF0E0000}"/>
    <cellStyle name="Normal 2 4 2 3 2 2 7 2 2" xfId="25368" xr:uid="{1DED918E-36E1-48D0-9422-81A564C01B67}"/>
    <cellStyle name="Normal 2 4 2 3 2 2 7 2 3" xfId="33815" xr:uid="{5171BE26-E7C5-425B-BF6B-EC51C10091DA}"/>
    <cellStyle name="Normal 2 4 2 3 2 2 7 2 4" xfId="42262" xr:uid="{1FDF8DE5-8F96-43A8-9520-27E26FB3F5CB}"/>
    <cellStyle name="Normal 2 4 2 3 2 2 7 2 5" xfId="16068" xr:uid="{4E0FD4B0-C0C5-44D3-9FC4-F0CF421342C5}"/>
    <cellStyle name="Normal 2 4 2 3 2 2 7 3" xfId="21151" xr:uid="{AC315DFE-6FFE-41E9-8045-7C5BB4C88F10}"/>
    <cellStyle name="Normal 2 4 2 3 2 2 7 4" xfId="29598" xr:uid="{293C9FE6-16AF-447D-BFD1-1660D87DF484}"/>
    <cellStyle name="Normal 2 4 2 3 2 2 7 5" xfId="38045" xr:uid="{992DD78D-E5B3-4042-81D3-6F56E857ED18}"/>
    <cellStyle name="Normal 2 4 2 3 2 2 7 6" xfId="11851" xr:uid="{B9AAD6D9-1C5B-45E5-A481-7E0BC5ADE0B5}"/>
    <cellStyle name="Normal 2 4 2 3 2 2 8" xfId="4676" xr:uid="{00000000-0005-0000-0000-0000C00E0000}"/>
    <cellStyle name="Normal 2 4 2 3 2 2 8 2" xfId="23302" xr:uid="{B0326EC5-2EC7-4751-962C-18230A7BEA7B}"/>
    <cellStyle name="Normal 2 4 2 3 2 2 8 3" xfId="31749" xr:uid="{03746ADD-9CD5-4075-9458-6C3AB029EA2B}"/>
    <cellStyle name="Normal 2 4 2 3 2 2 8 4" xfId="40196" xr:uid="{7C2AF92B-94AE-4C8A-97C6-24D3D0071D38}"/>
    <cellStyle name="Normal 2 4 2 3 2 2 8 5" xfId="14002" xr:uid="{189D66F0-6B66-456A-B1D3-1DFABA8B4A63}"/>
    <cellStyle name="Normal 2 4 2 3 2 2 9" xfId="8916" xr:uid="{1EF18CC7-44BB-43EB-8DB6-D193CEF128C1}"/>
    <cellStyle name="Normal 2 4 2 3 2 2 9 2" xfId="18240" xr:uid="{91CC8286-0B7C-4CFE-8120-53BCBE0D4833}"/>
    <cellStyle name="Normal 2 4 2 3 2 3" xfId="285" xr:uid="{00000000-0005-0000-0000-0000C10E0000}"/>
    <cellStyle name="Normal 2 4 2 3 2 3 10" xfId="27534" xr:uid="{9D5C9CFB-22D5-4054-BEAD-D1EFECC2EF1F}"/>
    <cellStyle name="Normal 2 4 2 3 2 3 11" xfId="35981" xr:uid="{F8639AC3-362E-42CA-99E4-633B832B5915}"/>
    <cellStyle name="Normal 2 4 2 3 2 3 12" xfId="9787" xr:uid="{9A2DF76D-1F3B-42CC-B0D8-D475C16EB41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2 2 2" xfId="25863" xr:uid="{DA8D62E4-63B6-4AE0-AD1A-8CA2231BCE81}"/>
    <cellStyle name="Normal 2 4 2 3 2 3 2 2 2 3" xfId="34310" xr:uid="{9A752F0D-82E1-49DF-BC61-AF95A5D49D9F}"/>
    <cellStyle name="Normal 2 4 2 3 2 3 2 2 2 4" xfId="42757" xr:uid="{539CF913-4929-4451-B28A-34222CBFF1E7}"/>
    <cellStyle name="Normal 2 4 2 3 2 3 2 2 2 5" xfId="16563" xr:uid="{94B6B790-ECC8-4045-B8F1-EBD92BB44BDA}"/>
    <cellStyle name="Normal 2 4 2 3 2 3 2 2 3" xfId="21646" xr:uid="{6945F8C0-DF4A-4398-8B18-EBF2E5FCC9F8}"/>
    <cellStyle name="Normal 2 4 2 3 2 3 2 2 4" xfId="30093" xr:uid="{6F983C33-3495-4D20-97C7-9AF90DEF81E7}"/>
    <cellStyle name="Normal 2 4 2 3 2 3 2 2 5" xfId="38540" xr:uid="{4F50A1DF-9F4F-494A-9F13-5A2CC85381E9}"/>
    <cellStyle name="Normal 2 4 2 3 2 3 2 2 6" xfId="12346" xr:uid="{9A39C029-CA1C-4595-9342-2C4501924BB1}"/>
    <cellStyle name="Normal 2 4 2 3 2 3 2 3" xfId="5092" xr:uid="{00000000-0005-0000-0000-0000C50E0000}"/>
    <cellStyle name="Normal 2 4 2 3 2 3 2 3 2" xfId="23718" xr:uid="{0963A3E1-D280-4022-8628-AA823DB7EFBA}"/>
    <cellStyle name="Normal 2 4 2 3 2 3 2 3 3" xfId="32165" xr:uid="{28703580-B87C-435C-B3E8-98478F33D868}"/>
    <cellStyle name="Normal 2 4 2 3 2 3 2 3 4" xfId="40612" xr:uid="{880E65A2-9900-4DD6-A087-79EC5110A067}"/>
    <cellStyle name="Normal 2 4 2 3 2 3 2 3 5" xfId="14418" xr:uid="{4DEF60A9-E3FC-4BC9-A055-A5C97CBF5816}"/>
    <cellStyle name="Normal 2 4 2 3 2 3 2 4" xfId="9445" xr:uid="{67F9E33C-8554-469D-8D7A-1147F632F3B0}"/>
    <cellStyle name="Normal 2 4 2 3 2 3 2 4 2" xfId="18761" xr:uid="{B9137F83-244F-4084-8BAC-39E5C92427E0}"/>
    <cellStyle name="Normal 2 4 2 3 2 3 2 5" xfId="19501" xr:uid="{F6445949-3E47-4EC2-84DA-FCFD9B211DCB}"/>
    <cellStyle name="Normal 2 4 2 3 2 3 2 6" xfId="27948" xr:uid="{621A7801-F7EE-4170-8DBF-C7F85D34A054}"/>
    <cellStyle name="Normal 2 4 2 3 2 3 2 7" xfId="36395" xr:uid="{B6FA08A9-A0CA-4A4F-B3E9-05D0FAC23F12}"/>
    <cellStyle name="Normal 2 4 2 3 2 3 2 8" xfId="10201" xr:uid="{8C6984AE-A448-461A-9D4D-6748BC00BCDB}"/>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2 2 2" xfId="26276" xr:uid="{BA1261DA-7283-4464-9E9F-822E48FDB363}"/>
    <cellStyle name="Normal 2 4 2 3 2 3 3 2 2 3" xfId="34723" xr:uid="{2521173F-1898-49F7-894E-95B893A45018}"/>
    <cellStyle name="Normal 2 4 2 3 2 3 3 2 2 4" xfId="43170" xr:uid="{FC1FE3B3-CDC8-44E2-B7AE-C0216ED019EE}"/>
    <cellStyle name="Normal 2 4 2 3 2 3 3 2 2 5" xfId="16976" xr:uid="{CDB485AA-39E9-45E3-801D-FD5311064264}"/>
    <cellStyle name="Normal 2 4 2 3 2 3 3 2 3" xfId="22059" xr:uid="{77280C2B-A732-4E0E-B1E9-A0E4BF9075E0}"/>
    <cellStyle name="Normal 2 4 2 3 2 3 3 2 4" xfId="30506" xr:uid="{769AAB6F-0B91-4D01-9FB3-606E8D53FB4E}"/>
    <cellStyle name="Normal 2 4 2 3 2 3 3 2 5" xfId="38953" xr:uid="{9226BC3F-A2AA-4BFF-B9D1-838E1B65ABF1}"/>
    <cellStyle name="Normal 2 4 2 3 2 3 3 2 6" xfId="12759" xr:uid="{A338740A-88C9-4E76-BAED-D46E17FCBC1C}"/>
    <cellStyle name="Normal 2 4 2 3 2 3 3 3" xfId="5505" xr:uid="{00000000-0005-0000-0000-0000C90E0000}"/>
    <cellStyle name="Normal 2 4 2 3 2 3 3 3 2" xfId="24131" xr:uid="{443DD393-93BE-4C01-9EE6-8678E739B89D}"/>
    <cellStyle name="Normal 2 4 2 3 2 3 3 3 3" xfId="32578" xr:uid="{2A7F32D8-34D2-491F-8E7D-A058958364E6}"/>
    <cellStyle name="Normal 2 4 2 3 2 3 3 3 4" xfId="41025" xr:uid="{2033E206-616C-4D66-A905-3D6BCA4599CB}"/>
    <cellStyle name="Normal 2 4 2 3 2 3 3 3 5" xfId="14831" xr:uid="{1E9BC769-B027-498B-BA9B-029EC162E6E2}"/>
    <cellStyle name="Normal 2 4 2 3 2 3 3 4" xfId="19914" xr:uid="{99BDB751-B276-4524-8F33-1B5AC0A4D21C}"/>
    <cellStyle name="Normal 2 4 2 3 2 3 3 5" xfId="28361" xr:uid="{9575D3BA-E89E-4FC3-9A12-FF559298E0DA}"/>
    <cellStyle name="Normal 2 4 2 3 2 3 3 6" xfId="36808" xr:uid="{30BDAB60-D591-402A-B1C4-B44E1B9BEB9E}"/>
    <cellStyle name="Normal 2 4 2 3 2 3 3 7" xfId="10614" xr:uid="{31733554-3682-4435-9CE7-4ABDBCCB708D}"/>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2 2 2" xfId="26689" xr:uid="{D096C888-F257-45B6-868D-9C59DF9783E6}"/>
    <cellStyle name="Normal 2 4 2 3 2 3 4 2 2 3" xfId="35136" xr:uid="{1B1F5618-F296-4923-B431-61EACC40040C}"/>
    <cellStyle name="Normal 2 4 2 3 2 3 4 2 2 4" xfId="43583" xr:uid="{2255B5FC-EF5E-48CD-ADB8-F1130A88B789}"/>
    <cellStyle name="Normal 2 4 2 3 2 3 4 2 2 5" xfId="17389" xr:uid="{3E7FA5BF-024D-4787-9ECA-AEC306C0CEA0}"/>
    <cellStyle name="Normal 2 4 2 3 2 3 4 2 3" xfId="22472" xr:uid="{30A48086-056D-432A-AD3F-4891EAE7556C}"/>
    <cellStyle name="Normal 2 4 2 3 2 3 4 2 4" xfId="30919" xr:uid="{81D93BB4-0BB5-43B1-AF2E-BCA7ABB239F8}"/>
    <cellStyle name="Normal 2 4 2 3 2 3 4 2 5" xfId="39366" xr:uid="{E2FD7F81-B6A0-4C87-8ADD-DE502D44AAAB}"/>
    <cellStyle name="Normal 2 4 2 3 2 3 4 2 6" xfId="13172" xr:uid="{91540925-EE17-471D-9840-2CAD528CFF86}"/>
    <cellStyle name="Normal 2 4 2 3 2 3 4 3" xfId="5918" xr:uid="{00000000-0005-0000-0000-0000CD0E0000}"/>
    <cellStyle name="Normal 2 4 2 3 2 3 4 3 2" xfId="24544" xr:uid="{9CAB4ABE-846E-49C4-8BAD-1C58729AD8BC}"/>
    <cellStyle name="Normal 2 4 2 3 2 3 4 3 3" xfId="32991" xr:uid="{D2DD543B-3BD1-4D37-87B4-6FDD8F01F8EF}"/>
    <cellStyle name="Normal 2 4 2 3 2 3 4 3 4" xfId="41438" xr:uid="{6F4B3284-2071-4856-B920-3E57EA0EC7C6}"/>
    <cellStyle name="Normal 2 4 2 3 2 3 4 3 5" xfId="15244" xr:uid="{B4F07811-F6EB-40A4-95F1-4A2C524D4446}"/>
    <cellStyle name="Normal 2 4 2 3 2 3 4 4" xfId="20327" xr:uid="{DC84AE18-3D68-4F4F-8F83-C91B7F4C7E72}"/>
    <cellStyle name="Normal 2 4 2 3 2 3 4 5" xfId="28774" xr:uid="{B5C498AE-F6EE-4E33-B4E1-9EBDD4A49A9A}"/>
    <cellStyle name="Normal 2 4 2 3 2 3 4 6" xfId="37221" xr:uid="{A64F113C-6253-4D11-8321-31DAB5BFBD3E}"/>
    <cellStyle name="Normal 2 4 2 3 2 3 4 7" xfId="11027" xr:uid="{F79ED5FC-C91E-4B04-A92C-E077B781DCDE}"/>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2 2 2" xfId="27102" xr:uid="{C22CB9B0-7853-441C-99EA-CF71A11FA123}"/>
    <cellStyle name="Normal 2 4 2 3 2 3 5 2 2 3" xfId="35549" xr:uid="{02DB8F11-8DD9-405A-98A2-08A53D0677EF}"/>
    <cellStyle name="Normal 2 4 2 3 2 3 5 2 2 4" xfId="43996" xr:uid="{5DCC61B3-7C1D-4AE8-9E19-CCE7479E8E32}"/>
    <cellStyle name="Normal 2 4 2 3 2 3 5 2 2 5" xfId="17802" xr:uid="{8771167B-A112-4952-968E-7ABD941CC9A3}"/>
    <cellStyle name="Normal 2 4 2 3 2 3 5 2 3" xfId="22885" xr:uid="{5C57FCD6-2A43-42D2-AAE9-35ADF146A83C}"/>
    <cellStyle name="Normal 2 4 2 3 2 3 5 2 4" xfId="31332" xr:uid="{2CCDAAF1-7588-48E7-9963-46EAFDA0A02B}"/>
    <cellStyle name="Normal 2 4 2 3 2 3 5 2 5" xfId="39779" xr:uid="{3310FBA7-943D-4D8F-8970-4A27AE8116E4}"/>
    <cellStyle name="Normal 2 4 2 3 2 3 5 2 6" xfId="13585" xr:uid="{16C32075-FC26-4BB6-AF50-600ABE764D14}"/>
    <cellStyle name="Normal 2 4 2 3 2 3 5 3" xfId="6331" xr:uid="{00000000-0005-0000-0000-0000D10E0000}"/>
    <cellStyle name="Normal 2 4 2 3 2 3 5 3 2" xfId="24957" xr:uid="{7D9E1CEA-36A5-439F-A5B7-F2D800ED4F53}"/>
    <cellStyle name="Normal 2 4 2 3 2 3 5 3 3" xfId="33404" xr:uid="{CC42B58C-6138-498D-8460-369B5A831DE8}"/>
    <cellStyle name="Normal 2 4 2 3 2 3 5 3 4" xfId="41851" xr:uid="{8DF9FDB7-576F-4F6D-A098-0CDDB8729B2C}"/>
    <cellStyle name="Normal 2 4 2 3 2 3 5 3 5" xfId="15657" xr:uid="{7500AB15-2163-421F-9AFA-436BAA5618E3}"/>
    <cellStyle name="Normal 2 4 2 3 2 3 5 4" xfId="20740" xr:uid="{1B0F4542-58C8-4F3A-B7D1-E784EF43F452}"/>
    <cellStyle name="Normal 2 4 2 3 2 3 5 5" xfId="29187" xr:uid="{B09C0C3B-2B61-4A31-BC2F-5FA93E71B6F8}"/>
    <cellStyle name="Normal 2 4 2 3 2 3 5 6" xfId="37634" xr:uid="{C899C223-9FFB-4DBD-A6B8-1C4E98AFF006}"/>
    <cellStyle name="Normal 2 4 2 3 2 3 5 7" xfId="11440" xr:uid="{5D5BF434-722A-46EB-8720-27F2557FABC7}"/>
    <cellStyle name="Normal 2 4 2 3 2 3 6" xfId="2461" xr:uid="{00000000-0005-0000-0000-0000D20E0000}"/>
    <cellStyle name="Normal 2 4 2 3 2 3 6 2" xfId="6744" xr:uid="{00000000-0005-0000-0000-0000D30E0000}"/>
    <cellStyle name="Normal 2 4 2 3 2 3 6 2 2" xfId="25370" xr:uid="{8B63D966-0C3A-4A43-B780-291B51C0F5DE}"/>
    <cellStyle name="Normal 2 4 2 3 2 3 6 2 3" xfId="33817" xr:uid="{64482AC1-0ED6-4786-9AC6-02B7CFBEDC0E}"/>
    <cellStyle name="Normal 2 4 2 3 2 3 6 2 4" xfId="42264" xr:uid="{9F15B044-BE1F-4D1C-9296-80934A54C88B}"/>
    <cellStyle name="Normal 2 4 2 3 2 3 6 2 5" xfId="16070" xr:uid="{03E26905-14B7-4C4E-9299-B9C391892B5E}"/>
    <cellStyle name="Normal 2 4 2 3 2 3 6 3" xfId="21153" xr:uid="{BDB87B50-7406-456B-B590-22D746A7B6F1}"/>
    <cellStyle name="Normal 2 4 2 3 2 3 6 4" xfId="29600" xr:uid="{EADDAA9E-0FF0-4DBE-8145-6EB96DA93CA3}"/>
    <cellStyle name="Normal 2 4 2 3 2 3 6 5" xfId="38047" xr:uid="{42139F2D-13DA-4CF2-B76D-CEBB16F51E9B}"/>
    <cellStyle name="Normal 2 4 2 3 2 3 6 6" xfId="11853" xr:uid="{FBED7946-8F09-403D-A301-9E3F3C0F03D6}"/>
    <cellStyle name="Normal 2 4 2 3 2 3 7" xfId="4678" xr:uid="{00000000-0005-0000-0000-0000D40E0000}"/>
    <cellStyle name="Normal 2 4 2 3 2 3 7 2" xfId="23304" xr:uid="{2F283827-EECD-4220-86C6-F57F3CE0457C}"/>
    <cellStyle name="Normal 2 4 2 3 2 3 7 3" xfId="31751" xr:uid="{3637D251-75FD-466B-A33C-BBF486EFDB47}"/>
    <cellStyle name="Normal 2 4 2 3 2 3 7 4" xfId="40198" xr:uid="{59CB1BA7-F4A7-47E9-A1D0-195920FDF0C4}"/>
    <cellStyle name="Normal 2 4 2 3 2 3 7 5" xfId="14004" xr:uid="{29798048-81CB-461B-92F2-05DEE692132E}"/>
    <cellStyle name="Normal 2 4 2 3 2 3 8" xfId="9020" xr:uid="{5718F785-8E2C-4B45-91D1-4597173D90A6}"/>
    <cellStyle name="Normal 2 4 2 3 2 3 8 2" xfId="18344" xr:uid="{EC92EC56-6A14-4E01-9332-49A1B13FC15F}"/>
    <cellStyle name="Normal 2 4 2 3 2 3 9" xfId="19087" xr:uid="{D645BD9B-1E3A-4759-9305-D3AE4339EC6F}"/>
    <cellStyle name="Normal 2 4 2 3 2 4" xfId="773" xr:uid="{00000000-0005-0000-0000-0000D50E0000}"/>
    <cellStyle name="Normal 2 4 2 3 2 4 2" xfId="3012" xr:uid="{00000000-0005-0000-0000-0000D60E0000}"/>
    <cellStyle name="Normal 2 4 2 3 2 4 2 2" xfId="7234" xr:uid="{00000000-0005-0000-0000-0000D70E0000}"/>
    <cellStyle name="Normal 2 4 2 3 2 4 2 2 2" xfId="25860" xr:uid="{839C1002-A0BA-4D78-9DB2-C31327AD1DFF}"/>
    <cellStyle name="Normal 2 4 2 3 2 4 2 2 3" xfId="34307" xr:uid="{E9843F42-D82D-453C-8F94-E616BE1678E1}"/>
    <cellStyle name="Normal 2 4 2 3 2 4 2 2 4" xfId="42754" xr:uid="{1A654AFA-C1C2-461B-94AC-A43BD103E97F}"/>
    <cellStyle name="Normal 2 4 2 3 2 4 2 2 5" xfId="16560" xr:uid="{99A7985B-F92C-45C4-8F94-D978A84C35A8}"/>
    <cellStyle name="Normal 2 4 2 3 2 4 2 3" xfId="21643" xr:uid="{E692C047-9534-4C76-AD3B-C6CC378A48E0}"/>
    <cellStyle name="Normal 2 4 2 3 2 4 2 4" xfId="30090" xr:uid="{65618BEA-C51B-4858-9A72-08C8892C4CAD}"/>
    <cellStyle name="Normal 2 4 2 3 2 4 2 5" xfId="38537" xr:uid="{E1A5A504-8604-433A-AF1C-7186F9C955E1}"/>
    <cellStyle name="Normal 2 4 2 3 2 4 2 6" xfId="12343" xr:uid="{3CB21E76-806F-4EB1-8CE0-DD0D3D9B14FE}"/>
    <cellStyle name="Normal 2 4 2 3 2 4 3" xfId="5089" xr:uid="{00000000-0005-0000-0000-0000D80E0000}"/>
    <cellStyle name="Normal 2 4 2 3 2 4 3 2" xfId="23715" xr:uid="{F288EE35-CD5E-469C-B7A2-C5C8EF491B91}"/>
    <cellStyle name="Normal 2 4 2 3 2 4 3 3" xfId="32162" xr:uid="{3F1BFD6C-CDCF-4FBB-AF1F-A66E162779C6}"/>
    <cellStyle name="Normal 2 4 2 3 2 4 3 4" xfId="40609" xr:uid="{6447185B-469B-43CD-A6F7-8B0CC844C17B}"/>
    <cellStyle name="Normal 2 4 2 3 2 4 3 5" xfId="14415" xr:uid="{272AB1D1-0E00-4922-9094-ED640BF8E8F4}"/>
    <cellStyle name="Normal 2 4 2 3 2 4 4" xfId="9238" xr:uid="{BC6E5A3D-C256-46E9-A109-D643C24AA206}"/>
    <cellStyle name="Normal 2 4 2 3 2 4 4 2" xfId="18554" xr:uid="{6C95E34E-7DD0-4C8E-9D1E-EC4ACDC9AFF0}"/>
    <cellStyle name="Normal 2 4 2 3 2 4 5" xfId="19498" xr:uid="{D9789853-0996-4946-A44E-A01CB02526C9}"/>
    <cellStyle name="Normal 2 4 2 3 2 4 6" xfId="27945" xr:uid="{A677B1F9-C741-4C4E-8D13-4950067BE86C}"/>
    <cellStyle name="Normal 2 4 2 3 2 4 7" xfId="36392" xr:uid="{3F54B19A-DBE9-4930-90FE-CC764F8043E8}"/>
    <cellStyle name="Normal 2 4 2 3 2 4 8" xfId="10198" xr:uid="{C560BAFA-6BA0-47D0-9A4B-BF83854BDC8F}"/>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2 2 2" xfId="26273" xr:uid="{C7C2209E-8BD5-4488-B357-9E076173121E}"/>
    <cellStyle name="Normal 2 4 2 3 2 5 2 2 3" xfId="34720" xr:uid="{137F9F0D-1899-4C4E-A3E5-A5636A4E9682}"/>
    <cellStyle name="Normal 2 4 2 3 2 5 2 2 4" xfId="43167" xr:uid="{FDF28925-0F24-48C7-98E3-02BF7FC008C5}"/>
    <cellStyle name="Normal 2 4 2 3 2 5 2 2 5" xfId="16973" xr:uid="{9D3A3324-44C0-4BDB-A790-B003525A45B8}"/>
    <cellStyle name="Normal 2 4 2 3 2 5 2 3" xfId="22056" xr:uid="{6865C6D2-5E88-44A6-937D-EB357B59C319}"/>
    <cellStyle name="Normal 2 4 2 3 2 5 2 4" xfId="30503" xr:uid="{DF7D593E-A508-4903-BBB0-237675729517}"/>
    <cellStyle name="Normal 2 4 2 3 2 5 2 5" xfId="38950" xr:uid="{2C86C4F6-4998-4892-9543-F12F44CBB146}"/>
    <cellStyle name="Normal 2 4 2 3 2 5 2 6" xfId="12756" xr:uid="{7FFB21B7-F331-4896-AE8B-A65BE255AB7C}"/>
    <cellStyle name="Normal 2 4 2 3 2 5 3" xfId="5502" xr:uid="{00000000-0005-0000-0000-0000DC0E0000}"/>
    <cellStyle name="Normal 2 4 2 3 2 5 3 2" xfId="24128" xr:uid="{3F034BF0-8BBE-47D4-9592-F4589C526F8A}"/>
    <cellStyle name="Normal 2 4 2 3 2 5 3 3" xfId="32575" xr:uid="{646FD1E5-8A41-4D95-9C29-976C018D60D6}"/>
    <cellStyle name="Normal 2 4 2 3 2 5 3 4" xfId="41022" xr:uid="{19A58146-EB1F-4687-A9DC-EFA7F02F77FF}"/>
    <cellStyle name="Normal 2 4 2 3 2 5 3 5" xfId="14828" xr:uid="{BE93C678-850F-4C86-A896-D7825A64D4D9}"/>
    <cellStyle name="Normal 2 4 2 3 2 5 4" xfId="19911" xr:uid="{61BB608A-E1F1-404A-AB22-D032881AE363}"/>
    <cellStyle name="Normal 2 4 2 3 2 5 5" xfId="28358" xr:uid="{D9B4134E-0059-4D5E-A335-7A50663B0663}"/>
    <cellStyle name="Normal 2 4 2 3 2 5 6" xfId="36805" xr:uid="{A182BA32-7689-49FA-85A8-50FDC986F2FC}"/>
    <cellStyle name="Normal 2 4 2 3 2 5 7" xfId="10611" xr:uid="{54F57754-271D-438F-88C6-8193C00CFBED}"/>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2 2 2" xfId="26686" xr:uid="{3D9B90CD-0BCE-40E5-B9EA-909222F4DD81}"/>
    <cellStyle name="Normal 2 4 2 3 2 6 2 2 3" xfId="35133" xr:uid="{FCEA031E-A817-4CD2-8A22-10C30D2B2FDA}"/>
    <cellStyle name="Normal 2 4 2 3 2 6 2 2 4" xfId="43580" xr:uid="{2CB49E62-8FC6-48AE-8B34-1F65088CB3E0}"/>
    <cellStyle name="Normal 2 4 2 3 2 6 2 2 5" xfId="17386" xr:uid="{2D39FE8A-F32D-4CDA-A945-9801CB6D9C06}"/>
    <cellStyle name="Normal 2 4 2 3 2 6 2 3" xfId="22469" xr:uid="{EDD60054-4DB9-4CA3-9F56-8E95726B69F9}"/>
    <cellStyle name="Normal 2 4 2 3 2 6 2 4" xfId="30916" xr:uid="{3DF392E5-DA5C-4D3F-9693-4FE11976FD69}"/>
    <cellStyle name="Normal 2 4 2 3 2 6 2 5" xfId="39363" xr:uid="{0A1010EE-15D8-48AD-8759-B549A7E053D2}"/>
    <cellStyle name="Normal 2 4 2 3 2 6 2 6" xfId="13169" xr:uid="{4B6CD9C9-5F19-4B94-90C2-0A1F0F7855B3}"/>
    <cellStyle name="Normal 2 4 2 3 2 6 3" xfId="5915" xr:uid="{00000000-0005-0000-0000-0000E00E0000}"/>
    <cellStyle name="Normal 2 4 2 3 2 6 3 2" xfId="24541" xr:uid="{3FBAB300-CA09-4819-9396-68A9AB848A84}"/>
    <cellStyle name="Normal 2 4 2 3 2 6 3 3" xfId="32988" xr:uid="{DDC332DD-EBF7-4FBB-91C5-9D78436E3A0B}"/>
    <cellStyle name="Normal 2 4 2 3 2 6 3 4" xfId="41435" xr:uid="{82F7E7FD-6231-4FFA-B552-53D2ECF44598}"/>
    <cellStyle name="Normal 2 4 2 3 2 6 3 5" xfId="15241" xr:uid="{C61B7754-AB70-4221-B9E2-4FEE07BCDB6F}"/>
    <cellStyle name="Normal 2 4 2 3 2 6 4" xfId="20324" xr:uid="{44BEA2F1-0B3A-491B-8BE7-B0645A0E0E07}"/>
    <cellStyle name="Normal 2 4 2 3 2 6 5" xfId="28771" xr:uid="{37B2DE6E-A9BC-47BC-894C-76F8775DFC05}"/>
    <cellStyle name="Normal 2 4 2 3 2 6 6" xfId="37218" xr:uid="{E63E1EBA-C90E-4A9E-B9A4-A9C9C89A5B60}"/>
    <cellStyle name="Normal 2 4 2 3 2 6 7" xfId="11024" xr:uid="{24113EEB-D557-4497-97B3-D3D1657CE438}"/>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2 2 2" xfId="27099" xr:uid="{F0174AB5-016A-4902-872F-E38D5558EE40}"/>
    <cellStyle name="Normal 2 4 2 3 2 7 2 2 3" xfId="35546" xr:uid="{549D2FF7-DDF9-44A1-BF85-5E45B26A930D}"/>
    <cellStyle name="Normal 2 4 2 3 2 7 2 2 4" xfId="43993" xr:uid="{ECD985C3-339E-4D73-B7A6-74991B98DA93}"/>
    <cellStyle name="Normal 2 4 2 3 2 7 2 2 5" xfId="17799" xr:uid="{F4430CB0-9C09-45E5-875B-3D74EEDE7D97}"/>
    <cellStyle name="Normal 2 4 2 3 2 7 2 3" xfId="22882" xr:uid="{DF48EECF-C7F6-46B8-AB24-48217D261391}"/>
    <cellStyle name="Normal 2 4 2 3 2 7 2 4" xfId="31329" xr:uid="{996442F4-B463-44B8-A26B-D8E53D50B8EF}"/>
    <cellStyle name="Normal 2 4 2 3 2 7 2 5" xfId="39776" xr:uid="{58A3C726-6FCE-45CA-9202-242B9ED3F6AE}"/>
    <cellStyle name="Normal 2 4 2 3 2 7 2 6" xfId="13582" xr:uid="{FAC33055-2ECC-4AE2-AA72-E9F657F3C151}"/>
    <cellStyle name="Normal 2 4 2 3 2 7 3" xfId="6328" xr:uid="{00000000-0005-0000-0000-0000E40E0000}"/>
    <cellStyle name="Normal 2 4 2 3 2 7 3 2" xfId="24954" xr:uid="{0D1EAFE7-860B-46D7-9422-91BDA4973E63}"/>
    <cellStyle name="Normal 2 4 2 3 2 7 3 3" xfId="33401" xr:uid="{20EB5D37-C8C1-473A-9AC6-AAB8051ED18E}"/>
    <cellStyle name="Normal 2 4 2 3 2 7 3 4" xfId="41848" xr:uid="{68A418EE-E9F0-4873-9C0B-11AD82A90F60}"/>
    <cellStyle name="Normal 2 4 2 3 2 7 3 5" xfId="15654" xr:uid="{6F8A7DD8-390C-42EE-BAD3-A9C988201A79}"/>
    <cellStyle name="Normal 2 4 2 3 2 7 4" xfId="20737" xr:uid="{2890D6D9-3CCA-4A20-B6A9-A7616590AAE4}"/>
    <cellStyle name="Normal 2 4 2 3 2 7 5" xfId="29184" xr:uid="{3B91260D-1CB1-4D5C-9A52-0C8D4E81A13C}"/>
    <cellStyle name="Normal 2 4 2 3 2 7 6" xfId="37631" xr:uid="{25A28C87-D30A-47C8-B440-3E14D6E66D7B}"/>
    <cellStyle name="Normal 2 4 2 3 2 7 7" xfId="11437" xr:uid="{AF3D5324-8567-40DC-9313-CECF9FBBF1E0}"/>
    <cellStyle name="Normal 2 4 2 3 2 8" xfId="2458" xr:uid="{00000000-0005-0000-0000-0000E50E0000}"/>
    <cellStyle name="Normal 2 4 2 3 2 8 2" xfId="6741" xr:uid="{00000000-0005-0000-0000-0000E60E0000}"/>
    <cellStyle name="Normal 2 4 2 3 2 8 2 2" xfId="25367" xr:uid="{7389E7E0-72CB-4A77-AB37-9E4B0B983719}"/>
    <cellStyle name="Normal 2 4 2 3 2 8 2 3" xfId="33814" xr:uid="{28D451D7-D48D-4DCF-8EDA-59D9C39DC57D}"/>
    <cellStyle name="Normal 2 4 2 3 2 8 2 4" xfId="42261" xr:uid="{C843F377-E045-4B65-BBE8-5F70AF3F8282}"/>
    <cellStyle name="Normal 2 4 2 3 2 8 2 5" xfId="16067" xr:uid="{B33FA02F-93E4-4129-8C7D-E02A96458265}"/>
    <cellStyle name="Normal 2 4 2 3 2 8 3" xfId="21150" xr:uid="{637E5C72-A1D1-4F93-BCFD-B3B82A095762}"/>
    <cellStyle name="Normal 2 4 2 3 2 8 4" xfId="29597" xr:uid="{6734AF73-BEED-4E6E-BB25-2F2731B9B942}"/>
    <cellStyle name="Normal 2 4 2 3 2 8 5" xfId="38044" xr:uid="{A342D281-029B-43C9-A0EE-1D334C10C25D}"/>
    <cellStyle name="Normal 2 4 2 3 2 8 6" xfId="11850" xr:uid="{376A5E55-E5D2-4830-A8C1-631F0541E16D}"/>
    <cellStyle name="Normal 2 4 2 3 2 9" xfId="4675" xr:uid="{00000000-0005-0000-0000-0000E70E0000}"/>
    <cellStyle name="Normal 2 4 2 3 2 9 2" xfId="23301" xr:uid="{B705CD69-C398-40C0-AA36-AB81C4EED7D7}"/>
    <cellStyle name="Normal 2 4 2 3 2 9 3" xfId="31748" xr:uid="{2F488DDF-4AF6-4DCB-ADEB-19F85FAE3EE1}"/>
    <cellStyle name="Normal 2 4 2 3 2 9 4" xfId="40195" xr:uid="{F0BA6CF3-36D0-477C-8921-061DC2BBB9F6}"/>
    <cellStyle name="Normal 2 4 2 3 2 9 5" xfId="14001" xr:uid="{C15A340B-1B40-41F5-BC1A-26A844FBA329}"/>
    <cellStyle name="Normal 2 4 2 3 3" xfId="286" xr:uid="{00000000-0005-0000-0000-0000E80E0000}"/>
    <cellStyle name="Normal 2 4 2 3 3 10" xfId="19088" xr:uid="{B9F9E979-7B76-4397-AB6B-4F7806DB4F66}"/>
    <cellStyle name="Normal 2 4 2 3 3 11" xfId="27535" xr:uid="{248C5899-1190-496D-B07D-458B20D23321}"/>
    <cellStyle name="Normal 2 4 2 3 3 12" xfId="35982" xr:uid="{FF95EF1F-10E0-4079-B215-55AEC7CC77B4}"/>
    <cellStyle name="Normal 2 4 2 3 3 13" xfId="9788" xr:uid="{6CF14310-D5B4-4E44-9B77-A1BE59A0C701}"/>
    <cellStyle name="Normal 2 4 2 3 3 2" xfId="287" xr:uid="{00000000-0005-0000-0000-0000E90E0000}"/>
    <cellStyle name="Normal 2 4 2 3 3 2 10" xfId="27536" xr:uid="{6C96731D-B0C3-4CB8-BCBC-AA78E814D903}"/>
    <cellStyle name="Normal 2 4 2 3 3 2 11" xfId="35983" xr:uid="{012F1E9F-7269-4997-AAB2-89283F251AD9}"/>
    <cellStyle name="Normal 2 4 2 3 3 2 12" xfId="9789" xr:uid="{87DEDD02-50EE-4E20-B95E-E390BB34B1EF}"/>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2 2 2" xfId="25865" xr:uid="{9AC2BB28-7B68-4238-930C-426D06E38EA3}"/>
    <cellStyle name="Normal 2 4 2 3 3 2 2 2 2 3" xfId="34312" xr:uid="{0532EC75-3B7A-42D5-A7A0-B3BA9930AE9B}"/>
    <cellStyle name="Normal 2 4 2 3 3 2 2 2 2 4" xfId="42759" xr:uid="{1D497263-2E14-499B-8F66-FAC0F4A4679C}"/>
    <cellStyle name="Normal 2 4 2 3 3 2 2 2 2 5" xfId="16565" xr:uid="{625E9D91-AC5D-4455-8830-FD2BB7009A6A}"/>
    <cellStyle name="Normal 2 4 2 3 3 2 2 2 3" xfId="21648" xr:uid="{6FA98EC7-8674-4E65-AC4E-839A12771E28}"/>
    <cellStyle name="Normal 2 4 2 3 3 2 2 2 4" xfId="30095" xr:uid="{2D0967B9-05B8-4B56-8DFE-E8C786986BD2}"/>
    <cellStyle name="Normal 2 4 2 3 3 2 2 2 5" xfId="38542" xr:uid="{469DCBA5-9FAE-45AB-A21D-B715ACD0A21D}"/>
    <cellStyle name="Normal 2 4 2 3 3 2 2 2 6" xfId="12348" xr:uid="{110028A6-4DB6-4753-8E39-5F3CA44771C3}"/>
    <cellStyle name="Normal 2 4 2 3 3 2 2 3" xfId="5094" xr:uid="{00000000-0005-0000-0000-0000ED0E0000}"/>
    <cellStyle name="Normal 2 4 2 3 3 2 2 3 2" xfId="23720" xr:uid="{F44B85A8-94C1-4955-8787-899478ED35A5}"/>
    <cellStyle name="Normal 2 4 2 3 3 2 2 3 3" xfId="32167" xr:uid="{04D384B4-D28A-439A-9C08-90EED29006E6}"/>
    <cellStyle name="Normal 2 4 2 3 3 2 2 3 4" xfId="40614" xr:uid="{1B9F70C1-0CE2-47F5-91C1-3C37B6ED0AFC}"/>
    <cellStyle name="Normal 2 4 2 3 3 2 2 3 5" xfId="14420" xr:uid="{01F8A2B5-04CB-420B-8DC0-E688CAE32EC1}"/>
    <cellStyle name="Normal 2 4 2 3 3 2 2 4" xfId="9523" xr:uid="{49BCB42B-3FEB-4D87-8E20-52FE775F87DD}"/>
    <cellStyle name="Normal 2 4 2 3 3 2 2 4 2" xfId="18839" xr:uid="{5138448C-CB9B-4AF9-ADF5-269EF6CCED5B}"/>
    <cellStyle name="Normal 2 4 2 3 3 2 2 5" xfId="19503" xr:uid="{00A11F68-330A-43A6-92DA-6CC75143D7EF}"/>
    <cellStyle name="Normal 2 4 2 3 3 2 2 6" xfId="27950" xr:uid="{BB9468BD-1D65-4791-954B-4688363BB4DE}"/>
    <cellStyle name="Normal 2 4 2 3 3 2 2 7" xfId="36397" xr:uid="{47C77DD9-15E5-44E4-BE26-FCECD2B106AC}"/>
    <cellStyle name="Normal 2 4 2 3 3 2 2 8" xfId="10203" xr:uid="{3D6A5B55-57D9-46AA-8AF8-9F9D8A30B351}"/>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2 2 2" xfId="26278" xr:uid="{609E0A16-3E67-4AD3-B1D8-36EB374C0FC3}"/>
    <cellStyle name="Normal 2 4 2 3 3 2 3 2 2 3" xfId="34725" xr:uid="{80226E24-C949-47B4-BDC3-4BADE94123DE}"/>
    <cellStyle name="Normal 2 4 2 3 3 2 3 2 2 4" xfId="43172" xr:uid="{CBFE57A7-EF4E-4EE3-A126-AC687F58CAAB}"/>
    <cellStyle name="Normal 2 4 2 3 3 2 3 2 2 5" xfId="16978" xr:uid="{33A43316-C94C-4E2A-AFA6-650ECC104907}"/>
    <cellStyle name="Normal 2 4 2 3 3 2 3 2 3" xfId="22061" xr:uid="{0EECFBAE-F76F-4E8E-9EA9-36DF2025A78A}"/>
    <cellStyle name="Normal 2 4 2 3 3 2 3 2 4" xfId="30508" xr:uid="{1354B111-E9DC-4770-B049-9A74CA226DEB}"/>
    <cellStyle name="Normal 2 4 2 3 3 2 3 2 5" xfId="38955" xr:uid="{A8C023B7-64FD-4384-A1C6-86C49C3D83B7}"/>
    <cellStyle name="Normal 2 4 2 3 3 2 3 2 6" xfId="12761" xr:uid="{BB3AA278-1D66-457D-86C9-F0747BDA5238}"/>
    <cellStyle name="Normal 2 4 2 3 3 2 3 3" xfId="5507" xr:uid="{00000000-0005-0000-0000-0000F10E0000}"/>
    <cellStyle name="Normal 2 4 2 3 3 2 3 3 2" xfId="24133" xr:uid="{6F54CE7C-17B7-426C-B0A8-F1E572CEFD83}"/>
    <cellStyle name="Normal 2 4 2 3 3 2 3 3 3" xfId="32580" xr:uid="{36DB39A2-B829-4D2F-87BA-E0303526A9BA}"/>
    <cellStyle name="Normal 2 4 2 3 3 2 3 3 4" xfId="41027" xr:uid="{EE7628C2-A2E0-4A7E-8703-1F1049E941C4}"/>
    <cellStyle name="Normal 2 4 2 3 3 2 3 3 5" xfId="14833" xr:uid="{03913339-E2DF-4425-9616-DC5EDE7CCEE4}"/>
    <cellStyle name="Normal 2 4 2 3 3 2 3 4" xfId="19916" xr:uid="{BD353302-C97F-42F2-ADD4-5B4A519B887A}"/>
    <cellStyle name="Normal 2 4 2 3 3 2 3 5" xfId="28363" xr:uid="{BB9B920D-B89E-4DAD-A84A-A6D5EF52047D}"/>
    <cellStyle name="Normal 2 4 2 3 3 2 3 6" xfId="36810" xr:uid="{733A6FB6-DC0A-400E-9DE3-29531AD65E10}"/>
    <cellStyle name="Normal 2 4 2 3 3 2 3 7" xfId="10616" xr:uid="{5615F9E2-E7CC-4B21-AA31-2B6F0B2310FD}"/>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2 2 2" xfId="26691" xr:uid="{2EAC920F-3CC2-41B7-8C03-7BB1255CAD5B}"/>
    <cellStyle name="Normal 2 4 2 3 3 2 4 2 2 3" xfId="35138" xr:uid="{516DB69F-7644-4BA9-97C7-6EE7857A77D0}"/>
    <cellStyle name="Normal 2 4 2 3 3 2 4 2 2 4" xfId="43585" xr:uid="{37B0F41C-5A79-4142-BD35-77A843621F9E}"/>
    <cellStyle name="Normal 2 4 2 3 3 2 4 2 2 5" xfId="17391" xr:uid="{1A4DA3F1-4931-4CBC-B1C1-7098A9FCB367}"/>
    <cellStyle name="Normal 2 4 2 3 3 2 4 2 3" xfId="22474" xr:uid="{996ACF2C-0BF6-48B0-9EA2-B09D57734998}"/>
    <cellStyle name="Normal 2 4 2 3 3 2 4 2 4" xfId="30921" xr:uid="{B7B6D8EF-499D-4E31-B2DD-34DC4B5767B8}"/>
    <cellStyle name="Normal 2 4 2 3 3 2 4 2 5" xfId="39368" xr:uid="{FB2F1768-7C89-43BA-A37B-8621A4801D4D}"/>
    <cellStyle name="Normal 2 4 2 3 3 2 4 2 6" xfId="13174" xr:uid="{60DD3D3A-7102-42B0-B2E6-F2B49B49CC1E}"/>
    <cellStyle name="Normal 2 4 2 3 3 2 4 3" xfId="5920" xr:uid="{00000000-0005-0000-0000-0000F50E0000}"/>
    <cellStyle name="Normal 2 4 2 3 3 2 4 3 2" xfId="24546" xr:uid="{5DBB6436-9272-4318-B1C0-E7A6D612DEA0}"/>
    <cellStyle name="Normal 2 4 2 3 3 2 4 3 3" xfId="32993" xr:uid="{5B392C13-FE2C-4467-9B45-4D8D15346D2C}"/>
    <cellStyle name="Normal 2 4 2 3 3 2 4 3 4" xfId="41440" xr:uid="{3578E092-DB37-426A-9211-1A5479CC4BF0}"/>
    <cellStyle name="Normal 2 4 2 3 3 2 4 3 5" xfId="15246" xr:uid="{9994EF2D-7F2D-41C9-B60F-087FE8542CEB}"/>
    <cellStyle name="Normal 2 4 2 3 3 2 4 4" xfId="20329" xr:uid="{D981C0E5-ACB4-4C0F-B915-9F8B6C79DEE5}"/>
    <cellStyle name="Normal 2 4 2 3 3 2 4 5" xfId="28776" xr:uid="{3D580F9C-ADC8-4E22-B809-EA3B5E55D46C}"/>
    <cellStyle name="Normal 2 4 2 3 3 2 4 6" xfId="37223" xr:uid="{839F17E3-B395-487E-9239-3526B85FD9D2}"/>
    <cellStyle name="Normal 2 4 2 3 3 2 4 7" xfId="11029" xr:uid="{20705B7D-9E32-4356-8324-87F7110580B6}"/>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2 2 2" xfId="27104" xr:uid="{DCB03DE8-B5C4-4E98-A631-78E5AE5D510F}"/>
    <cellStyle name="Normal 2 4 2 3 3 2 5 2 2 3" xfId="35551" xr:uid="{18AA0C62-7F5A-47CF-99D2-E8DFF95D01F8}"/>
    <cellStyle name="Normal 2 4 2 3 3 2 5 2 2 4" xfId="43998" xr:uid="{E758F654-88A9-4119-A524-53FD43339BCF}"/>
    <cellStyle name="Normal 2 4 2 3 3 2 5 2 2 5" xfId="17804" xr:uid="{600433CD-2A7D-43EA-801D-61C11B8F1F37}"/>
    <cellStyle name="Normal 2 4 2 3 3 2 5 2 3" xfId="22887" xr:uid="{5F5612E8-F85B-4948-A0AB-B04F63F01E32}"/>
    <cellStyle name="Normal 2 4 2 3 3 2 5 2 4" xfId="31334" xr:uid="{8522088F-C2EE-4CF0-8267-37B9F7A398DF}"/>
    <cellStyle name="Normal 2 4 2 3 3 2 5 2 5" xfId="39781" xr:uid="{B3A57CAB-7CDE-4822-8095-821ECB07F9B3}"/>
    <cellStyle name="Normal 2 4 2 3 3 2 5 2 6" xfId="13587" xr:uid="{142BC3EB-F945-45D7-85B5-1DF60B1BD7B3}"/>
    <cellStyle name="Normal 2 4 2 3 3 2 5 3" xfId="6333" xr:uid="{00000000-0005-0000-0000-0000F90E0000}"/>
    <cellStyle name="Normal 2 4 2 3 3 2 5 3 2" xfId="24959" xr:uid="{91C9ED18-A194-4532-B1A0-5A5D343618DC}"/>
    <cellStyle name="Normal 2 4 2 3 3 2 5 3 3" xfId="33406" xr:uid="{DD3E81FB-D954-49DD-9E36-CBB058B90979}"/>
    <cellStyle name="Normal 2 4 2 3 3 2 5 3 4" xfId="41853" xr:uid="{B11A5EEB-F346-4AB9-A2D5-87C720DD7AA0}"/>
    <cellStyle name="Normal 2 4 2 3 3 2 5 3 5" xfId="15659" xr:uid="{7E946878-7ED5-44D4-80ED-946404863BC1}"/>
    <cellStyle name="Normal 2 4 2 3 3 2 5 4" xfId="20742" xr:uid="{E658112B-F448-484B-921A-4C40569B0C99}"/>
    <cellStyle name="Normal 2 4 2 3 3 2 5 5" xfId="29189" xr:uid="{02DF9F4E-DF37-4609-937A-050135EFD91A}"/>
    <cellStyle name="Normal 2 4 2 3 3 2 5 6" xfId="37636" xr:uid="{141A18AD-9184-4EC5-9A50-D5FAF4055DFF}"/>
    <cellStyle name="Normal 2 4 2 3 3 2 5 7" xfId="11442" xr:uid="{206215A6-830F-4E3C-B80E-D9CEACFA9D69}"/>
    <cellStyle name="Normal 2 4 2 3 3 2 6" xfId="2463" xr:uid="{00000000-0005-0000-0000-0000FA0E0000}"/>
    <cellStyle name="Normal 2 4 2 3 3 2 6 2" xfId="6746" xr:uid="{00000000-0005-0000-0000-0000FB0E0000}"/>
    <cellStyle name="Normal 2 4 2 3 3 2 6 2 2" xfId="25372" xr:uid="{EF8BB7B7-F4AC-4967-9375-6F6D4FEC2C29}"/>
    <cellStyle name="Normal 2 4 2 3 3 2 6 2 3" xfId="33819" xr:uid="{836A12F8-9623-4FAB-A572-5020773A8650}"/>
    <cellStyle name="Normal 2 4 2 3 3 2 6 2 4" xfId="42266" xr:uid="{CF03CD7F-5B10-4444-85F4-FEF05AABB5A3}"/>
    <cellStyle name="Normal 2 4 2 3 3 2 6 2 5" xfId="16072" xr:uid="{3895B4A4-771C-4138-BC6C-62F077BDB1EB}"/>
    <cellStyle name="Normal 2 4 2 3 3 2 6 3" xfId="21155" xr:uid="{45FAF700-9825-4B2B-A336-AC3196FF1407}"/>
    <cellStyle name="Normal 2 4 2 3 3 2 6 4" xfId="29602" xr:uid="{23CAC6C1-05C2-40E5-90E8-F7064FAC438D}"/>
    <cellStyle name="Normal 2 4 2 3 3 2 6 5" xfId="38049" xr:uid="{5F78BB85-5376-431A-8556-C10B5E5FD441}"/>
    <cellStyle name="Normal 2 4 2 3 3 2 6 6" xfId="11855" xr:uid="{C02DBDC3-A119-4750-93B7-766A8A05851A}"/>
    <cellStyle name="Normal 2 4 2 3 3 2 7" xfId="4680" xr:uid="{00000000-0005-0000-0000-0000FC0E0000}"/>
    <cellStyle name="Normal 2 4 2 3 3 2 7 2" xfId="23306" xr:uid="{90619D59-4929-4BCA-ADFC-77D0F8DE9646}"/>
    <cellStyle name="Normal 2 4 2 3 3 2 7 3" xfId="31753" xr:uid="{AA8F0954-1D9D-4B65-91FF-41138F9A352C}"/>
    <cellStyle name="Normal 2 4 2 3 3 2 7 4" xfId="40200" xr:uid="{9FD8FB17-413B-4939-BA39-2F2405B5A36B}"/>
    <cellStyle name="Normal 2 4 2 3 3 2 7 5" xfId="14006" xr:uid="{3AD6E85B-FF23-4F82-914C-FDE0AF250E5A}"/>
    <cellStyle name="Normal 2 4 2 3 3 2 8" xfId="9098" xr:uid="{15335B31-FFDD-479D-88EC-FAB83DC4E6EC}"/>
    <cellStyle name="Normal 2 4 2 3 3 2 8 2" xfId="18422" xr:uid="{6AFFE157-0744-4D21-949F-2E55DD7999E5}"/>
    <cellStyle name="Normal 2 4 2 3 3 2 9" xfId="19089" xr:uid="{C6AB3AC4-6A49-489D-B1BD-1A184209F42E}"/>
    <cellStyle name="Normal 2 4 2 3 3 3" xfId="777" xr:uid="{00000000-0005-0000-0000-0000FD0E0000}"/>
    <cellStyle name="Normal 2 4 2 3 3 3 2" xfId="3016" xr:uid="{00000000-0005-0000-0000-0000FE0E0000}"/>
    <cellStyle name="Normal 2 4 2 3 3 3 2 2" xfId="7238" xr:uid="{00000000-0005-0000-0000-0000FF0E0000}"/>
    <cellStyle name="Normal 2 4 2 3 3 3 2 2 2" xfId="25864" xr:uid="{5C2EA6FE-A8DE-4643-A9F6-81752B683542}"/>
    <cellStyle name="Normal 2 4 2 3 3 3 2 2 3" xfId="34311" xr:uid="{017F47F7-894E-4801-9AE0-7C57997F62F3}"/>
    <cellStyle name="Normal 2 4 2 3 3 3 2 2 4" xfId="42758" xr:uid="{BE4BD619-9A9B-42C8-B9ED-AD5D4636BB05}"/>
    <cellStyle name="Normal 2 4 2 3 3 3 2 2 5" xfId="16564" xr:uid="{4DBBC462-C0F0-4091-96F8-CAD1AE408795}"/>
    <cellStyle name="Normal 2 4 2 3 3 3 2 3" xfId="21647" xr:uid="{C858BFD1-CADA-4219-8E97-4CE06F769517}"/>
    <cellStyle name="Normal 2 4 2 3 3 3 2 4" xfId="30094" xr:uid="{A7B4DA77-FF13-4390-9301-9023F152D249}"/>
    <cellStyle name="Normal 2 4 2 3 3 3 2 5" xfId="38541" xr:uid="{58C59DB4-D508-4644-8F37-15C20EE8B271}"/>
    <cellStyle name="Normal 2 4 2 3 3 3 2 6" xfId="12347" xr:uid="{5756BE7C-08C3-4980-AE26-AE308E0D4984}"/>
    <cellStyle name="Normal 2 4 2 3 3 3 3" xfId="5093" xr:uid="{00000000-0005-0000-0000-0000000F0000}"/>
    <cellStyle name="Normal 2 4 2 3 3 3 3 2" xfId="23719" xr:uid="{251AF663-2B26-4949-98A4-F9D9046EC3BA}"/>
    <cellStyle name="Normal 2 4 2 3 3 3 3 3" xfId="32166" xr:uid="{8AD72300-8DF9-43F1-9808-F93A68606098}"/>
    <cellStyle name="Normal 2 4 2 3 3 3 3 4" xfId="40613" xr:uid="{F8D5E0B1-2BFA-420F-BAE9-7576CBE9D391}"/>
    <cellStyle name="Normal 2 4 2 3 3 3 3 5" xfId="14419" xr:uid="{F264A997-1ECD-46A9-B8DC-2D1CE989EEFD}"/>
    <cellStyle name="Normal 2 4 2 3 3 3 4" xfId="9316" xr:uid="{C8C83D09-5A3A-4C90-8A04-9D7CD8C85B11}"/>
    <cellStyle name="Normal 2 4 2 3 3 3 4 2" xfId="18632" xr:uid="{00320DCA-B25D-44DA-9629-59B5A34D9E1A}"/>
    <cellStyle name="Normal 2 4 2 3 3 3 5" xfId="19502" xr:uid="{A27F9103-ECF6-4BED-AD9C-B801C747BFB2}"/>
    <cellStyle name="Normal 2 4 2 3 3 3 6" xfId="27949" xr:uid="{1896FF57-3423-4E26-BAEE-1FF3EBEF5BB3}"/>
    <cellStyle name="Normal 2 4 2 3 3 3 7" xfId="36396" xr:uid="{A80F8EF8-7871-4D9B-96A0-D7ED440DC4D0}"/>
    <cellStyle name="Normal 2 4 2 3 3 3 8" xfId="10202" xr:uid="{D10913CA-62AD-47A0-A3D2-F0E2B0C51985}"/>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2 2 2" xfId="26277" xr:uid="{4FADF9C4-9FEB-4C20-B577-48CEB20EB4B3}"/>
    <cellStyle name="Normal 2 4 2 3 3 4 2 2 3" xfId="34724" xr:uid="{E62DE14D-48B8-4502-A355-057692B89B2D}"/>
    <cellStyle name="Normal 2 4 2 3 3 4 2 2 4" xfId="43171" xr:uid="{80318FB9-2601-4D37-9948-C0AEA9153389}"/>
    <cellStyle name="Normal 2 4 2 3 3 4 2 2 5" xfId="16977" xr:uid="{6171346E-831C-4849-A6A6-E68F552DE03B}"/>
    <cellStyle name="Normal 2 4 2 3 3 4 2 3" xfId="22060" xr:uid="{E9359FC4-ED42-4787-86FB-694CDEFDC8AD}"/>
    <cellStyle name="Normal 2 4 2 3 3 4 2 4" xfId="30507" xr:uid="{18D96470-739C-4E2B-AED8-6A7C477EE6B2}"/>
    <cellStyle name="Normal 2 4 2 3 3 4 2 5" xfId="38954" xr:uid="{339BBC74-BF58-4CD3-9F8C-471CD6B52177}"/>
    <cellStyle name="Normal 2 4 2 3 3 4 2 6" xfId="12760" xr:uid="{3C546371-E32C-4B99-9CE4-C0C0FA1F3E40}"/>
    <cellStyle name="Normal 2 4 2 3 3 4 3" xfId="5506" xr:uid="{00000000-0005-0000-0000-0000040F0000}"/>
    <cellStyle name="Normal 2 4 2 3 3 4 3 2" xfId="24132" xr:uid="{A8F9C9AE-7926-400A-88B9-AA94FA1EC7F2}"/>
    <cellStyle name="Normal 2 4 2 3 3 4 3 3" xfId="32579" xr:uid="{957CC05D-7B7B-4C6C-90E1-BA55436BAE51}"/>
    <cellStyle name="Normal 2 4 2 3 3 4 3 4" xfId="41026" xr:uid="{C0BE119C-04E4-490C-9B52-16FE348F7B33}"/>
    <cellStyle name="Normal 2 4 2 3 3 4 3 5" xfId="14832" xr:uid="{8CCBB77B-305F-41C4-A2CF-D53629C19433}"/>
    <cellStyle name="Normal 2 4 2 3 3 4 4" xfId="19915" xr:uid="{9826A8CB-C999-4D84-80B6-F58F1C959947}"/>
    <cellStyle name="Normal 2 4 2 3 3 4 5" xfId="28362" xr:uid="{51062F04-8D0C-4F6D-A917-6027E6B7BDE3}"/>
    <cellStyle name="Normal 2 4 2 3 3 4 6" xfId="36809" xr:uid="{C4BD165D-37AE-4CDF-B1F9-79FB25CF3080}"/>
    <cellStyle name="Normal 2 4 2 3 3 4 7" xfId="10615" xr:uid="{BE209C62-6898-4B17-B229-049E6E1FE606}"/>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2 2 2" xfId="26690" xr:uid="{7A37E32E-C596-45C8-A072-D7BED7123C5A}"/>
    <cellStyle name="Normal 2 4 2 3 3 5 2 2 3" xfId="35137" xr:uid="{22CEF35C-FD60-49CA-9E66-3FFC06D2A7BB}"/>
    <cellStyle name="Normal 2 4 2 3 3 5 2 2 4" xfId="43584" xr:uid="{C8F8F7DE-7D9B-4514-B4B8-0447627F90A8}"/>
    <cellStyle name="Normal 2 4 2 3 3 5 2 2 5" xfId="17390" xr:uid="{6FA5A3FD-4FA9-4D4D-81D4-FBF460F72BE9}"/>
    <cellStyle name="Normal 2 4 2 3 3 5 2 3" xfId="22473" xr:uid="{9E90F522-708D-4EE9-8DD2-2D94BEA7D985}"/>
    <cellStyle name="Normal 2 4 2 3 3 5 2 4" xfId="30920" xr:uid="{782CC0F9-63DC-4224-A62E-25E26F95917B}"/>
    <cellStyle name="Normal 2 4 2 3 3 5 2 5" xfId="39367" xr:uid="{F384C548-A72B-4239-863F-549E79ABB219}"/>
    <cellStyle name="Normal 2 4 2 3 3 5 2 6" xfId="13173" xr:uid="{BC7C06E3-6F07-4890-9196-6934ECE539A3}"/>
    <cellStyle name="Normal 2 4 2 3 3 5 3" xfId="5919" xr:uid="{00000000-0005-0000-0000-0000080F0000}"/>
    <cellStyle name="Normal 2 4 2 3 3 5 3 2" xfId="24545" xr:uid="{F0A601A6-6DC7-4554-8D6E-F89FE169D360}"/>
    <cellStyle name="Normal 2 4 2 3 3 5 3 3" xfId="32992" xr:uid="{1163B55D-8382-4150-AEB9-5A6FCD6C96F9}"/>
    <cellStyle name="Normal 2 4 2 3 3 5 3 4" xfId="41439" xr:uid="{9EA9D93C-1F73-449A-9A9B-AF7B5A7AAD2D}"/>
    <cellStyle name="Normal 2 4 2 3 3 5 3 5" xfId="15245" xr:uid="{A9AD1742-727E-4603-9E53-297A7325D8FB}"/>
    <cellStyle name="Normal 2 4 2 3 3 5 4" xfId="20328" xr:uid="{CC3C92BA-97CD-4151-AEC1-9E806743C91C}"/>
    <cellStyle name="Normal 2 4 2 3 3 5 5" xfId="28775" xr:uid="{43F89545-ECBF-404E-B980-C2D9D7D4E25E}"/>
    <cellStyle name="Normal 2 4 2 3 3 5 6" xfId="37222" xr:uid="{848F52CB-3B33-4A5F-AA98-3DEA5EAF8A4B}"/>
    <cellStyle name="Normal 2 4 2 3 3 5 7" xfId="11028" xr:uid="{845EC9DE-0B2F-478A-8F36-728D309C788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2 2 2" xfId="27103" xr:uid="{5BE8AE5F-B1D5-4AA0-AFFB-332C7AA8425B}"/>
    <cellStyle name="Normal 2 4 2 3 3 6 2 2 3" xfId="35550" xr:uid="{B64114D2-DB1D-4056-8282-0DECADFDD807}"/>
    <cellStyle name="Normal 2 4 2 3 3 6 2 2 4" xfId="43997" xr:uid="{F3C3093A-9E8F-4049-A6EF-44325D379752}"/>
    <cellStyle name="Normal 2 4 2 3 3 6 2 2 5" xfId="17803" xr:uid="{B9D2DBD0-0DE6-4CDD-AFD7-B3141D5075D1}"/>
    <cellStyle name="Normal 2 4 2 3 3 6 2 3" xfId="22886" xr:uid="{2AF13E21-91DC-41A2-89BB-D622A7366180}"/>
    <cellStyle name="Normal 2 4 2 3 3 6 2 4" xfId="31333" xr:uid="{FC10CCD4-2058-42FC-8099-996A128914FE}"/>
    <cellStyle name="Normal 2 4 2 3 3 6 2 5" xfId="39780" xr:uid="{4F0260DB-BB8D-4A10-849C-225CDEF34185}"/>
    <cellStyle name="Normal 2 4 2 3 3 6 2 6" xfId="13586" xr:uid="{A6C5FECA-03D9-492D-BC6D-B681C2AA337B}"/>
    <cellStyle name="Normal 2 4 2 3 3 6 3" xfId="6332" xr:uid="{00000000-0005-0000-0000-00000C0F0000}"/>
    <cellStyle name="Normal 2 4 2 3 3 6 3 2" xfId="24958" xr:uid="{466CBE67-ECA3-47F2-AF33-84038F685A4E}"/>
    <cellStyle name="Normal 2 4 2 3 3 6 3 3" xfId="33405" xr:uid="{271C7F2B-3690-4D57-BB93-D3A03F7FD1DB}"/>
    <cellStyle name="Normal 2 4 2 3 3 6 3 4" xfId="41852" xr:uid="{CF08B3F7-D0EE-4D8C-9BD2-C19FC6632AF7}"/>
    <cellStyle name="Normal 2 4 2 3 3 6 3 5" xfId="15658" xr:uid="{A05D4E2B-C12C-42DE-857A-5C917C5DAD12}"/>
    <cellStyle name="Normal 2 4 2 3 3 6 4" xfId="20741" xr:uid="{BF84A72B-E371-4A2B-93BD-4C01F8FF7842}"/>
    <cellStyle name="Normal 2 4 2 3 3 6 5" xfId="29188" xr:uid="{35B0B184-9BEF-4F89-A096-C3629974C46F}"/>
    <cellStyle name="Normal 2 4 2 3 3 6 6" xfId="37635" xr:uid="{EF0234D3-2862-48B3-8FAB-F2A6E4C18CC6}"/>
    <cellStyle name="Normal 2 4 2 3 3 6 7" xfId="11441" xr:uid="{2C69BEF7-33CE-49D7-9D8C-CC261F6121E7}"/>
    <cellStyle name="Normal 2 4 2 3 3 7" xfId="2462" xr:uid="{00000000-0005-0000-0000-00000D0F0000}"/>
    <cellStyle name="Normal 2 4 2 3 3 7 2" xfId="6745" xr:uid="{00000000-0005-0000-0000-00000E0F0000}"/>
    <cellStyle name="Normal 2 4 2 3 3 7 2 2" xfId="25371" xr:uid="{51D5FD82-C96C-46CC-BC93-E1BCF73661B1}"/>
    <cellStyle name="Normal 2 4 2 3 3 7 2 3" xfId="33818" xr:uid="{909453B0-0F07-4B5E-B83F-457C34B72A10}"/>
    <cellStyle name="Normal 2 4 2 3 3 7 2 4" xfId="42265" xr:uid="{0128181C-0AC5-4A73-90B3-EA0EBD058CFC}"/>
    <cellStyle name="Normal 2 4 2 3 3 7 2 5" xfId="16071" xr:uid="{272C8ECC-40E8-4282-871D-E7950FEAA333}"/>
    <cellStyle name="Normal 2 4 2 3 3 7 3" xfId="21154" xr:uid="{B6B2EBF3-A1EF-47D4-88D3-AAD0A9D2FEC3}"/>
    <cellStyle name="Normal 2 4 2 3 3 7 4" xfId="29601" xr:uid="{BA7F303C-E4E6-457B-A127-7082A9BCF99B}"/>
    <cellStyle name="Normal 2 4 2 3 3 7 5" xfId="38048" xr:uid="{A4C386FD-94B3-4B03-BE86-E570C0E3A1A0}"/>
    <cellStyle name="Normal 2 4 2 3 3 7 6" xfId="11854" xr:uid="{4B6B35B0-685D-4B64-BE33-25B86C7A5F9E}"/>
    <cellStyle name="Normal 2 4 2 3 3 8" xfId="4679" xr:uid="{00000000-0005-0000-0000-00000F0F0000}"/>
    <cellStyle name="Normal 2 4 2 3 3 8 2" xfId="23305" xr:uid="{B92F7805-5023-4048-BA8E-DC1192CD4C6E}"/>
    <cellStyle name="Normal 2 4 2 3 3 8 3" xfId="31752" xr:uid="{3128CE84-5C9A-4791-83EF-78D4558B6ABC}"/>
    <cellStyle name="Normal 2 4 2 3 3 8 4" xfId="40199" xr:uid="{301E74C5-82D8-437D-9A20-AE3AAE9E4CE2}"/>
    <cellStyle name="Normal 2 4 2 3 3 8 5" xfId="14005" xr:uid="{6924A518-9AB6-4C02-A4D8-F6BEED90852A}"/>
    <cellStyle name="Normal 2 4 2 3 3 9" xfId="8891" xr:uid="{D2DF60A1-A34B-4A3F-B29E-E581EFBA8360}"/>
    <cellStyle name="Normal 2 4 2 3 3 9 2" xfId="18215" xr:uid="{72E3BBB9-C219-4907-9E7D-20F1A713973D}"/>
    <cellStyle name="Normal 2 4 2 3 4" xfId="288" xr:uid="{00000000-0005-0000-0000-0000100F0000}"/>
    <cellStyle name="Normal 2 4 2 3 4 10" xfId="27537" xr:uid="{4EFDFE3E-35F0-4F7F-91CF-52FE1D1D426F}"/>
    <cellStyle name="Normal 2 4 2 3 4 11" xfId="35984" xr:uid="{52EC6A44-24C3-4420-AE54-6CB553AE1E2A}"/>
    <cellStyle name="Normal 2 4 2 3 4 12" xfId="9790" xr:uid="{22815699-ADE7-4AA8-BD54-C492101700FA}"/>
    <cellStyle name="Normal 2 4 2 3 4 2" xfId="779" xr:uid="{00000000-0005-0000-0000-0000110F0000}"/>
    <cellStyle name="Normal 2 4 2 3 4 2 2" xfId="3018" xr:uid="{00000000-0005-0000-0000-0000120F0000}"/>
    <cellStyle name="Normal 2 4 2 3 4 2 2 2" xfId="7240" xr:uid="{00000000-0005-0000-0000-0000130F0000}"/>
    <cellStyle name="Normal 2 4 2 3 4 2 2 2 2" xfId="25866" xr:uid="{5101246A-B2AF-4DB9-A853-24B18539E40A}"/>
    <cellStyle name="Normal 2 4 2 3 4 2 2 2 3" xfId="34313" xr:uid="{8BCCA300-76D8-4B8D-92B5-DDFC9F4110C5}"/>
    <cellStyle name="Normal 2 4 2 3 4 2 2 2 4" xfId="42760" xr:uid="{83EEFC56-FDDF-493D-AD7C-C94F1144929E}"/>
    <cellStyle name="Normal 2 4 2 3 4 2 2 2 5" xfId="16566" xr:uid="{952B5C9E-1274-4EAB-B3C9-ACD1B09A1467}"/>
    <cellStyle name="Normal 2 4 2 3 4 2 2 3" xfId="21649" xr:uid="{A343F628-C929-4E78-B560-B5C064E2C3FD}"/>
    <cellStyle name="Normal 2 4 2 3 4 2 2 4" xfId="30096" xr:uid="{3A136FE9-EE5A-4139-82D8-8178E5FE486B}"/>
    <cellStyle name="Normal 2 4 2 3 4 2 2 5" xfId="38543" xr:uid="{83EF6386-CAE2-4E93-B20E-8263D85EBEDA}"/>
    <cellStyle name="Normal 2 4 2 3 4 2 2 6" xfId="12349" xr:uid="{E2138F12-FE50-4D1F-B411-3A6694BFE831}"/>
    <cellStyle name="Normal 2 4 2 3 4 2 3" xfId="5095" xr:uid="{00000000-0005-0000-0000-0000140F0000}"/>
    <cellStyle name="Normal 2 4 2 3 4 2 3 2" xfId="23721" xr:uid="{E75FD76A-E459-459C-A009-A69B27E5F60F}"/>
    <cellStyle name="Normal 2 4 2 3 4 2 3 3" xfId="32168" xr:uid="{0D4FA739-A200-4270-A270-0AF578C747DE}"/>
    <cellStyle name="Normal 2 4 2 3 4 2 3 4" xfId="40615" xr:uid="{1BEF2F65-8F60-4166-9104-3AC3F8066429}"/>
    <cellStyle name="Normal 2 4 2 3 4 2 3 5" xfId="14421" xr:uid="{7713001F-A2C9-40C3-8542-F9B1B2C2623D}"/>
    <cellStyle name="Normal 2 4 2 3 4 2 4" xfId="9420" xr:uid="{49E252B3-99BC-416A-A0CB-FE2641ECFDE3}"/>
    <cellStyle name="Normal 2 4 2 3 4 2 4 2" xfId="18736" xr:uid="{36F8AD47-6993-4397-A281-0020B7A634D4}"/>
    <cellStyle name="Normal 2 4 2 3 4 2 5" xfId="19504" xr:uid="{4DEF4ABE-6A0F-456C-AD52-B745DC17DBFA}"/>
    <cellStyle name="Normal 2 4 2 3 4 2 6" xfId="27951" xr:uid="{98408700-5E7C-4EDD-AD8E-F336AF3E4787}"/>
    <cellStyle name="Normal 2 4 2 3 4 2 7" xfId="36398" xr:uid="{0E9D9ACF-66A1-470A-882E-0395B1A2400A}"/>
    <cellStyle name="Normal 2 4 2 3 4 2 8" xfId="10204" xr:uid="{250CA073-B397-4B71-84ED-89D5A47E1C24}"/>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2 2 2" xfId="26279" xr:uid="{37B3F3EF-6A84-429D-813B-EC3E67CD9E37}"/>
    <cellStyle name="Normal 2 4 2 3 4 3 2 2 3" xfId="34726" xr:uid="{28B6BD4F-B57B-49DD-A1E2-86AD1DA35269}"/>
    <cellStyle name="Normal 2 4 2 3 4 3 2 2 4" xfId="43173" xr:uid="{97A1F9E0-DB32-4F06-8154-544D770E2D21}"/>
    <cellStyle name="Normal 2 4 2 3 4 3 2 2 5" xfId="16979" xr:uid="{004E9BA0-4D84-46A6-B722-0ED891F36435}"/>
    <cellStyle name="Normal 2 4 2 3 4 3 2 3" xfId="22062" xr:uid="{F6080B53-6B18-41F2-BC22-8A1EF4E2706F}"/>
    <cellStyle name="Normal 2 4 2 3 4 3 2 4" xfId="30509" xr:uid="{192F8381-24D0-44EB-94A2-2AA748DCE8C9}"/>
    <cellStyle name="Normal 2 4 2 3 4 3 2 5" xfId="38956" xr:uid="{F8176D6F-CFF2-4A65-B636-4595C65A5809}"/>
    <cellStyle name="Normal 2 4 2 3 4 3 2 6" xfId="12762" xr:uid="{2A0D5818-FB49-4C84-80EA-0D192AF70632}"/>
    <cellStyle name="Normal 2 4 2 3 4 3 3" xfId="5508" xr:uid="{00000000-0005-0000-0000-0000180F0000}"/>
    <cellStyle name="Normal 2 4 2 3 4 3 3 2" xfId="24134" xr:uid="{2FED7507-B6AE-47F0-8DBE-8ED78D7E1B15}"/>
    <cellStyle name="Normal 2 4 2 3 4 3 3 3" xfId="32581" xr:uid="{C90E3020-EA49-49B8-93FE-576E04801965}"/>
    <cellStyle name="Normal 2 4 2 3 4 3 3 4" xfId="41028" xr:uid="{21E49CD1-ABF9-4F77-BAF4-C14AD2A1447A}"/>
    <cellStyle name="Normal 2 4 2 3 4 3 3 5" xfId="14834" xr:uid="{0587F734-E187-42D6-858E-FE79F321F5A8}"/>
    <cellStyle name="Normal 2 4 2 3 4 3 4" xfId="19917" xr:uid="{2F26DF6A-B6DF-4BCA-B223-B1781F08BE73}"/>
    <cellStyle name="Normal 2 4 2 3 4 3 5" xfId="28364" xr:uid="{B7AB705C-AE91-4614-80AD-DFCE9F97145C}"/>
    <cellStyle name="Normal 2 4 2 3 4 3 6" xfId="36811" xr:uid="{349CD07A-DA0D-46FB-8753-868A5AD8DE51}"/>
    <cellStyle name="Normal 2 4 2 3 4 3 7" xfId="10617" xr:uid="{A2007DDB-AE39-4191-8CD8-09DB3A861C94}"/>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2 2 2" xfId="26692" xr:uid="{989F0556-5948-4DD6-8AD2-43AB06501F1A}"/>
    <cellStyle name="Normal 2 4 2 3 4 4 2 2 3" xfId="35139" xr:uid="{5E075750-4821-4B1C-AC01-0A42DC6F1BB9}"/>
    <cellStyle name="Normal 2 4 2 3 4 4 2 2 4" xfId="43586" xr:uid="{59CBEEB6-EB5A-401F-A388-9682F74AE8AB}"/>
    <cellStyle name="Normal 2 4 2 3 4 4 2 2 5" xfId="17392" xr:uid="{434F8C51-3DE0-4F3B-9AE4-EA34031B2A3A}"/>
    <cellStyle name="Normal 2 4 2 3 4 4 2 3" xfId="22475" xr:uid="{32593796-A245-47F5-8E58-0C83BBD302D1}"/>
    <cellStyle name="Normal 2 4 2 3 4 4 2 4" xfId="30922" xr:uid="{DB52AF6E-D4DA-4CE5-BBCB-F908656D8BE1}"/>
    <cellStyle name="Normal 2 4 2 3 4 4 2 5" xfId="39369" xr:uid="{C2078ECD-7860-4BBF-BDBB-202B7A918849}"/>
    <cellStyle name="Normal 2 4 2 3 4 4 2 6" xfId="13175" xr:uid="{D992D97F-E58E-404B-A810-470E5EDDB406}"/>
    <cellStyle name="Normal 2 4 2 3 4 4 3" xfId="5921" xr:uid="{00000000-0005-0000-0000-00001C0F0000}"/>
    <cellStyle name="Normal 2 4 2 3 4 4 3 2" xfId="24547" xr:uid="{DCC2274F-C063-4351-B166-E57E7B7B4665}"/>
    <cellStyle name="Normal 2 4 2 3 4 4 3 3" xfId="32994" xr:uid="{78B85784-A9E6-40B6-87F1-309D004ECE1E}"/>
    <cellStyle name="Normal 2 4 2 3 4 4 3 4" xfId="41441" xr:uid="{AE59E8B8-8EA1-4324-92E4-ED7BACE85E49}"/>
    <cellStyle name="Normal 2 4 2 3 4 4 3 5" xfId="15247" xr:uid="{CA00DE8B-A786-45AD-91EA-DCD8604AE450}"/>
    <cellStyle name="Normal 2 4 2 3 4 4 4" xfId="20330" xr:uid="{945384F8-DE90-46BC-BC28-D7D16B230678}"/>
    <cellStyle name="Normal 2 4 2 3 4 4 5" xfId="28777" xr:uid="{37F55B02-3426-46D9-A2FD-9C4A1A5BE8AC}"/>
    <cellStyle name="Normal 2 4 2 3 4 4 6" xfId="37224" xr:uid="{C54737DD-4B2E-4D78-B6B0-18EB20F05E03}"/>
    <cellStyle name="Normal 2 4 2 3 4 4 7" xfId="11030" xr:uid="{1CB9E966-EAEE-4A92-8C05-FDF0E5467A29}"/>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2 2 2" xfId="27105" xr:uid="{4C83E19D-91D1-4DA8-96E5-2AC8F8ACB9B1}"/>
    <cellStyle name="Normal 2 4 2 3 4 5 2 2 3" xfId="35552" xr:uid="{746EAFED-F9E1-413A-9552-D8F8ACDF09E1}"/>
    <cellStyle name="Normal 2 4 2 3 4 5 2 2 4" xfId="43999" xr:uid="{A899C300-ECA4-4935-B69E-99F81933C4C8}"/>
    <cellStyle name="Normal 2 4 2 3 4 5 2 2 5" xfId="17805" xr:uid="{EF68A5D3-4ADE-4E96-9B3F-774419A3A9D4}"/>
    <cellStyle name="Normal 2 4 2 3 4 5 2 3" xfId="22888" xr:uid="{26CD04C4-F812-43A5-A66B-51ED77F93F06}"/>
    <cellStyle name="Normal 2 4 2 3 4 5 2 4" xfId="31335" xr:uid="{CFC62F6D-A593-439C-82F6-882CF9A5352F}"/>
    <cellStyle name="Normal 2 4 2 3 4 5 2 5" xfId="39782" xr:uid="{6F325198-DE81-4955-B862-DFBC5D83D366}"/>
    <cellStyle name="Normal 2 4 2 3 4 5 2 6" xfId="13588" xr:uid="{F48E4A14-74BA-4E8C-A67A-68F7B7085D79}"/>
    <cellStyle name="Normal 2 4 2 3 4 5 3" xfId="6334" xr:uid="{00000000-0005-0000-0000-0000200F0000}"/>
    <cellStyle name="Normal 2 4 2 3 4 5 3 2" xfId="24960" xr:uid="{9C7A75D3-C08B-4FFD-88A0-FA9314C3F3A2}"/>
    <cellStyle name="Normal 2 4 2 3 4 5 3 3" xfId="33407" xr:uid="{2E998D1A-5C0B-4093-A4AB-7DB518A2B097}"/>
    <cellStyle name="Normal 2 4 2 3 4 5 3 4" xfId="41854" xr:uid="{9C59E4DA-DACB-4D60-8308-D14CB524FBF1}"/>
    <cellStyle name="Normal 2 4 2 3 4 5 3 5" xfId="15660" xr:uid="{486D0277-D32F-4924-AE89-54755249E49B}"/>
    <cellStyle name="Normal 2 4 2 3 4 5 4" xfId="20743" xr:uid="{8D614ACD-0E79-4D44-A1AC-FEE1E5BC88CB}"/>
    <cellStyle name="Normal 2 4 2 3 4 5 5" xfId="29190" xr:uid="{A2A300D1-B690-4E88-92BE-15733B01A5DA}"/>
    <cellStyle name="Normal 2 4 2 3 4 5 6" xfId="37637" xr:uid="{4681285F-BB81-44A5-A9EF-DAF9B22BE113}"/>
    <cellStyle name="Normal 2 4 2 3 4 5 7" xfId="11443" xr:uid="{A3D9EEEF-C4F8-4261-A6F9-62C44F072C2E}"/>
    <cellStyle name="Normal 2 4 2 3 4 6" xfId="2464" xr:uid="{00000000-0005-0000-0000-0000210F0000}"/>
    <cellStyle name="Normal 2 4 2 3 4 6 2" xfId="6747" xr:uid="{00000000-0005-0000-0000-0000220F0000}"/>
    <cellStyle name="Normal 2 4 2 3 4 6 2 2" xfId="25373" xr:uid="{BAD1620A-4DB9-459D-A271-FCFFE31686E2}"/>
    <cellStyle name="Normal 2 4 2 3 4 6 2 3" xfId="33820" xr:uid="{764614EE-2BAE-43C8-A5BD-AD09A5871EE8}"/>
    <cellStyle name="Normal 2 4 2 3 4 6 2 4" xfId="42267" xr:uid="{F6A3EA89-E5BD-48D4-8175-CB05A32D0B2C}"/>
    <cellStyle name="Normal 2 4 2 3 4 6 2 5" xfId="16073" xr:uid="{E84CEEE1-889D-47A1-8A51-3BF7928B580B}"/>
    <cellStyle name="Normal 2 4 2 3 4 6 3" xfId="21156" xr:uid="{86768043-1C3D-4159-8C2A-A4B38CC7F492}"/>
    <cellStyle name="Normal 2 4 2 3 4 6 4" xfId="29603" xr:uid="{3915816F-773F-4411-9BE6-7F0C75E84CA4}"/>
    <cellStyle name="Normal 2 4 2 3 4 6 5" xfId="38050" xr:uid="{17522849-B300-4D5B-9FAD-ECC30266F952}"/>
    <cellStyle name="Normal 2 4 2 3 4 6 6" xfId="11856" xr:uid="{347EC5A5-D6E8-4B79-AE33-0902EA812CAE}"/>
    <cellStyle name="Normal 2 4 2 3 4 7" xfId="4681" xr:uid="{00000000-0005-0000-0000-0000230F0000}"/>
    <cellStyle name="Normal 2 4 2 3 4 7 2" xfId="23307" xr:uid="{CD4A9FBD-1734-49D6-8C99-08946D0AEBE2}"/>
    <cellStyle name="Normal 2 4 2 3 4 7 3" xfId="31754" xr:uid="{F8EBECCB-AEB2-4F01-B4E3-2E11B7D94996}"/>
    <cellStyle name="Normal 2 4 2 3 4 7 4" xfId="40201" xr:uid="{9354004B-685B-46BD-AE8A-8B98D64CE28B}"/>
    <cellStyle name="Normal 2 4 2 3 4 7 5" xfId="14007" xr:uid="{FC3A07ED-E760-4BF5-B1D6-C6A364695DF8}"/>
    <cellStyle name="Normal 2 4 2 3 4 8" xfId="8995" xr:uid="{EEE25A27-4C18-4948-8341-FF27707A7A86}"/>
    <cellStyle name="Normal 2 4 2 3 4 8 2" xfId="18319" xr:uid="{2FECC8F0-54D6-4FBB-95FE-628172C8C5CA}"/>
    <cellStyle name="Normal 2 4 2 3 4 9" xfId="19090" xr:uid="{64B2EAB4-4F69-4240-A00E-7D8382CA51C1}"/>
    <cellStyle name="Normal 2 4 2 3 5" xfId="772" xr:uid="{00000000-0005-0000-0000-0000240F0000}"/>
    <cellStyle name="Normal 2 4 2 3 5 2" xfId="3011" xr:uid="{00000000-0005-0000-0000-0000250F0000}"/>
    <cellStyle name="Normal 2 4 2 3 5 2 2" xfId="7233" xr:uid="{00000000-0005-0000-0000-0000260F0000}"/>
    <cellStyle name="Normal 2 4 2 3 5 2 2 2" xfId="25859" xr:uid="{02568819-92ED-4C6D-B1C0-D60EC2170C0D}"/>
    <cellStyle name="Normal 2 4 2 3 5 2 2 3" xfId="34306" xr:uid="{39704D2A-1014-4395-98EC-2D4F2482060C}"/>
    <cellStyle name="Normal 2 4 2 3 5 2 2 4" xfId="42753" xr:uid="{BA54DC3D-97EB-4085-B289-E178C7230882}"/>
    <cellStyle name="Normal 2 4 2 3 5 2 2 5" xfId="16559" xr:uid="{7E63CCB8-F6B3-4CE7-B9E1-78E48C8294CF}"/>
    <cellStyle name="Normal 2 4 2 3 5 2 3" xfId="21642" xr:uid="{711F2C6D-E061-4E7B-8AD5-04B2EF7EE16B}"/>
    <cellStyle name="Normal 2 4 2 3 5 2 4" xfId="30089" xr:uid="{79C711ED-4F0C-432E-A57B-88A47895F35F}"/>
    <cellStyle name="Normal 2 4 2 3 5 2 5" xfId="38536" xr:uid="{83EFFE88-10BD-43E5-97A4-B7A6931958AC}"/>
    <cellStyle name="Normal 2 4 2 3 5 2 6" xfId="12342" xr:uid="{81BE002A-85A0-4CA0-B897-8B62CDDA3509}"/>
    <cellStyle name="Normal 2 4 2 3 5 3" xfId="5088" xr:uid="{00000000-0005-0000-0000-0000270F0000}"/>
    <cellStyle name="Normal 2 4 2 3 5 3 2" xfId="23714" xr:uid="{B716460F-949D-4E68-8E0E-80BA9226B843}"/>
    <cellStyle name="Normal 2 4 2 3 5 3 3" xfId="32161" xr:uid="{4C2FADF0-99D4-4F34-9945-64CC5B2E9E30}"/>
    <cellStyle name="Normal 2 4 2 3 5 3 4" xfId="40608" xr:uid="{B79F2D3A-65DF-4A3A-AB54-D817802BDFDA}"/>
    <cellStyle name="Normal 2 4 2 3 5 3 5" xfId="14414" xr:uid="{DA2D748F-6282-4913-9601-5E185130C0A8}"/>
    <cellStyle name="Normal 2 4 2 3 5 4" xfId="9212" xr:uid="{39F1BF9F-C79C-4226-B2D8-665EAA6F3686}"/>
    <cellStyle name="Normal 2 4 2 3 5 4 2" xfId="18529" xr:uid="{908C1959-DF40-4035-A6E0-A0B694BA8AE9}"/>
    <cellStyle name="Normal 2 4 2 3 5 5" xfId="19497" xr:uid="{071480F4-BF38-4234-93FF-79DF1C00FBF3}"/>
    <cellStyle name="Normal 2 4 2 3 5 6" xfId="27944" xr:uid="{A84642D9-8351-45D2-9B76-38A2D2DE3FA5}"/>
    <cellStyle name="Normal 2 4 2 3 5 7" xfId="36391" xr:uid="{CD7474BE-498E-481B-9F66-CB361059EA1F}"/>
    <cellStyle name="Normal 2 4 2 3 5 8" xfId="10197" xr:uid="{93F58E4F-548A-46C0-ABD5-77FA48F19B3C}"/>
    <cellStyle name="Normal 2 4 2 3 6" xfId="1194" xr:uid="{00000000-0005-0000-0000-0000280F0000}"/>
    <cellStyle name="Normal 2 4 2 3 6 2" xfId="3424" xr:uid="{00000000-0005-0000-0000-0000290F0000}"/>
    <cellStyle name="Normal 2 4 2 3 6 2 2" xfId="7646" xr:uid="{00000000-0005-0000-0000-00002A0F0000}"/>
    <cellStyle name="Normal 2 4 2 3 6 2 2 2" xfId="26272" xr:uid="{4CA83612-5119-4717-9D94-AABB84595C7C}"/>
    <cellStyle name="Normal 2 4 2 3 6 2 2 3" xfId="34719" xr:uid="{D25DFF45-3BBC-4977-AF61-45A81EC03795}"/>
    <cellStyle name="Normal 2 4 2 3 6 2 2 4" xfId="43166" xr:uid="{9567B4EC-8327-4E34-93D8-18994BD4215E}"/>
    <cellStyle name="Normal 2 4 2 3 6 2 2 5" xfId="16972" xr:uid="{BF8495C6-A977-4BA7-A578-0333CC138140}"/>
    <cellStyle name="Normal 2 4 2 3 6 2 3" xfId="22055" xr:uid="{79B0E57A-A83C-4F4E-98CC-CD6EBD5E6071}"/>
    <cellStyle name="Normal 2 4 2 3 6 2 4" xfId="30502" xr:uid="{A201A308-06E5-4B80-A136-737AF14CC1AB}"/>
    <cellStyle name="Normal 2 4 2 3 6 2 5" xfId="38949" xr:uid="{BA3AC804-BA15-463E-AC53-DD5E61F84D81}"/>
    <cellStyle name="Normal 2 4 2 3 6 2 6" xfId="12755" xr:uid="{47394D8E-874D-4AB1-8385-B328819CC7F4}"/>
    <cellStyle name="Normal 2 4 2 3 6 3" xfId="5501" xr:uid="{00000000-0005-0000-0000-00002B0F0000}"/>
    <cellStyle name="Normal 2 4 2 3 6 3 2" xfId="24127" xr:uid="{9DF926A8-4AFB-4BC4-92ED-B87E2573CBDD}"/>
    <cellStyle name="Normal 2 4 2 3 6 3 3" xfId="32574" xr:uid="{863F34E6-3E01-47F4-9F7B-738C80F5B36D}"/>
    <cellStyle name="Normal 2 4 2 3 6 3 4" xfId="41021" xr:uid="{D935083C-97DC-4065-B274-0A17A10CBEF1}"/>
    <cellStyle name="Normal 2 4 2 3 6 3 5" xfId="14827" xr:uid="{4B2B6BB3-FAD0-4C96-B035-A96E7EEE7927}"/>
    <cellStyle name="Normal 2 4 2 3 6 4" xfId="19910" xr:uid="{A06CAE46-8A25-43C1-8C31-6D11E851501B}"/>
    <cellStyle name="Normal 2 4 2 3 6 5" xfId="28357" xr:uid="{8937FE18-41CB-4D83-B7F0-D9644E6DA2A4}"/>
    <cellStyle name="Normal 2 4 2 3 6 6" xfId="36804" xr:uid="{A5E8666B-765A-4B1A-ACD2-4D9F0688DC8F}"/>
    <cellStyle name="Normal 2 4 2 3 6 7" xfId="10610" xr:uid="{30834901-2738-4680-BBFE-42BA5A779C64}"/>
    <cellStyle name="Normal 2 4 2 3 7" xfId="1607" xr:uid="{00000000-0005-0000-0000-00002C0F0000}"/>
    <cellStyle name="Normal 2 4 2 3 7 2" xfId="3837" xr:uid="{00000000-0005-0000-0000-00002D0F0000}"/>
    <cellStyle name="Normal 2 4 2 3 7 2 2" xfId="8059" xr:uid="{00000000-0005-0000-0000-00002E0F0000}"/>
    <cellStyle name="Normal 2 4 2 3 7 2 2 2" xfId="26685" xr:uid="{E2E153E4-391A-4749-B8EF-8653C3728B81}"/>
    <cellStyle name="Normal 2 4 2 3 7 2 2 3" xfId="35132" xr:uid="{2187D5AD-F5A0-4880-A4CC-2B0DF17088B7}"/>
    <cellStyle name="Normal 2 4 2 3 7 2 2 4" xfId="43579" xr:uid="{2EF80827-F022-471A-BC44-8B9B582DDBBC}"/>
    <cellStyle name="Normal 2 4 2 3 7 2 2 5" xfId="17385" xr:uid="{107DCEE1-D5D4-48BF-BF9A-5C58FD3389DB}"/>
    <cellStyle name="Normal 2 4 2 3 7 2 3" xfId="22468" xr:uid="{323344AB-8348-44DE-9A82-696F880C551D}"/>
    <cellStyle name="Normal 2 4 2 3 7 2 4" xfId="30915" xr:uid="{BFC0131C-8B87-49B9-B087-8909D4258F76}"/>
    <cellStyle name="Normal 2 4 2 3 7 2 5" xfId="39362" xr:uid="{C25B14A4-1BDA-4413-98E3-E2DBAE12B94C}"/>
    <cellStyle name="Normal 2 4 2 3 7 2 6" xfId="13168" xr:uid="{9A52A342-F5A0-4E72-AA3B-17915B0A7CE4}"/>
    <cellStyle name="Normal 2 4 2 3 7 3" xfId="5914" xr:uid="{00000000-0005-0000-0000-00002F0F0000}"/>
    <cellStyle name="Normal 2 4 2 3 7 3 2" xfId="24540" xr:uid="{03C649BC-7502-4C88-8F31-CE2AA05B5C6A}"/>
    <cellStyle name="Normal 2 4 2 3 7 3 3" xfId="32987" xr:uid="{238B8498-1117-4452-B435-FB00B1D0241B}"/>
    <cellStyle name="Normal 2 4 2 3 7 3 4" xfId="41434" xr:uid="{446113C5-BA84-4E39-BA26-95479C686369}"/>
    <cellStyle name="Normal 2 4 2 3 7 3 5" xfId="15240" xr:uid="{A5338218-4F40-4282-BF92-88A0E1DA5F30}"/>
    <cellStyle name="Normal 2 4 2 3 7 4" xfId="20323" xr:uid="{FCE4ECC4-74EC-4E12-8A88-1E3EE846952A}"/>
    <cellStyle name="Normal 2 4 2 3 7 5" xfId="28770" xr:uid="{40ADA2CF-97B0-4FEA-8175-908032E895F5}"/>
    <cellStyle name="Normal 2 4 2 3 7 6" xfId="37217" xr:uid="{7917E07A-CA88-41F6-AFA7-77DC90C5EF1A}"/>
    <cellStyle name="Normal 2 4 2 3 7 7" xfId="11023" xr:uid="{E04C309A-E7E8-4D3F-9F69-9D80273C6F22}"/>
    <cellStyle name="Normal 2 4 2 3 8" xfId="2021" xr:uid="{00000000-0005-0000-0000-0000300F0000}"/>
    <cellStyle name="Normal 2 4 2 3 8 2" xfId="4250" xr:uid="{00000000-0005-0000-0000-0000310F0000}"/>
    <cellStyle name="Normal 2 4 2 3 8 2 2" xfId="8472" xr:uid="{00000000-0005-0000-0000-0000320F0000}"/>
    <cellStyle name="Normal 2 4 2 3 8 2 2 2" xfId="27098" xr:uid="{40457837-AA1B-44ED-A76A-141C0A06375A}"/>
    <cellStyle name="Normal 2 4 2 3 8 2 2 3" xfId="35545" xr:uid="{9155EEB8-DD20-4367-AB0E-3761F36E86F3}"/>
    <cellStyle name="Normal 2 4 2 3 8 2 2 4" xfId="43992" xr:uid="{6A8B6ACA-9614-41C9-96FE-058400D1CF6A}"/>
    <cellStyle name="Normal 2 4 2 3 8 2 2 5" xfId="17798" xr:uid="{D0584DC4-C6C8-48B2-B0DC-A3068DD0D8C1}"/>
    <cellStyle name="Normal 2 4 2 3 8 2 3" xfId="22881" xr:uid="{5DE25694-2B7F-4054-90FF-54B13FBF99F3}"/>
    <cellStyle name="Normal 2 4 2 3 8 2 4" xfId="31328" xr:uid="{3B587131-4C73-49D5-9FC6-5CD2D5BC8DE1}"/>
    <cellStyle name="Normal 2 4 2 3 8 2 5" xfId="39775" xr:uid="{38187ED4-460C-4E7C-9EAE-B002EC513E0B}"/>
    <cellStyle name="Normal 2 4 2 3 8 2 6" xfId="13581" xr:uid="{0F36426E-486C-43FB-80AF-6673F0D3D24F}"/>
    <cellStyle name="Normal 2 4 2 3 8 3" xfId="6327" xr:uid="{00000000-0005-0000-0000-0000330F0000}"/>
    <cellStyle name="Normal 2 4 2 3 8 3 2" xfId="24953" xr:uid="{DCCEC69C-7F22-4E66-9FDF-E39CB9A86F79}"/>
    <cellStyle name="Normal 2 4 2 3 8 3 3" xfId="33400" xr:uid="{F1FA8503-1E18-4CE5-93AB-86445FE27DC9}"/>
    <cellStyle name="Normal 2 4 2 3 8 3 4" xfId="41847" xr:uid="{63492E16-3C6A-43D2-BA85-A89BFC07B90F}"/>
    <cellStyle name="Normal 2 4 2 3 8 3 5" xfId="15653" xr:uid="{C1190CBA-FE10-4102-98B2-B0D10F102EC6}"/>
    <cellStyle name="Normal 2 4 2 3 8 4" xfId="20736" xr:uid="{274C339C-7442-4166-8D60-FF88CB708423}"/>
    <cellStyle name="Normal 2 4 2 3 8 5" xfId="29183" xr:uid="{AA9DE021-D81A-4873-B08B-682D8667F00D}"/>
    <cellStyle name="Normal 2 4 2 3 8 6" xfId="37630" xr:uid="{5E483429-9955-4EC1-B26A-35FF93D77F86}"/>
    <cellStyle name="Normal 2 4 2 3 8 7" xfId="11436" xr:uid="{C7961FAB-D4B5-4769-A7A1-0A5E6737E3D8}"/>
    <cellStyle name="Normal 2 4 2 3 9" xfId="2457" xr:uid="{00000000-0005-0000-0000-0000340F0000}"/>
    <cellStyle name="Normal 2 4 2 3 9 2" xfId="6740" xr:uid="{00000000-0005-0000-0000-0000350F0000}"/>
    <cellStyle name="Normal 2 4 2 3 9 2 2" xfId="25366" xr:uid="{79910CFE-659F-4D0F-8A82-D146F8C288EF}"/>
    <cellStyle name="Normal 2 4 2 3 9 2 3" xfId="33813" xr:uid="{C7137706-88F3-48F6-A216-56385EB57382}"/>
    <cellStyle name="Normal 2 4 2 3 9 2 4" xfId="42260" xr:uid="{E4036C84-FD5E-4BB9-A6A5-BD50AF14A8B9}"/>
    <cellStyle name="Normal 2 4 2 3 9 2 5" xfId="16066" xr:uid="{96EEE423-7548-42AD-9F90-63394918E4B7}"/>
    <cellStyle name="Normal 2 4 2 3 9 3" xfId="21149" xr:uid="{959D5A0F-154F-4206-BA39-0D87A86F797C}"/>
    <cellStyle name="Normal 2 4 2 3 9 4" xfId="29596" xr:uid="{5A3F7AE0-F4A8-423A-840C-5CCA96B10B39}"/>
    <cellStyle name="Normal 2 4 2 3 9 5" xfId="38043" xr:uid="{4ECB8EAC-3E59-4E85-BA10-6FB7B5D54566}"/>
    <cellStyle name="Normal 2 4 2 3 9 6" xfId="11849" xr:uid="{129FCCAF-062F-401F-B71E-353B2201879A}"/>
    <cellStyle name="Normal 2 4 2 4" xfId="289" xr:uid="{00000000-0005-0000-0000-0000360F0000}"/>
    <cellStyle name="Normal 2 4 2 4 10" xfId="8812" xr:uid="{C2E08BA7-2068-4F74-AFE2-E0AED0B82FE2}"/>
    <cellStyle name="Normal 2 4 2 4 10 2" xfId="18136" xr:uid="{79E9A823-D312-4834-89C5-6A9B10070BE0}"/>
    <cellStyle name="Normal 2 4 2 4 11" xfId="19091" xr:uid="{FC06094E-79E0-402B-AADE-113314234D31}"/>
    <cellStyle name="Normal 2 4 2 4 12" xfId="27538" xr:uid="{77EFCB69-1EC0-4980-8430-02C991FAAA3E}"/>
    <cellStyle name="Normal 2 4 2 4 13" xfId="35985" xr:uid="{44981216-851E-4B46-87F5-21F9D8BAB666}"/>
    <cellStyle name="Normal 2 4 2 4 14" xfId="9791" xr:uid="{3E2790BA-677B-4EB0-8E32-3D8A75FABC5F}"/>
    <cellStyle name="Normal 2 4 2 4 2" xfId="290" xr:uid="{00000000-0005-0000-0000-0000370F0000}"/>
    <cellStyle name="Normal 2 4 2 4 2 10" xfId="19092" xr:uid="{4514326B-2B5A-4553-93EA-004C29474DE2}"/>
    <cellStyle name="Normal 2 4 2 4 2 11" xfId="27539" xr:uid="{8D1F92B1-00D4-4313-A4C8-5B32FD652903}"/>
    <cellStyle name="Normal 2 4 2 4 2 12" xfId="35986" xr:uid="{5DD64D33-8BF3-4582-B149-9B955185EF4D}"/>
    <cellStyle name="Normal 2 4 2 4 2 13" xfId="9792" xr:uid="{8C8ACA78-6D9A-44E7-A2C1-D6773D145118}"/>
    <cellStyle name="Normal 2 4 2 4 2 2" xfId="291" xr:uid="{00000000-0005-0000-0000-0000380F0000}"/>
    <cellStyle name="Normal 2 4 2 4 2 2 10" xfId="27540" xr:uid="{C30FDF1F-A717-4D87-9053-54202851545A}"/>
    <cellStyle name="Normal 2 4 2 4 2 2 11" xfId="35987" xr:uid="{91D54CEC-128D-404D-9CBC-320A8D55822E}"/>
    <cellStyle name="Normal 2 4 2 4 2 2 12" xfId="9793" xr:uid="{A5C0C139-513A-4783-8AEE-5B240446A94E}"/>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2 2 2" xfId="25869" xr:uid="{048BC5AF-5809-420D-B0BB-E4417244E61B}"/>
    <cellStyle name="Normal 2 4 2 4 2 2 2 2 2 3" xfId="34316" xr:uid="{B6665FB9-718C-4BA0-A294-80B8264F077E}"/>
    <cellStyle name="Normal 2 4 2 4 2 2 2 2 2 4" xfId="42763" xr:uid="{169FE344-2759-41E3-B233-80ABDE10E1F3}"/>
    <cellStyle name="Normal 2 4 2 4 2 2 2 2 2 5" xfId="16569" xr:uid="{9D7C2FF5-8C10-4479-A8D0-B55D320D9D06}"/>
    <cellStyle name="Normal 2 4 2 4 2 2 2 2 3" xfId="21652" xr:uid="{959B0F35-F835-4226-AABD-59B06F3C406C}"/>
    <cellStyle name="Normal 2 4 2 4 2 2 2 2 4" xfId="30099" xr:uid="{5015FF81-2549-44EE-91BB-4DFE5D2AC698}"/>
    <cellStyle name="Normal 2 4 2 4 2 2 2 2 5" xfId="38546" xr:uid="{D7BC6EF2-886F-4252-97E0-AFB6DA8AE80B}"/>
    <cellStyle name="Normal 2 4 2 4 2 2 2 2 6" xfId="12352" xr:uid="{4B31B04E-0F64-4DA9-8660-C6EE781BEBA9}"/>
    <cellStyle name="Normal 2 4 2 4 2 2 2 3" xfId="5098" xr:uid="{00000000-0005-0000-0000-00003C0F0000}"/>
    <cellStyle name="Normal 2 4 2 4 2 2 2 3 2" xfId="23724" xr:uid="{5EBA2F21-51B7-4E11-968F-0103831F3892}"/>
    <cellStyle name="Normal 2 4 2 4 2 2 2 3 3" xfId="32171" xr:uid="{D1ED396C-0D4F-4E55-9703-9C5FFBA9FE41}"/>
    <cellStyle name="Normal 2 4 2 4 2 2 2 3 4" xfId="40618" xr:uid="{5889027F-BDDC-4773-B93A-11B714ADEF35}"/>
    <cellStyle name="Normal 2 4 2 4 2 2 2 3 5" xfId="14424" xr:uid="{931F4C1D-BA63-4181-8263-C3B4C094B29A}"/>
    <cellStyle name="Normal 2 4 2 4 2 2 2 4" xfId="9547" xr:uid="{F8909421-8B16-4168-8B85-A5523C430C3C}"/>
    <cellStyle name="Normal 2 4 2 4 2 2 2 4 2" xfId="18863" xr:uid="{732CEB01-48A2-4260-9839-6B2CAC4D424C}"/>
    <cellStyle name="Normal 2 4 2 4 2 2 2 5" xfId="19507" xr:uid="{A9EFF7EE-2586-493C-A8FD-5C2763004633}"/>
    <cellStyle name="Normal 2 4 2 4 2 2 2 6" xfId="27954" xr:uid="{CAE0A5CB-03F9-4E1A-9D06-C95AF6F4A7B0}"/>
    <cellStyle name="Normal 2 4 2 4 2 2 2 7" xfId="36401" xr:uid="{78A7FC1B-EA02-491A-B897-7F3D791D9C00}"/>
    <cellStyle name="Normal 2 4 2 4 2 2 2 8" xfId="10207" xr:uid="{7FA338D7-53F0-4592-A7EE-E76798D5FAE6}"/>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2 2 2" xfId="26282" xr:uid="{FF30AE69-9369-4A95-A958-4AE1C0622BA1}"/>
    <cellStyle name="Normal 2 4 2 4 2 2 3 2 2 3" xfId="34729" xr:uid="{5D42ABF8-96FE-49E4-8E46-1121F11D2217}"/>
    <cellStyle name="Normal 2 4 2 4 2 2 3 2 2 4" xfId="43176" xr:uid="{419A575A-FF74-424C-833F-192C25F94C54}"/>
    <cellStyle name="Normal 2 4 2 4 2 2 3 2 2 5" xfId="16982" xr:uid="{4529CA6C-8F92-4DAB-99D1-E96B05B5F26A}"/>
    <cellStyle name="Normal 2 4 2 4 2 2 3 2 3" xfId="22065" xr:uid="{18696912-8AE3-4FE3-BCC8-43E0AD554F42}"/>
    <cellStyle name="Normal 2 4 2 4 2 2 3 2 4" xfId="30512" xr:uid="{7286D55B-F63A-4B63-8B3C-06EC9839C25C}"/>
    <cellStyle name="Normal 2 4 2 4 2 2 3 2 5" xfId="38959" xr:uid="{B101D559-C974-46BF-AFBB-B12287DDF9BA}"/>
    <cellStyle name="Normal 2 4 2 4 2 2 3 2 6" xfId="12765" xr:uid="{C45BC36B-941D-426A-B223-195F84CE3CA7}"/>
    <cellStyle name="Normal 2 4 2 4 2 2 3 3" xfId="5511" xr:uid="{00000000-0005-0000-0000-0000400F0000}"/>
    <cellStyle name="Normal 2 4 2 4 2 2 3 3 2" xfId="24137" xr:uid="{503EDD5D-5E91-43D2-ABD5-48493C8BCC0D}"/>
    <cellStyle name="Normal 2 4 2 4 2 2 3 3 3" xfId="32584" xr:uid="{C083D318-45B0-422B-923F-B0CA0CFA150B}"/>
    <cellStyle name="Normal 2 4 2 4 2 2 3 3 4" xfId="41031" xr:uid="{746E3853-D483-4EC0-A829-0B54F079CFD2}"/>
    <cellStyle name="Normal 2 4 2 4 2 2 3 3 5" xfId="14837" xr:uid="{DF01AECE-AA05-40E7-8FE4-1C6CCF66964E}"/>
    <cellStyle name="Normal 2 4 2 4 2 2 3 4" xfId="19920" xr:uid="{5B7DD0BC-45C2-4663-84B1-95D3FF232055}"/>
    <cellStyle name="Normal 2 4 2 4 2 2 3 5" xfId="28367" xr:uid="{9498F7C3-BA60-4E05-A60C-1CBF688D3E49}"/>
    <cellStyle name="Normal 2 4 2 4 2 2 3 6" xfId="36814" xr:uid="{9CED9C9E-A44C-4907-8433-B5E0151005F0}"/>
    <cellStyle name="Normal 2 4 2 4 2 2 3 7" xfId="10620" xr:uid="{ECB906C0-1808-4E53-9DB0-E8B230C2CCE2}"/>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2 2 2" xfId="26695" xr:uid="{46803A06-23CD-4C2C-8F1F-CF5DF7C81BBD}"/>
    <cellStyle name="Normal 2 4 2 4 2 2 4 2 2 3" xfId="35142" xr:uid="{85CD3A64-9549-4095-A831-274D32A094C7}"/>
    <cellStyle name="Normal 2 4 2 4 2 2 4 2 2 4" xfId="43589" xr:uid="{2AA1E196-49D2-4BB6-B77B-A2D04184EEED}"/>
    <cellStyle name="Normal 2 4 2 4 2 2 4 2 2 5" xfId="17395" xr:uid="{D8130AB4-A161-4E0F-8BF8-02F7A605A622}"/>
    <cellStyle name="Normal 2 4 2 4 2 2 4 2 3" xfId="22478" xr:uid="{D854609E-2ECF-476B-A94C-F02C40F0D1F8}"/>
    <cellStyle name="Normal 2 4 2 4 2 2 4 2 4" xfId="30925" xr:uid="{58A53E1E-8B45-4D68-8A1E-C920CE8D976F}"/>
    <cellStyle name="Normal 2 4 2 4 2 2 4 2 5" xfId="39372" xr:uid="{3580338C-C503-4716-85A9-ECF2E89FE411}"/>
    <cellStyle name="Normal 2 4 2 4 2 2 4 2 6" xfId="13178" xr:uid="{62A000C5-F55D-4A00-8C91-A95ABB018BDD}"/>
    <cellStyle name="Normal 2 4 2 4 2 2 4 3" xfId="5924" xr:uid="{00000000-0005-0000-0000-0000440F0000}"/>
    <cellStyle name="Normal 2 4 2 4 2 2 4 3 2" xfId="24550" xr:uid="{6B10F26C-99AC-4034-86A0-F6D15DBD928B}"/>
    <cellStyle name="Normal 2 4 2 4 2 2 4 3 3" xfId="32997" xr:uid="{96CF99E6-BF57-4CC7-A38D-56D74E6289BC}"/>
    <cellStyle name="Normal 2 4 2 4 2 2 4 3 4" xfId="41444" xr:uid="{2B312730-53D3-43AD-97D9-643638779754}"/>
    <cellStyle name="Normal 2 4 2 4 2 2 4 3 5" xfId="15250" xr:uid="{787C0CCD-2692-4C3C-AF06-DF4510B5773D}"/>
    <cellStyle name="Normal 2 4 2 4 2 2 4 4" xfId="20333" xr:uid="{6630021F-9096-4B99-ADCB-B7E932F98FBE}"/>
    <cellStyle name="Normal 2 4 2 4 2 2 4 5" xfId="28780" xr:uid="{EA70FA4A-D93A-473C-8855-FA2E0DF3A002}"/>
    <cellStyle name="Normal 2 4 2 4 2 2 4 6" xfId="37227" xr:uid="{ADA082AF-3C4B-4654-9CDC-C77FF8EF2D05}"/>
    <cellStyle name="Normal 2 4 2 4 2 2 4 7" xfId="11033" xr:uid="{16D731B6-CF25-46E9-9822-FD615A637ECC}"/>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2 2 2" xfId="27108" xr:uid="{B937B650-1230-456F-A195-7F4D9852F017}"/>
    <cellStyle name="Normal 2 4 2 4 2 2 5 2 2 3" xfId="35555" xr:uid="{9CA2D607-0A52-49FA-BB71-3CA807FA0270}"/>
    <cellStyle name="Normal 2 4 2 4 2 2 5 2 2 4" xfId="44002" xr:uid="{4609DE1F-79AF-4538-8FA1-DBEE623392F3}"/>
    <cellStyle name="Normal 2 4 2 4 2 2 5 2 2 5" xfId="17808" xr:uid="{D75729F6-F49D-4F4E-99CD-E7B61411D167}"/>
    <cellStyle name="Normal 2 4 2 4 2 2 5 2 3" xfId="22891" xr:uid="{0BCF247A-102C-4DF3-83CE-6861AC332B4D}"/>
    <cellStyle name="Normal 2 4 2 4 2 2 5 2 4" xfId="31338" xr:uid="{47231FB8-8859-41FA-9D43-A1B8E1BFABD0}"/>
    <cellStyle name="Normal 2 4 2 4 2 2 5 2 5" xfId="39785" xr:uid="{2C9F30E3-346A-4EBC-9E01-3F0788C24F13}"/>
    <cellStyle name="Normal 2 4 2 4 2 2 5 2 6" xfId="13591" xr:uid="{D5D7C5B5-AE31-4756-AF27-B79E39109D65}"/>
    <cellStyle name="Normal 2 4 2 4 2 2 5 3" xfId="6337" xr:uid="{00000000-0005-0000-0000-0000480F0000}"/>
    <cellStyle name="Normal 2 4 2 4 2 2 5 3 2" xfId="24963" xr:uid="{1B175824-CCB4-47A9-89AF-1A160D6D3300}"/>
    <cellStyle name="Normal 2 4 2 4 2 2 5 3 3" xfId="33410" xr:uid="{6F216995-EB61-46B7-B46E-2E171CA90099}"/>
    <cellStyle name="Normal 2 4 2 4 2 2 5 3 4" xfId="41857" xr:uid="{CFB945F4-A8DD-4448-90B1-DCC0BC5AE743}"/>
    <cellStyle name="Normal 2 4 2 4 2 2 5 3 5" xfId="15663" xr:uid="{E8516CF6-4C2D-42EA-BB65-D4D3D01418AE}"/>
    <cellStyle name="Normal 2 4 2 4 2 2 5 4" xfId="20746" xr:uid="{FCA5686F-396C-44EF-8E25-76438C4FDD83}"/>
    <cellStyle name="Normal 2 4 2 4 2 2 5 5" xfId="29193" xr:uid="{99064EBF-021F-4179-B2A0-7E618F682862}"/>
    <cellStyle name="Normal 2 4 2 4 2 2 5 6" xfId="37640" xr:uid="{6E8BF28E-0F38-4F1D-85DD-9D2B65ECD9E8}"/>
    <cellStyle name="Normal 2 4 2 4 2 2 5 7" xfId="11446" xr:uid="{D4C3B056-F814-418C-984D-614D6A592141}"/>
    <cellStyle name="Normal 2 4 2 4 2 2 6" xfId="2467" xr:uid="{00000000-0005-0000-0000-0000490F0000}"/>
    <cellStyle name="Normal 2 4 2 4 2 2 6 2" xfId="6750" xr:uid="{00000000-0005-0000-0000-00004A0F0000}"/>
    <cellStyle name="Normal 2 4 2 4 2 2 6 2 2" xfId="25376" xr:uid="{33892AF0-209A-44AA-A837-3AC3F07C2A5F}"/>
    <cellStyle name="Normal 2 4 2 4 2 2 6 2 3" xfId="33823" xr:uid="{9EAF5B40-D01F-44E1-A0A5-61031C5EDACA}"/>
    <cellStyle name="Normal 2 4 2 4 2 2 6 2 4" xfId="42270" xr:uid="{2585151F-7BD8-4EEF-8683-BBF7725BC80E}"/>
    <cellStyle name="Normal 2 4 2 4 2 2 6 2 5" xfId="16076" xr:uid="{7C0B7DAA-F2FD-45EC-80F2-BFFDCDFF2173}"/>
    <cellStyle name="Normal 2 4 2 4 2 2 6 3" xfId="21159" xr:uid="{03993522-7F0E-47D8-A04B-801FB553F27D}"/>
    <cellStyle name="Normal 2 4 2 4 2 2 6 4" xfId="29606" xr:uid="{8BD9D911-00F5-487A-99A0-CB16EE03322D}"/>
    <cellStyle name="Normal 2 4 2 4 2 2 6 5" xfId="38053" xr:uid="{FA30C247-3610-4169-B950-7DD600A47DBF}"/>
    <cellStyle name="Normal 2 4 2 4 2 2 6 6" xfId="11859" xr:uid="{F188A3D4-EB47-41DD-A6C8-8DBC93EF0071}"/>
    <cellStyle name="Normal 2 4 2 4 2 2 7" xfId="4684" xr:uid="{00000000-0005-0000-0000-00004B0F0000}"/>
    <cellStyle name="Normal 2 4 2 4 2 2 7 2" xfId="23310" xr:uid="{33DDD03E-9B24-4B7A-A5CB-20B4A1C25FE6}"/>
    <cellStyle name="Normal 2 4 2 4 2 2 7 3" xfId="31757" xr:uid="{69AE66ED-B7C4-414A-8854-83142C682900}"/>
    <cellStyle name="Normal 2 4 2 4 2 2 7 4" xfId="40204" xr:uid="{F5C3FF90-6D6C-4D32-9CFE-98DE05ECD5A3}"/>
    <cellStyle name="Normal 2 4 2 4 2 2 7 5" xfId="14010" xr:uid="{22D48C02-E18C-4757-B7AB-8F389784F837}"/>
    <cellStyle name="Normal 2 4 2 4 2 2 8" xfId="9122" xr:uid="{861CB008-611F-4F3F-9D09-5BCA5A4CB255}"/>
    <cellStyle name="Normal 2 4 2 4 2 2 8 2" xfId="18446" xr:uid="{E5DD892C-DE64-4872-AAC4-20B09868828E}"/>
    <cellStyle name="Normal 2 4 2 4 2 2 9" xfId="19093" xr:uid="{E33CAD82-E39B-479D-8325-EF301863A16B}"/>
    <cellStyle name="Normal 2 4 2 4 2 3" xfId="781" xr:uid="{00000000-0005-0000-0000-00004C0F0000}"/>
    <cellStyle name="Normal 2 4 2 4 2 3 2" xfId="3020" xr:uid="{00000000-0005-0000-0000-00004D0F0000}"/>
    <cellStyle name="Normal 2 4 2 4 2 3 2 2" xfId="7242" xr:uid="{00000000-0005-0000-0000-00004E0F0000}"/>
    <cellStyle name="Normal 2 4 2 4 2 3 2 2 2" xfId="25868" xr:uid="{EE63EF47-18E9-4E8A-B857-C13F8FF64172}"/>
    <cellStyle name="Normal 2 4 2 4 2 3 2 2 3" xfId="34315" xr:uid="{10C24957-0CA7-4D37-8797-6B452EC5F0A3}"/>
    <cellStyle name="Normal 2 4 2 4 2 3 2 2 4" xfId="42762" xr:uid="{F948EE25-C42B-4356-AB95-DD8A85BA3F8D}"/>
    <cellStyle name="Normal 2 4 2 4 2 3 2 2 5" xfId="16568" xr:uid="{0CFC7CBE-C88E-4916-857A-7AAED1DE655B}"/>
    <cellStyle name="Normal 2 4 2 4 2 3 2 3" xfId="21651" xr:uid="{D81E75C1-209C-454F-9F3C-827F76DF470D}"/>
    <cellStyle name="Normal 2 4 2 4 2 3 2 4" xfId="30098" xr:uid="{31ADC3D6-96D8-4AF5-8D8B-43D7BE9F9086}"/>
    <cellStyle name="Normal 2 4 2 4 2 3 2 5" xfId="38545" xr:uid="{7CE3E4A8-D5D5-44DC-84A2-E09B94E17559}"/>
    <cellStyle name="Normal 2 4 2 4 2 3 2 6" xfId="12351" xr:uid="{1D061803-367E-4305-B71F-BF8A8D9155D4}"/>
    <cellStyle name="Normal 2 4 2 4 2 3 3" xfId="5097" xr:uid="{00000000-0005-0000-0000-00004F0F0000}"/>
    <cellStyle name="Normal 2 4 2 4 2 3 3 2" xfId="23723" xr:uid="{6D53673E-2FB7-43E0-95AA-B41B7A96C45D}"/>
    <cellStyle name="Normal 2 4 2 4 2 3 3 3" xfId="32170" xr:uid="{83E80DAA-68AC-4175-BB8D-48EE09FDDA5D}"/>
    <cellStyle name="Normal 2 4 2 4 2 3 3 4" xfId="40617" xr:uid="{760E6324-E312-43C6-8606-DBD52E006CCC}"/>
    <cellStyle name="Normal 2 4 2 4 2 3 3 5" xfId="14423" xr:uid="{FAE969E5-A4AC-48A7-A1F0-1612D33B904C}"/>
    <cellStyle name="Normal 2 4 2 4 2 3 4" xfId="9340" xr:uid="{2D1F2F91-F6E8-42AC-98D0-B8667E0ECE37}"/>
    <cellStyle name="Normal 2 4 2 4 2 3 4 2" xfId="18656" xr:uid="{EE5F57D1-206A-4CA9-A156-2FFF9E253867}"/>
    <cellStyle name="Normal 2 4 2 4 2 3 5" xfId="19506" xr:uid="{7DF6E429-EE88-4E71-A947-DE3582FAB64C}"/>
    <cellStyle name="Normal 2 4 2 4 2 3 6" xfId="27953" xr:uid="{DA6733D3-9A83-45B7-BBA0-B858FFD7757E}"/>
    <cellStyle name="Normal 2 4 2 4 2 3 7" xfId="36400" xr:uid="{EE80A5FC-7D7A-4D70-B045-2A00784D4C75}"/>
    <cellStyle name="Normal 2 4 2 4 2 3 8" xfId="10206" xr:uid="{C15E62E2-7E64-4680-8CE1-BA34B2C81001}"/>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2 2 2" xfId="26281" xr:uid="{CB5C3B77-2F2D-42A0-A66C-07EB329EB3E4}"/>
    <cellStyle name="Normal 2 4 2 4 2 4 2 2 3" xfId="34728" xr:uid="{8B79E9F0-1C40-4D3A-AF40-67742D8B128C}"/>
    <cellStyle name="Normal 2 4 2 4 2 4 2 2 4" xfId="43175" xr:uid="{B0DDAC72-7F11-453E-B8A1-1311A4D2CBAB}"/>
    <cellStyle name="Normal 2 4 2 4 2 4 2 2 5" xfId="16981" xr:uid="{B03BC611-0C64-471A-9F1B-943E76C8144E}"/>
    <cellStyle name="Normal 2 4 2 4 2 4 2 3" xfId="22064" xr:uid="{C3564982-C8DB-4867-8776-810E4A9236F8}"/>
    <cellStyle name="Normal 2 4 2 4 2 4 2 4" xfId="30511" xr:uid="{0B09F200-44A0-4DA5-9EF7-1B08CAFFDE28}"/>
    <cellStyle name="Normal 2 4 2 4 2 4 2 5" xfId="38958" xr:uid="{5342E19D-1313-4B6B-BD8C-E37738AFE3BB}"/>
    <cellStyle name="Normal 2 4 2 4 2 4 2 6" xfId="12764" xr:uid="{0E8184DE-84E4-47BB-9FD1-98C64F282939}"/>
    <cellStyle name="Normal 2 4 2 4 2 4 3" xfId="5510" xr:uid="{00000000-0005-0000-0000-0000530F0000}"/>
    <cellStyle name="Normal 2 4 2 4 2 4 3 2" xfId="24136" xr:uid="{072BC3F3-2C8C-4C64-BB79-E14FA0540BB7}"/>
    <cellStyle name="Normal 2 4 2 4 2 4 3 3" xfId="32583" xr:uid="{18B0A138-51E0-4346-AADD-49FF39AEFC0F}"/>
    <cellStyle name="Normal 2 4 2 4 2 4 3 4" xfId="41030" xr:uid="{6D78FF98-216B-4472-B7B4-7C62294B9139}"/>
    <cellStyle name="Normal 2 4 2 4 2 4 3 5" xfId="14836" xr:uid="{6D6FA6AD-1DF4-4925-A67F-B0A2954C8667}"/>
    <cellStyle name="Normal 2 4 2 4 2 4 4" xfId="19919" xr:uid="{E9D68BF5-0AF7-4A06-9B65-69284270DF25}"/>
    <cellStyle name="Normal 2 4 2 4 2 4 5" xfId="28366" xr:uid="{65A8C88D-DBA3-4DBC-80A8-6B1081B685F3}"/>
    <cellStyle name="Normal 2 4 2 4 2 4 6" xfId="36813" xr:uid="{43D90905-5780-46E0-B0B4-4FEC2F639F69}"/>
    <cellStyle name="Normal 2 4 2 4 2 4 7" xfId="10619" xr:uid="{44AFAC33-DC5B-4B49-9B1F-151903EEBB26}"/>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2 2 2" xfId="26694" xr:uid="{5D58765E-20B1-4A1C-9016-B727022123F0}"/>
    <cellStyle name="Normal 2 4 2 4 2 5 2 2 3" xfId="35141" xr:uid="{EF7D4C57-7B13-4804-8EBC-47DED6DE6138}"/>
    <cellStyle name="Normal 2 4 2 4 2 5 2 2 4" xfId="43588" xr:uid="{AF0CAB57-2877-4234-931F-9B1AEE493D62}"/>
    <cellStyle name="Normal 2 4 2 4 2 5 2 2 5" xfId="17394" xr:uid="{D9364983-6E63-4BF8-AF78-4C3887188811}"/>
    <cellStyle name="Normal 2 4 2 4 2 5 2 3" xfId="22477" xr:uid="{2B1B83F1-DE52-4BA4-BA55-1E685DD31258}"/>
    <cellStyle name="Normal 2 4 2 4 2 5 2 4" xfId="30924" xr:uid="{6A33D4E9-A949-47CE-A176-1840AC18F34D}"/>
    <cellStyle name="Normal 2 4 2 4 2 5 2 5" xfId="39371" xr:uid="{C07C4D9B-6507-4960-A11C-FBCDA5A563EC}"/>
    <cellStyle name="Normal 2 4 2 4 2 5 2 6" xfId="13177" xr:uid="{12BD6882-856F-4166-BFF0-71362B1F2254}"/>
    <cellStyle name="Normal 2 4 2 4 2 5 3" xfId="5923" xr:uid="{00000000-0005-0000-0000-0000570F0000}"/>
    <cellStyle name="Normal 2 4 2 4 2 5 3 2" xfId="24549" xr:uid="{AEB3D00D-0D8A-4BB2-976D-DA5622B42975}"/>
    <cellStyle name="Normal 2 4 2 4 2 5 3 3" xfId="32996" xr:uid="{20823C1B-A8C9-488B-BCD8-05D011669BD0}"/>
    <cellStyle name="Normal 2 4 2 4 2 5 3 4" xfId="41443" xr:uid="{F0E162A4-0101-43F1-BC6C-1D19E7F08EB9}"/>
    <cellStyle name="Normal 2 4 2 4 2 5 3 5" xfId="15249" xr:uid="{F1A88544-AD89-4DF4-ADAF-E47673774AA6}"/>
    <cellStyle name="Normal 2 4 2 4 2 5 4" xfId="20332" xr:uid="{3AB182DF-1630-490D-A656-C94DA9339413}"/>
    <cellStyle name="Normal 2 4 2 4 2 5 5" xfId="28779" xr:uid="{C56C9E7E-91F6-4BE9-9ABE-259C422951B3}"/>
    <cellStyle name="Normal 2 4 2 4 2 5 6" xfId="37226" xr:uid="{34E6EED0-9A60-441A-932B-8D48668C892D}"/>
    <cellStyle name="Normal 2 4 2 4 2 5 7" xfId="11032" xr:uid="{471131B3-3C74-4852-8B4D-60C6A5EB256A}"/>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2 2 2" xfId="27107" xr:uid="{47AE70E2-038E-456E-A1E3-B5662B2FC6CF}"/>
    <cellStyle name="Normal 2 4 2 4 2 6 2 2 3" xfId="35554" xr:uid="{21CA52AF-691B-4076-B7E3-389DA67DB479}"/>
    <cellStyle name="Normal 2 4 2 4 2 6 2 2 4" xfId="44001" xr:uid="{B1385F98-AF45-46AC-94C4-D4B931F652AC}"/>
    <cellStyle name="Normal 2 4 2 4 2 6 2 2 5" xfId="17807" xr:uid="{6D4CC84C-1229-400E-8E94-BEFA9A50007B}"/>
    <cellStyle name="Normal 2 4 2 4 2 6 2 3" xfId="22890" xr:uid="{9B510ED7-64C7-4E33-B9C1-778EA3E6AF5E}"/>
    <cellStyle name="Normal 2 4 2 4 2 6 2 4" xfId="31337" xr:uid="{0A626873-65FE-43A2-A2D7-70B883166178}"/>
    <cellStyle name="Normal 2 4 2 4 2 6 2 5" xfId="39784" xr:uid="{FA44EB1E-B573-49F2-9942-9609853A59B5}"/>
    <cellStyle name="Normal 2 4 2 4 2 6 2 6" xfId="13590" xr:uid="{A84E5958-07C2-4D5F-8646-DB146FC12187}"/>
    <cellStyle name="Normal 2 4 2 4 2 6 3" xfId="6336" xr:uid="{00000000-0005-0000-0000-00005B0F0000}"/>
    <cellStyle name="Normal 2 4 2 4 2 6 3 2" xfId="24962" xr:uid="{3819554A-5472-4964-9F25-12AE2C5DC89B}"/>
    <cellStyle name="Normal 2 4 2 4 2 6 3 3" xfId="33409" xr:uid="{B9E35ED1-7453-4360-B60A-0546ACA4165A}"/>
    <cellStyle name="Normal 2 4 2 4 2 6 3 4" xfId="41856" xr:uid="{97D7DF89-E304-4CA9-9325-212450FFAFEB}"/>
    <cellStyle name="Normal 2 4 2 4 2 6 3 5" xfId="15662" xr:uid="{8DEA2630-BB6E-449A-A80B-55C088164E89}"/>
    <cellStyle name="Normal 2 4 2 4 2 6 4" xfId="20745" xr:uid="{C4039F12-A439-49F9-8D60-9FCAB2E909DF}"/>
    <cellStyle name="Normal 2 4 2 4 2 6 5" xfId="29192" xr:uid="{46C68E06-FA09-4860-BF60-0A843F698E7E}"/>
    <cellStyle name="Normal 2 4 2 4 2 6 6" xfId="37639" xr:uid="{F6C2E62C-4E80-4864-82AC-4D4470C9306C}"/>
    <cellStyle name="Normal 2 4 2 4 2 6 7" xfId="11445" xr:uid="{D33C83BC-2721-4E68-B399-D74F011EAD7F}"/>
    <cellStyle name="Normal 2 4 2 4 2 7" xfId="2466" xr:uid="{00000000-0005-0000-0000-00005C0F0000}"/>
    <cellStyle name="Normal 2 4 2 4 2 7 2" xfId="6749" xr:uid="{00000000-0005-0000-0000-00005D0F0000}"/>
    <cellStyle name="Normal 2 4 2 4 2 7 2 2" xfId="25375" xr:uid="{BC59453C-35F1-4A1F-930C-88FA59164207}"/>
    <cellStyle name="Normal 2 4 2 4 2 7 2 3" xfId="33822" xr:uid="{24E4F421-DA9C-4A06-A3CC-24FCD4EE1547}"/>
    <cellStyle name="Normal 2 4 2 4 2 7 2 4" xfId="42269" xr:uid="{D183B3EF-3DDF-4263-A454-8227AFEC3AAE}"/>
    <cellStyle name="Normal 2 4 2 4 2 7 2 5" xfId="16075" xr:uid="{78427D1A-2C10-431C-9161-CF582F30AD72}"/>
    <cellStyle name="Normal 2 4 2 4 2 7 3" xfId="21158" xr:uid="{83EA42B2-9F58-433E-95FC-884699D126FA}"/>
    <cellStyle name="Normal 2 4 2 4 2 7 4" xfId="29605" xr:uid="{6945B08E-3524-494E-AE56-279F1E543829}"/>
    <cellStyle name="Normal 2 4 2 4 2 7 5" xfId="38052" xr:uid="{BD1F6A66-8B31-4E80-877E-34585FEC0E17}"/>
    <cellStyle name="Normal 2 4 2 4 2 7 6" xfId="11858" xr:uid="{D456FAE4-28C6-4C11-A62C-F1985C8C393F}"/>
    <cellStyle name="Normal 2 4 2 4 2 8" xfId="4683" xr:uid="{00000000-0005-0000-0000-00005E0F0000}"/>
    <cellStyle name="Normal 2 4 2 4 2 8 2" xfId="23309" xr:uid="{5008E668-402F-497E-B14E-AE39B393755C}"/>
    <cellStyle name="Normal 2 4 2 4 2 8 3" xfId="31756" xr:uid="{2C60696E-E0F3-4879-8E3E-664FF8914B77}"/>
    <cellStyle name="Normal 2 4 2 4 2 8 4" xfId="40203" xr:uid="{41E9D8CB-E978-4BBA-8F0A-96A7DCBAEC0D}"/>
    <cellStyle name="Normal 2 4 2 4 2 8 5" xfId="14009" xr:uid="{951A113D-6263-4EAB-8B2E-A7E8648A0735}"/>
    <cellStyle name="Normal 2 4 2 4 2 9" xfId="8915" xr:uid="{2BEB15AA-2AFA-47D4-AC0E-63DAF2CFE119}"/>
    <cellStyle name="Normal 2 4 2 4 2 9 2" xfId="18239" xr:uid="{5D13E4E7-87BE-4BC9-9615-7CE19BF98AD0}"/>
    <cellStyle name="Normal 2 4 2 4 3" xfId="292" xr:uid="{00000000-0005-0000-0000-00005F0F0000}"/>
    <cellStyle name="Normal 2 4 2 4 3 10" xfId="27541" xr:uid="{0F7FE7F6-6F96-42F2-A497-301818E7643D}"/>
    <cellStyle name="Normal 2 4 2 4 3 11" xfId="35988" xr:uid="{F16D56A6-3138-4BB2-93C9-CE3C503682A5}"/>
    <cellStyle name="Normal 2 4 2 4 3 12" xfId="9794" xr:uid="{980F5498-955C-480B-A8E1-AECD3F85D3AC}"/>
    <cellStyle name="Normal 2 4 2 4 3 2" xfId="783" xr:uid="{00000000-0005-0000-0000-0000600F0000}"/>
    <cellStyle name="Normal 2 4 2 4 3 2 2" xfId="3022" xr:uid="{00000000-0005-0000-0000-0000610F0000}"/>
    <cellStyle name="Normal 2 4 2 4 3 2 2 2" xfId="7244" xr:uid="{00000000-0005-0000-0000-0000620F0000}"/>
    <cellStyle name="Normal 2 4 2 4 3 2 2 2 2" xfId="25870" xr:uid="{B4901AF6-B938-4BD3-8084-EAD4EE77D6A8}"/>
    <cellStyle name="Normal 2 4 2 4 3 2 2 2 3" xfId="34317" xr:uid="{448136C3-B1EF-4BFE-BD75-D6583D0E1659}"/>
    <cellStyle name="Normal 2 4 2 4 3 2 2 2 4" xfId="42764" xr:uid="{5F95DBE1-3D4B-4E8F-B994-58FBFAC2C138}"/>
    <cellStyle name="Normal 2 4 2 4 3 2 2 2 5" xfId="16570" xr:uid="{68ACFE36-4190-47A6-BF27-B5E25F72C719}"/>
    <cellStyle name="Normal 2 4 2 4 3 2 2 3" xfId="21653" xr:uid="{157F5BAC-6F28-4BE0-9C77-0C69F7A86298}"/>
    <cellStyle name="Normal 2 4 2 4 3 2 2 4" xfId="30100" xr:uid="{80E60A21-2F34-4BE5-BE2C-FF5C9DC9A254}"/>
    <cellStyle name="Normal 2 4 2 4 3 2 2 5" xfId="38547" xr:uid="{9B64F280-F3B0-4EA7-90C0-ACC4ED5F6633}"/>
    <cellStyle name="Normal 2 4 2 4 3 2 2 6" xfId="12353" xr:uid="{34048AE1-6231-4C52-87D1-894F6F2C296E}"/>
    <cellStyle name="Normal 2 4 2 4 3 2 3" xfId="5099" xr:uid="{00000000-0005-0000-0000-0000630F0000}"/>
    <cellStyle name="Normal 2 4 2 4 3 2 3 2" xfId="23725" xr:uid="{F88726E4-7513-4F9B-99C5-09495883C993}"/>
    <cellStyle name="Normal 2 4 2 4 3 2 3 3" xfId="32172" xr:uid="{2BC85B23-42A6-465F-ACA8-A47D9266C394}"/>
    <cellStyle name="Normal 2 4 2 4 3 2 3 4" xfId="40619" xr:uid="{72C0D2C3-04E9-43CE-9266-774DDBE2327E}"/>
    <cellStyle name="Normal 2 4 2 4 3 2 3 5" xfId="14425" xr:uid="{9A105A68-FD40-4407-BDAB-BFA5EB1CB370}"/>
    <cellStyle name="Normal 2 4 2 4 3 2 4" xfId="9444" xr:uid="{807939DF-E7C0-4015-A3D8-AE9E56020172}"/>
    <cellStyle name="Normal 2 4 2 4 3 2 4 2" xfId="18760" xr:uid="{F06F9002-2D21-4463-A129-BB40AEA4AB31}"/>
    <cellStyle name="Normal 2 4 2 4 3 2 5" xfId="19508" xr:uid="{23DCF305-F1D2-4E86-9F41-C8E4DFBA4E63}"/>
    <cellStyle name="Normal 2 4 2 4 3 2 6" xfId="27955" xr:uid="{4B5EB5DB-97B9-463E-A9FF-3623AFDF9309}"/>
    <cellStyle name="Normal 2 4 2 4 3 2 7" xfId="36402" xr:uid="{8B97E4E6-9180-4B06-A1E3-0376112178C7}"/>
    <cellStyle name="Normal 2 4 2 4 3 2 8" xfId="10208" xr:uid="{954D97CA-147A-4CF6-915D-9189A2111687}"/>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2 2 2" xfId="26283" xr:uid="{F12C38ED-4053-4132-ACF1-A5A06826E267}"/>
    <cellStyle name="Normal 2 4 2 4 3 3 2 2 3" xfId="34730" xr:uid="{C640DD21-537E-49B5-A906-063EE0AC0870}"/>
    <cellStyle name="Normal 2 4 2 4 3 3 2 2 4" xfId="43177" xr:uid="{422D2757-4B73-4B05-B77F-06A28BD17E62}"/>
    <cellStyle name="Normal 2 4 2 4 3 3 2 2 5" xfId="16983" xr:uid="{B5A25B54-133C-4EA5-BAE6-3DC9ED14DC2B}"/>
    <cellStyle name="Normal 2 4 2 4 3 3 2 3" xfId="22066" xr:uid="{3EE250F2-3ECB-4C3B-844C-B022BA874BB3}"/>
    <cellStyle name="Normal 2 4 2 4 3 3 2 4" xfId="30513" xr:uid="{55A5D670-621C-4882-B4A4-2B96217E16BA}"/>
    <cellStyle name="Normal 2 4 2 4 3 3 2 5" xfId="38960" xr:uid="{B58D8D07-19D5-4B9A-A8E6-91DAFCA6325B}"/>
    <cellStyle name="Normal 2 4 2 4 3 3 2 6" xfId="12766" xr:uid="{A8B6158B-CFC2-4DA1-A581-8971CA97DCAB}"/>
    <cellStyle name="Normal 2 4 2 4 3 3 3" xfId="5512" xr:uid="{00000000-0005-0000-0000-0000670F0000}"/>
    <cellStyle name="Normal 2 4 2 4 3 3 3 2" xfId="24138" xr:uid="{5D04D10C-54AF-4A3B-BAF3-73E51E02A99B}"/>
    <cellStyle name="Normal 2 4 2 4 3 3 3 3" xfId="32585" xr:uid="{33CBCCE2-C2D2-4A8C-A752-A408EBF5062E}"/>
    <cellStyle name="Normal 2 4 2 4 3 3 3 4" xfId="41032" xr:uid="{9166BD1F-0899-4E79-A5C1-0A8199283D59}"/>
    <cellStyle name="Normal 2 4 2 4 3 3 3 5" xfId="14838" xr:uid="{4780625F-DE3E-4155-94D8-319798FF30C7}"/>
    <cellStyle name="Normal 2 4 2 4 3 3 4" xfId="19921" xr:uid="{D66C4814-ABB4-48C4-A4A9-B1D9B6ADB1B5}"/>
    <cellStyle name="Normal 2 4 2 4 3 3 5" xfId="28368" xr:uid="{5D910D95-9E9A-4BD9-A4F8-088EB89A4BFC}"/>
    <cellStyle name="Normal 2 4 2 4 3 3 6" xfId="36815" xr:uid="{686A0F3F-92A7-40AD-A974-16511A30794B}"/>
    <cellStyle name="Normal 2 4 2 4 3 3 7" xfId="10621" xr:uid="{68026BBB-628A-4422-B7C5-27A55A309432}"/>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2 2 2" xfId="26696" xr:uid="{EC93D9D1-CDD0-4B25-AA1C-96C770681AB0}"/>
    <cellStyle name="Normal 2 4 2 4 3 4 2 2 3" xfId="35143" xr:uid="{08A68DEC-1CEE-4E3D-9A3F-B9238DCB1312}"/>
    <cellStyle name="Normal 2 4 2 4 3 4 2 2 4" xfId="43590" xr:uid="{7B5DE259-A388-4775-ABC1-BD02D85AA7FA}"/>
    <cellStyle name="Normal 2 4 2 4 3 4 2 2 5" xfId="17396" xr:uid="{1A9AF8FC-0A5D-417B-B6FD-B8C3C05276F4}"/>
    <cellStyle name="Normal 2 4 2 4 3 4 2 3" xfId="22479" xr:uid="{A03E6B48-7EAD-4048-86F7-FAB689CF743D}"/>
    <cellStyle name="Normal 2 4 2 4 3 4 2 4" xfId="30926" xr:uid="{58E02929-DFE6-4063-B805-7654D428FCC4}"/>
    <cellStyle name="Normal 2 4 2 4 3 4 2 5" xfId="39373" xr:uid="{C3D38FFF-54BB-4E73-9101-EAA8122794D2}"/>
    <cellStyle name="Normal 2 4 2 4 3 4 2 6" xfId="13179" xr:uid="{67A1A47C-2095-4E81-ACD2-A7956A1EFCCF}"/>
    <cellStyle name="Normal 2 4 2 4 3 4 3" xfId="5925" xr:uid="{00000000-0005-0000-0000-00006B0F0000}"/>
    <cellStyle name="Normal 2 4 2 4 3 4 3 2" xfId="24551" xr:uid="{E6434660-5E34-40FC-AE46-F6AA596B7B7F}"/>
    <cellStyle name="Normal 2 4 2 4 3 4 3 3" xfId="32998" xr:uid="{E2C0434A-0852-4660-913E-8F87BF6893B6}"/>
    <cellStyle name="Normal 2 4 2 4 3 4 3 4" xfId="41445" xr:uid="{4B7E3D64-18AD-44E4-BB8B-9DE69754A1EE}"/>
    <cellStyle name="Normal 2 4 2 4 3 4 3 5" xfId="15251" xr:uid="{1FCAB9CC-92AE-4C1B-B1D0-7FDDB3406AF7}"/>
    <cellStyle name="Normal 2 4 2 4 3 4 4" xfId="20334" xr:uid="{9AD5CB94-D6B1-48B1-A4C6-969466B3B5C6}"/>
    <cellStyle name="Normal 2 4 2 4 3 4 5" xfId="28781" xr:uid="{566EC11E-1DC9-4EFE-854B-7B05C77BE77F}"/>
    <cellStyle name="Normal 2 4 2 4 3 4 6" xfId="37228" xr:uid="{0F15A5DA-E9BC-4D59-9457-6F451FB092A0}"/>
    <cellStyle name="Normal 2 4 2 4 3 4 7" xfId="11034" xr:uid="{FE5E7393-6AFF-45C6-8B95-84C6FABEB596}"/>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2 2 2" xfId="27109" xr:uid="{A03A12EE-1288-458F-9C3E-DA9891C6E7C6}"/>
    <cellStyle name="Normal 2 4 2 4 3 5 2 2 3" xfId="35556" xr:uid="{22D5A8C4-482E-4ADF-AB14-49B31DCEBB7F}"/>
    <cellStyle name="Normal 2 4 2 4 3 5 2 2 4" xfId="44003" xr:uid="{8D7B7C74-2185-401F-8151-917A8B19D2C2}"/>
    <cellStyle name="Normal 2 4 2 4 3 5 2 2 5" xfId="17809" xr:uid="{57FBE7A3-9218-45E9-A18A-8E20F00C5162}"/>
    <cellStyle name="Normal 2 4 2 4 3 5 2 3" xfId="22892" xr:uid="{AB048447-3445-480E-8123-394E0A7768D5}"/>
    <cellStyle name="Normal 2 4 2 4 3 5 2 4" xfId="31339" xr:uid="{03043142-4422-4A36-BE91-5A85124FFE87}"/>
    <cellStyle name="Normal 2 4 2 4 3 5 2 5" xfId="39786" xr:uid="{1E5DE8E2-5699-4EF9-9224-2EFD3C3940CE}"/>
    <cellStyle name="Normal 2 4 2 4 3 5 2 6" xfId="13592" xr:uid="{69D9DE60-440D-41E0-ABA6-3AAAF14E7224}"/>
    <cellStyle name="Normal 2 4 2 4 3 5 3" xfId="6338" xr:uid="{00000000-0005-0000-0000-00006F0F0000}"/>
    <cellStyle name="Normal 2 4 2 4 3 5 3 2" xfId="24964" xr:uid="{C8B937B4-2206-40E7-AAC7-9EA273776F90}"/>
    <cellStyle name="Normal 2 4 2 4 3 5 3 3" xfId="33411" xr:uid="{DB29CAD4-57AA-4948-87E7-4A226F3B8F85}"/>
    <cellStyle name="Normal 2 4 2 4 3 5 3 4" xfId="41858" xr:uid="{FF84BA71-4D59-4164-89E4-BD7AAED3FCEE}"/>
    <cellStyle name="Normal 2 4 2 4 3 5 3 5" xfId="15664" xr:uid="{A4FD22F6-F69D-4409-A0C6-218794232F3F}"/>
    <cellStyle name="Normal 2 4 2 4 3 5 4" xfId="20747" xr:uid="{646981A5-C9E9-4203-97E3-4013B83116D5}"/>
    <cellStyle name="Normal 2 4 2 4 3 5 5" xfId="29194" xr:uid="{AD6F3212-7180-4247-9DAB-ABB9048B711A}"/>
    <cellStyle name="Normal 2 4 2 4 3 5 6" xfId="37641" xr:uid="{7964029F-395D-4A18-8050-575D18F79347}"/>
    <cellStyle name="Normal 2 4 2 4 3 5 7" xfId="11447" xr:uid="{E25254DB-9FEB-4533-9065-28DECFDABB8F}"/>
    <cellStyle name="Normal 2 4 2 4 3 6" xfId="2468" xr:uid="{00000000-0005-0000-0000-0000700F0000}"/>
    <cellStyle name="Normal 2 4 2 4 3 6 2" xfId="6751" xr:uid="{00000000-0005-0000-0000-0000710F0000}"/>
    <cellStyle name="Normal 2 4 2 4 3 6 2 2" xfId="25377" xr:uid="{CDA6B2F9-8889-4964-AB9E-7DCF9D1908C7}"/>
    <cellStyle name="Normal 2 4 2 4 3 6 2 3" xfId="33824" xr:uid="{AAB3D6D9-564D-4EF9-ABC0-29FF19A5677E}"/>
    <cellStyle name="Normal 2 4 2 4 3 6 2 4" xfId="42271" xr:uid="{FC79F4CB-988C-4391-B1A9-14BE42CFB846}"/>
    <cellStyle name="Normal 2 4 2 4 3 6 2 5" xfId="16077" xr:uid="{715D272A-A43F-460D-8F3F-F4388A87A94C}"/>
    <cellStyle name="Normal 2 4 2 4 3 6 3" xfId="21160" xr:uid="{6F6BD018-68D3-46DF-8DA2-BCFACFC66E1C}"/>
    <cellStyle name="Normal 2 4 2 4 3 6 4" xfId="29607" xr:uid="{592EEDD6-57F6-4A80-B5C6-BECF7A3CB735}"/>
    <cellStyle name="Normal 2 4 2 4 3 6 5" xfId="38054" xr:uid="{FE781753-D2C6-429A-AF19-C56D6B46E293}"/>
    <cellStyle name="Normal 2 4 2 4 3 6 6" xfId="11860" xr:uid="{66413422-460E-438A-BB18-B1D09D617EB9}"/>
    <cellStyle name="Normal 2 4 2 4 3 7" xfId="4685" xr:uid="{00000000-0005-0000-0000-0000720F0000}"/>
    <cellStyle name="Normal 2 4 2 4 3 7 2" xfId="23311" xr:uid="{9EB3274B-CC5D-485A-8E22-247C95669DED}"/>
    <cellStyle name="Normal 2 4 2 4 3 7 3" xfId="31758" xr:uid="{E7614E74-6081-4A4A-A46B-F0BAFC122378}"/>
    <cellStyle name="Normal 2 4 2 4 3 7 4" xfId="40205" xr:uid="{02A544CA-4E05-4493-9C9E-754D7D6A354C}"/>
    <cellStyle name="Normal 2 4 2 4 3 7 5" xfId="14011" xr:uid="{8AC5AA13-06B9-4F75-A4CC-0F6D9A46F6D1}"/>
    <cellStyle name="Normal 2 4 2 4 3 8" xfId="9019" xr:uid="{1F22810F-FF7D-4FF4-861A-F2BA8F253428}"/>
    <cellStyle name="Normal 2 4 2 4 3 8 2" xfId="18343" xr:uid="{75EFFDB0-71BD-41F1-89BB-EA88E9742683}"/>
    <cellStyle name="Normal 2 4 2 4 3 9" xfId="19094" xr:uid="{7A8758EC-F1DE-4049-982B-5CEF97FAC0D5}"/>
    <cellStyle name="Normal 2 4 2 4 4" xfId="780" xr:uid="{00000000-0005-0000-0000-0000730F0000}"/>
    <cellStyle name="Normal 2 4 2 4 4 2" xfId="3019" xr:uid="{00000000-0005-0000-0000-0000740F0000}"/>
    <cellStyle name="Normal 2 4 2 4 4 2 2" xfId="7241" xr:uid="{00000000-0005-0000-0000-0000750F0000}"/>
    <cellStyle name="Normal 2 4 2 4 4 2 2 2" xfId="25867" xr:uid="{CE14496C-AF1D-41E6-B540-82F87D211F92}"/>
    <cellStyle name="Normal 2 4 2 4 4 2 2 3" xfId="34314" xr:uid="{7946DF3D-03C0-442F-B722-EE7103B2FED0}"/>
    <cellStyle name="Normal 2 4 2 4 4 2 2 4" xfId="42761" xr:uid="{7F1C466D-0D25-4FA8-8910-4777559795A7}"/>
    <cellStyle name="Normal 2 4 2 4 4 2 2 5" xfId="16567" xr:uid="{D2EA5819-D797-4262-8DDB-201428F33DA3}"/>
    <cellStyle name="Normal 2 4 2 4 4 2 3" xfId="21650" xr:uid="{E4747B5F-7700-405B-B0E5-D15AF83AF554}"/>
    <cellStyle name="Normal 2 4 2 4 4 2 4" xfId="30097" xr:uid="{69174E4F-3E3F-44E6-8E5D-22CED6959838}"/>
    <cellStyle name="Normal 2 4 2 4 4 2 5" xfId="38544" xr:uid="{F963A7DE-FC6E-44B2-B07D-5714F6864951}"/>
    <cellStyle name="Normal 2 4 2 4 4 2 6" xfId="12350" xr:uid="{835D95CE-B4B6-4974-AD7E-D05872B18AE9}"/>
    <cellStyle name="Normal 2 4 2 4 4 3" xfId="5096" xr:uid="{00000000-0005-0000-0000-0000760F0000}"/>
    <cellStyle name="Normal 2 4 2 4 4 3 2" xfId="23722" xr:uid="{07B00DFC-7F4C-4D75-B406-31FFBB88D234}"/>
    <cellStyle name="Normal 2 4 2 4 4 3 3" xfId="32169" xr:uid="{3F071C53-D6FA-4C3E-8C83-D3A03AC174B3}"/>
    <cellStyle name="Normal 2 4 2 4 4 3 4" xfId="40616" xr:uid="{64816B75-A6F1-4033-A56B-92EC735C693B}"/>
    <cellStyle name="Normal 2 4 2 4 4 3 5" xfId="14422" xr:uid="{DD387C70-34B8-4993-AB9C-B527BE3B9B58}"/>
    <cellStyle name="Normal 2 4 2 4 4 4" xfId="9237" xr:uid="{FF4B133D-A40B-4895-9E3D-E727B18E66C8}"/>
    <cellStyle name="Normal 2 4 2 4 4 4 2" xfId="18553" xr:uid="{9A20DBE8-EEA7-4529-99C2-5A73C7ADDF33}"/>
    <cellStyle name="Normal 2 4 2 4 4 5" xfId="19505" xr:uid="{468FE47F-AC79-4C40-9CD2-3AAF44ACD21F}"/>
    <cellStyle name="Normal 2 4 2 4 4 6" xfId="27952" xr:uid="{5BC7AB17-58EC-4A3C-84B2-251778587EC4}"/>
    <cellStyle name="Normal 2 4 2 4 4 7" xfId="36399" xr:uid="{7A35CB91-F17A-4038-B8E2-AAA097E3A0B7}"/>
    <cellStyle name="Normal 2 4 2 4 4 8" xfId="10205" xr:uid="{6AF7F456-F1FE-47D0-9CC2-D5F3019D8B59}"/>
    <cellStyle name="Normal 2 4 2 4 5" xfId="1202" xr:uid="{00000000-0005-0000-0000-0000770F0000}"/>
    <cellStyle name="Normal 2 4 2 4 5 2" xfId="3432" xr:uid="{00000000-0005-0000-0000-0000780F0000}"/>
    <cellStyle name="Normal 2 4 2 4 5 2 2" xfId="7654" xr:uid="{00000000-0005-0000-0000-0000790F0000}"/>
    <cellStyle name="Normal 2 4 2 4 5 2 2 2" xfId="26280" xr:uid="{0A37F4EC-2C87-4233-BA00-D6E85899B72B}"/>
    <cellStyle name="Normal 2 4 2 4 5 2 2 3" xfId="34727" xr:uid="{D4A5693D-3A57-4126-949A-3BCB9AC0FA98}"/>
    <cellStyle name="Normal 2 4 2 4 5 2 2 4" xfId="43174" xr:uid="{085ED2A6-4E2C-4ED9-B82E-782D26C4B18F}"/>
    <cellStyle name="Normal 2 4 2 4 5 2 2 5" xfId="16980" xr:uid="{806A16AF-BE6F-40D7-94C8-03179583882A}"/>
    <cellStyle name="Normal 2 4 2 4 5 2 3" xfId="22063" xr:uid="{578C524E-A340-480B-B1C7-E1D83EF22598}"/>
    <cellStyle name="Normal 2 4 2 4 5 2 4" xfId="30510" xr:uid="{27AE0DF9-B3AB-4527-9C81-845E55CD0EEF}"/>
    <cellStyle name="Normal 2 4 2 4 5 2 5" xfId="38957" xr:uid="{DB1B129B-E273-411B-B716-019D879800F5}"/>
    <cellStyle name="Normal 2 4 2 4 5 2 6" xfId="12763" xr:uid="{71CDA381-83D3-4AB0-8B51-1FC3832533EB}"/>
    <cellStyle name="Normal 2 4 2 4 5 3" xfId="5509" xr:uid="{00000000-0005-0000-0000-00007A0F0000}"/>
    <cellStyle name="Normal 2 4 2 4 5 3 2" xfId="24135" xr:uid="{5C2F0681-B6CE-407E-9BE0-7B3AAD26CDC6}"/>
    <cellStyle name="Normal 2 4 2 4 5 3 3" xfId="32582" xr:uid="{80A06683-7F6F-4820-AA18-914098F80C31}"/>
    <cellStyle name="Normal 2 4 2 4 5 3 4" xfId="41029" xr:uid="{83B2B1A2-D6F5-488C-AC00-95BA32D0FBDE}"/>
    <cellStyle name="Normal 2 4 2 4 5 3 5" xfId="14835" xr:uid="{536CC578-1618-469A-B550-3AF9155791E8}"/>
    <cellStyle name="Normal 2 4 2 4 5 4" xfId="19918" xr:uid="{819CC8DE-E395-4775-AF80-1C0745D85A8F}"/>
    <cellStyle name="Normal 2 4 2 4 5 5" xfId="28365" xr:uid="{05F9C8C2-B5FC-408F-8753-5766E6F85985}"/>
    <cellStyle name="Normal 2 4 2 4 5 6" xfId="36812" xr:uid="{A9D95650-21DF-4DC4-A5F9-EE34985E5C0D}"/>
    <cellStyle name="Normal 2 4 2 4 5 7" xfId="10618" xr:uid="{6CF4C894-9B44-4A35-BC9C-8120BD473C8D}"/>
    <cellStyle name="Normal 2 4 2 4 6" xfId="1615" xr:uid="{00000000-0005-0000-0000-00007B0F0000}"/>
    <cellStyle name="Normal 2 4 2 4 6 2" xfId="3845" xr:uid="{00000000-0005-0000-0000-00007C0F0000}"/>
    <cellStyle name="Normal 2 4 2 4 6 2 2" xfId="8067" xr:uid="{00000000-0005-0000-0000-00007D0F0000}"/>
    <cellStyle name="Normal 2 4 2 4 6 2 2 2" xfId="26693" xr:uid="{8A1B35AA-07D5-4517-BCD3-17E888FCE1E8}"/>
    <cellStyle name="Normal 2 4 2 4 6 2 2 3" xfId="35140" xr:uid="{93F26572-D8FD-4F3F-B171-95341583228B}"/>
    <cellStyle name="Normal 2 4 2 4 6 2 2 4" xfId="43587" xr:uid="{7F629E40-4F73-468E-AF8E-A4518BBC961D}"/>
    <cellStyle name="Normal 2 4 2 4 6 2 2 5" xfId="17393" xr:uid="{DF7902E1-5992-465C-A7D4-67BE14ACFA6A}"/>
    <cellStyle name="Normal 2 4 2 4 6 2 3" xfId="22476" xr:uid="{8A431C5F-BC88-439B-92F2-19970CB940BE}"/>
    <cellStyle name="Normal 2 4 2 4 6 2 4" xfId="30923" xr:uid="{68152C2A-F46D-492C-8444-787B2922581D}"/>
    <cellStyle name="Normal 2 4 2 4 6 2 5" xfId="39370" xr:uid="{99E72769-AD15-41BE-858A-1C4795E1179F}"/>
    <cellStyle name="Normal 2 4 2 4 6 2 6" xfId="13176" xr:uid="{9441645E-F4C3-4BB7-874F-1CF958B8C34B}"/>
    <cellStyle name="Normal 2 4 2 4 6 3" xfId="5922" xr:uid="{00000000-0005-0000-0000-00007E0F0000}"/>
    <cellStyle name="Normal 2 4 2 4 6 3 2" xfId="24548" xr:uid="{F0C73E2C-30E8-4003-BE7A-BE39069FC22D}"/>
    <cellStyle name="Normal 2 4 2 4 6 3 3" xfId="32995" xr:uid="{1131016F-F39B-4D03-AF39-DE5073DCACC7}"/>
    <cellStyle name="Normal 2 4 2 4 6 3 4" xfId="41442" xr:uid="{F3946E39-D10C-425F-8174-E898136D9397}"/>
    <cellStyle name="Normal 2 4 2 4 6 3 5" xfId="15248" xr:uid="{D4408801-5569-40E3-BEB4-82F529553BFC}"/>
    <cellStyle name="Normal 2 4 2 4 6 4" xfId="20331" xr:uid="{F5AC47A3-A2DE-4A50-ABBD-7628326940C1}"/>
    <cellStyle name="Normal 2 4 2 4 6 5" xfId="28778" xr:uid="{064829B0-5C82-4939-BFAE-47437482725D}"/>
    <cellStyle name="Normal 2 4 2 4 6 6" xfId="37225" xr:uid="{56CE7634-3998-4D3E-8C91-B3857AE55C06}"/>
    <cellStyle name="Normal 2 4 2 4 6 7" xfId="11031" xr:uid="{01D5C880-DD54-4437-8C27-DCBE3D42A92C}"/>
    <cellStyle name="Normal 2 4 2 4 7" xfId="2029" xr:uid="{00000000-0005-0000-0000-00007F0F0000}"/>
    <cellStyle name="Normal 2 4 2 4 7 2" xfId="4258" xr:uid="{00000000-0005-0000-0000-0000800F0000}"/>
    <cellStyle name="Normal 2 4 2 4 7 2 2" xfId="8480" xr:uid="{00000000-0005-0000-0000-0000810F0000}"/>
    <cellStyle name="Normal 2 4 2 4 7 2 2 2" xfId="27106" xr:uid="{2020B128-D2EC-4B64-9D42-9FD1875DBD9D}"/>
    <cellStyle name="Normal 2 4 2 4 7 2 2 3" xfId="35553" xr:uid="{8096B91E-0009-42FA-B9C2-03316C0F7B48}"/>
    <cellStyle name="Normal 2 4 2 4 7 2 2 4" xfId="44000" xr:uid="{1A6A2A2A-4A8F-4C50-8C36-4CD95E4217D8}"/>
    <cellStyle name="Normal 2 4 2 4 7 2 2 5" xfId="17806" xr:uid="{1695B167-66F8-4893-996B-52EDC57BCCC5}"/>
    <cellStyle name="Normal 2 4 2 4 7 2 3" xfId="22889" xr:uid="{AFEF1A4D-EB33-4462-82B7-B665CB5BCE56}"/>
    <cellStyle name="Normal 2 4 2 4 7 2 4" xfId="31336" xr:uid="{33DD3EC8-7948-4C70-8041-171949BA7C8D}"/>
    <cellStyle name="Normal 2 4 2 4 7 2 5" xfId="39783" xr:uid="{1B2F8D51-4A32-4674-B840-1448BE19F542}"/>
    <cellStyle name="Normal 2 4 2 4 7 2 6" xfId="13589" xr:uid="{DDBD6D23-745B-40EB-8BB4-E99CB5EAE7C6}"/>
    <cellStyle name="Normal 2 4 2 4 7 3" xfId="6335" xr:uid="{00000000-0005-0000-0000-0000820F0000}"/>
    <cellStyle name="Normal 2 4 2 4 7 3 2" xfId="24961" xr:uid="{BBE19E58-7B23-4818-BD2E-E329968D254B}"/>
    <cellStyle name="Normal 2 4 2 4 7 3 3" xfId="33408" xr:uid="{22D7C6C0-3516-4757-BFD7-F3007B88673B}"/>
    <cellStyle name="Normal 2 4 2 4 7 3 4" xfId="41855" xr:uid="{57A66904-EDEC-42C9-9675-DE326F21416C}"/>
    <cellStyle name="Normal 2 4 2 4 7 3 5" xfId="15661" xr:uid="{667C7833-70B7-43BB-BB33-7ACB58BDEE85}"/>
    <cellStyle name="Normal 2 4 2 4 7 4" xfId="20744" xr:uid="{BCCE1E1B-ABC5-4903-860A-EC6C067B4179}"/>
    <cellStyle name="Normal 2 4 2 4 7 5" xfId="29191" xr:uid="{D818888A-47A0-4E80-B77E-25735134A2A8}"/>
    <cellStyle name="Normal 2 4 2 4 7 6" xfId="37638" xr:uid="{6A20AD94-99FB-4332-A336-9F1A3D8FAAAE}"/>
    <cellStyle name="Normal 2 4 2 4 7 7" xfId="11444" xr:uid="{457E4E04-6744-4C79-81F7-1A33F533551A}"/>
    <cellStyle name="Normal 2 4 2 4 8" xfId="2465" xr:uid="{00000000-0005-0000-0000-0000830F0000}"/>
    <cellStyle name="Normal 2 4 2 4 8 2" xfId="6748" xr:uid="{00000000-0005-0000-0000-0000840F0000}"/>
    <cellStyle name="Normal 2 4 2 4 8 2 2" xfId="25374" xr:uid="{23E0F4F4-E917-4AAA-BC43-B3CC46C6788C}"/>
    <cellStyle name="Normal 2 4 2 4 8 2 3" xfId="33821" xr:uid="{61A497EE-4E3B-4435-AE9C-4B8750CDCB76}"/>
    <cellStyle name="Normal 2 4 2 4 8 2 4" xfId="42268" xr:uid="{9A850BC5-BC78-4BF3-B18A-7A5163ABD5A0}"/>
    <cellStyle name="Normal 2 4 2 4 8 2 5" xfId="16074" xr:uid="{2BCDB656-25B3-4372-B241-41ED99D2659B}"/>
    <cellStyle name="Normal 2 4 2 4 8 3" xfId="21157" xr:uid="{2A7B9475-A050-4A46-A44A-2F6786C9D7B6}"/>
    <cellStyle name="Normal 2 4 2 4 8 4" xfId="29604" xr:uid="{11F759AB-C3B3-4576-AA74-75E955361409}"/>
    <cellStyle name="Normal 2 4 2 4 8 5" xfId="38051" xr:uid="{01575994-0546-4F0B-AA93-F5D41F9D8FF9}"/>
    <cellStyle name="Normal 2 4 2 4 8 6" xfId="11857" xr:uid="{C387AB35-0FC3-4ABE-9D48-4904008D9986}"/>
    <cellStyle name="Normal 2 4 2 4 9" xfId="4682" xr:uid="{00000000-0005-0000-0000-0000850F0000}"/>
    <cellStyle name="Normal 2 4 2 4 9 2" xfId="23308" xr:uid="{4CAFFF15-4182-4015-B2B3-015C2A882B4C}"/>
    <cellStyle name="Normal 2 4 2 4 9 3" xfId="31755" xr:uid="{45084E95-C534-431F-B82D-CA39D48F0400}"/>
    <cellStyle name="Normal 2 4 2 4 9 4" xfId="40202" xr:uid="{733C7476-FB32-44FC-A64A-FE8A4EEA483F}"/>
    <cellStyle name="Normal 2 4 2 4 9 5" xfId="14008" xr:uid="{81DFFC75-61EF-406F-8CFF-A95BBBA20C51}"/>
    <cellStyle name="Normal 2 4 2 5" xfId="293" xr:uid="{00000000-0005-0000-0000-0000860F0000}"/>
    <cellStyle name="Normal 2 4 2 5 10" xfId="19095" xr:uid="{52BAC60C-D606-47EF-80E3-D5A6854E5500}"/>
    <cellStyle name="Normal 2 4 2 5 11" xfId="27542" xr:uid="{EF8A4645-2BEB-4A74-ADBB-D32D8B60DDAA}"/>
    <cellStyle name="Normal 2 4 2 5 12" xfId="35989" xr:uid="{ACDA327E-FC80-4B9E-A086-DF009797D97A}"/>
    <cellStyle name="Normal 2 4 2 5 13" xfId="9795" xr:uid="{54427897-E3F9-4089-BFF3-14CD69C03A8F}"/>
    <cellStyle name="Normal 2 4 2 5 2" xfId="294" xr:uid="{00000000-0005-0000-0000-0000870F0000}"/>
    <cellStyle name="Normal 2 4 2 5 2 10" xfId="27543" xr:uid="{C5522111-A9A2-496F-830E-DEEFA88B2A07}"/>
    <cellStyle name="Normal 2 4 2 5 2 11" xfId="35990" xr:uid="{9D718A44-A61A-47CD-8F15-9AB49B050285}"/>
    <cellStyle name="Normal 2 4 2 5 2 12" xfId="9796" xr:uid="{6BFCDD9E-8C55-40BD-9C11-5BE03FC44E12}"/>
    <cellStyle name="Normal 2 4 2 5 2 2" xfId="785" xr:uid="{00000000-0005-0000-0000-0000880F0000}"/>
    <cellStyle name="Normal 2 4 2 5 2 2 2" xfId="3024" xr:uid="{00000000-0005-0000-0000-0000890F0000}"/>
    <cellStyle name="Normal 2 4 2 5 2 2 2 2" xfId="7246" xr:uid="{00000000-0005-0000-0000-00008A0F0000}"/>
    <cellStyle name="Normal 2 4 2 5 2 2 2 2 2" xfId="25872" xr:uid="{B2537E0A-43C6-49A8-973B-8B2C79F030ED}"/>
    <cellStyle name="Normal 2 4 2 5 2 2 2 2 3" xfId="34319" xr:uid="{11A181F6-858A-411B-9EA9-CCA7690B8CD4}"/>
    <cellStyle name="Normal 2 4 2 5 2 2 2 2 4" xfId="42766" xr:uid="{DE81799E-AA7D-49BC-B459-0B4335A58F6D}"/>
    <cellStyle name="Normal 2 4 2 5 2 2 2 2 5" xfId="16572" xr:uid="{675A4C99-666D-4532-B371-DACD44C91AE9}"/>
    <cellStyle name="Normal 2 4 2 5 2 2 2 3" xfId="21655" xr:uid="{FC532004-2226-42DC-A802-E6BB0FD8ECEB}"/>
    <cellStyle name="Normal 2 4 2 5 2 2 2 4" xfId="30102" xr:uid="{35D2232E-E792-47A7-8CF6-65E351D065C4}"/>
    <cellStyle name="Normal 2 4 2 5 2 2 2 5" xfId="38549" xr:uid="{AA9EFB3C-7EDD-4CF4-AF76-D0C3DF2E7B9D}"/>
    <cellStyle name="Normal 2 4 2 5 2 2 2 6" xfId="12355" xr:uid="{999554C6-10B6-4B0D-9DFD-49A41786B86A}"/>
    <cellStyle name="Normal 2 4 2 5 2 2 3" xfId="5101" xr:uid="{00000000-0005-0000-0000-00008B0F0000}"/>
    <cellStyle name="Normal 2 4 2 5 2 2 3 2" xfId="23727" xr:uid="{8F900866-8583-4D6A-A605-AF1F5FACD906}"/>
    <cellStyle name="Normal 2 4 2 5 2 2 3 3" xfId="32174" xr:uid="{C542198A-AFCB-4EF5-AED4-0DE4584776BF}"/>
    <cellStyle name="Normal 2 4 2 5 2 2 3 4" xfId="40621" xr:uid="{40EFD04A-87E1-4DD6-9D1F-4DDE7C6C5990}"/>
    <cellStyle name="Normal 2 4 2 5 2 2 3 5" xfId="14427" xr:uid="{62E9A932-2B5B-4DAF-90CE-835F349263F9}"/>
    <cellStyle name="Normal 2 4 2 5 2 2 4" xfId="9492" xr:uid="{07DC9204-2F52-408E-80EE-617A106DD9FD}"/>
    <cellStyle name="Normal 2 4 2 5 2 2 4 2" xfId="18808" xr:uid="{F1DCB8B2-9BB2-40D0-92E8-1C57A4E3B4F0}"/>
    <cellStyle name="Normal 2 4 2 5 2 2 5" xfId="19510" xr:uid="{FE9902B9-44E6-4131-B7FD-A93D59039BC3}"/>
    <cellStyle name="Normal 2 4 2 5 2 2 6" xfId="27957" xr:uid="{33E717C8-D7D7-4556-9AFF-3DBBBB1400A3}"/>
    <cellStyle name="Normal 2 4 2 5 2 2 7" xfId="36404" xr:uid="{EBD867DB-ABA4-4DE2-9D29-B035706FEDDA}"/>
    <cellStyle name="Normal 2 4 2 5 2 2 8" xfId="10210" xr:uid="{AD7CFB6F-78CB-43C8-A28B-DFC6ECE897CB}"/>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2 2 2" xfId="26285" xr:uid="{8953C335-1C90-475A-8058-9D20F06962D8}"/>
    <cellStyle name="Normal 2 4 2 5 2 3 2 2 3" xfId="34732" xr:uid="{02A45807-4893-4EFF-BC4E-F3128E0BBEAF}"/>
    <cellStyle name="Normal 2 4 2 5 2 3 2 2 4" xfId="43179" xr:uid="{7D68A7CD-C0C0-42AB-A195-32DBF50A3121}"/>
    <cellStyle name="Normal 2 4 2 5 2 3 2 2 5" xfId="16985" xr:uid="{9EA32F34-BFC2-45F1-A5BE-3C06A0773517}"/>
    <cellStyle name="Normal 2 4 2 5 2 3 2 3" xfId="22068" xr:uid="{78CD61E0-DD94-4D97-A0ED-09B0244CFDB9}"/>
    <cellStyle name="Normal 2 4 2 5 2 3 2 4" xfId="30515" xr:uid="{31D837FB-4284-46A4-A0A6-AE615F73D511}"/>
    <cellStyle name="Normal 2 4 2 5 2 3 2 5" xfId="38962" xr:uid="{B5585E11-5C45-4D6F-A746-BCABBF313B81}"/>
    <cellStyle name="Normal 2 4 2 5 2 3 2 6" xfId="12768" xr:uid="{5C572A53-360A-471C-86FB-C51A48235CDB}"/>
    <cellStyle name="Normal 2 4 2 5 2 3 3" xfId="5514" xr:uid="{00000000-0005-0000-0000-00008F0F0000}"/>
    <cellStyle name="Normal 2 4 2 5 2 3 3 2" xfId="24140" xr:uid="{2972A82B-E980-4DF7-BBFB-4FD98B194F2B}"/>
    <cellStyle name="Normal 2 4 2 5 2 3 3 3" xfId="32587" xr:uid="{205AFBFE-6267-4A72-9939-7E6C29F41ABB}"/>
    <cellStyle name="Normal 2 4 2 5 2 3 3 4" xfId="41034" xr:uid="{FD6F5126-3008-45F1-91E6-7C9DB413CCA4}"/>
    <cellStyle name="Normal 2 4 2 5 2 3 3 5" xfId="14840" xr:uid="{6EC39860-9DC9-4C8C-9086-C9125AD50952}"/>
    <cellStyle name="Normal 2 4 2 5 2 3 4" xfId="19923" xr:uid="{C16770F9-9555-4FA7-8927-9C865E41C94F}"/>
    <cellStyle name="Normal 2 4 2 5 2 3 5" xfId="28370" xr:uid="{3C34F002-A8AB-40B4-8871-5955FE72D0E4}"/>
    <cellStyle name="Normal 2 4 2 5 2 3 6" xfId="36817" xr:uid="{9703E0D4-21A7-4162-A3B3-6B9C14FED2EF}"/>
    <cellStyle name="Normal 2 4 2 5 2 3 7" xfId="10623" xr:uid="{0CFD06C2-872B-4122-8A6D-F7733B7F93CD}"/>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2 2 2" xfId="26698" xr:uid="{7656D742-CC37-4F8D-BC62-413FF0DA860E}"/>
    <cellStyle name="Normal 2 4 2 5 2 4 2 2 3" xfId="35145" xr:uid="{80D89D9E-6C98-40DE-8D1C-90D37D794ACD}"/>
    <cellStyle name="Normal 2 4 2 5 2 4 2 2 4" xfId="43592" xr:uid="{B77F8776-D152-4F55-BB7C-EF99CDA00437}"/>
    <cellStyle name="Normal 2 4 2 5 2 4 2 2 5" xfId="17398" xr:uid="{A53173BD-D578-4DBB-83FA-D4D0DBD10117}"/>
    <cellStyle name="Normal 2 4 2 5 2 4 2 3" xfId="22481" xr:uid="{9FB11F27-1E68-4D1F-ADA4-388F5753F040}"/>
    <cellStyle name="Normal 2 4 2 5 2 4 2 4" xfId="30928" xr:uid="{25DCBFEF-A4A1-4412-BC67-6ADC0E79EA9F}"/>
    <cellStyle name="Normal 2 4 2 5 2 4 2 5" xfId="39375" xr:uid="{71FD14F4-948F-40A2-BC4F-95287944C426}"/>
    <cellStyle name="Normal 2 4 2 5 2 4 2 6" xfId="13181" xr:uid="{7BB3413D-B777-4DA4-A65F-20B1099D9E03}"/>
    <cellStyle name="Normal 2 4 2 5 2 4 3" xfId="5927" xr:uid="{00000000-0005-0000-0000-0000930F0000}"/>
    <cellStyle name="Normal 2 4 2 5 2 4 3 2" xfId="24553" xr:uid="{1261E086-BA24-4B93-AE2C-E1A163922C2C}"/>
    <cellStyle name="Normal 2 4 2 5 2 4 3 3" xfId="33000" xr:uid="{1F86BE84-13D9-4B72-AFC5-37CED9784663}"/>
    <cellStyle name="Normal 2 4 2 5 2 4 3 4" xfId="41447" xr:uid="{A13B3132-2C7D-46C2-B9B3-8EC9111B33DC}"/>
    <cellStyle name="Normal 2 4 2 5 2 4 3 5" xfId="15253" xr:uid="{4D3AA406-9BB6-4B1D-AD8A-D571D5E7C429}"/>
    <cellStyle name="Normal 2 4 2 5 2 4 4" xfId="20336" xr:uid="{525FA6CC-5260-478F-BDA3-9785DF7E2649}"/>
    <cellStyle name="Normal 2 4 2 5 2 4 5" xfId="28783" xr:uid="{2A51CD00-30DE-4897-AB2E-6DB033F2824B}"/>
    <cellStyle name="Normal 2 4 2 5 2 4 6" xfId="37230" xr:uid="{2C899738-D81C-4FDE-8591-D704D3A22CB2}"/>
    <cellStyle name="Normal 2 4 2 5 2 4 7" xfId="11036" xr:uid="{DF391DBF-299F-42A9-A6B0-B0DD4777E342}"/>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2 2 2" xfId="27111" xr:uid="{A4663684-BAA6-42E5-B7B4-4B2856552850}"/>
    <cellStyle name="Normal 2 4 2 5 2 5 2 2 3" xfId="35558" xr:uid="{F69C1D02-E08A-481D-A30A-574210EEF2CB}"/>
    <cellStyle name="Normal 2 4 2 5 2 5 2 2 4" xfId="44005" xr:uid="{71CFB077-AAE8-4E2E-8EC2-877064E74D48}"/>
    <cellStyle name="Normal 2 4 2 5 2 5 2 2 5" xfId="17811" xr:uid="{15D82732-7C42-423C-A507-94AD3659FC82}"/>
    <cellStyle name="Normal 2 4 2 5 2 5 2 3" xfId="22894" xr:uid="{7D313D4A-5F99-49FD-A971-BDC58F8D072D}"/>
    <cellStyle name="Normal 2 4 2 5 2 5 2 4" xfId="31341" xr:uid="{EB983657-6B7D-4358-AEE5-E0A8B183F72F}"/>
    <cellStyle name="Normal 2 4 2 5 2 5 2 5" xfId="39788" xr:uid="{95BED408-B117-4616-8D6F-D4AD147C5490}"/>
    <cellStyle name="Normal 2 4 2 5 2 5 2 6" xfId="13594" xr:uid="{567E2D73-4121-4B5C-90AF-A44379DEFA75}"/>
    <cellStyle name="Normal 2 4 2 5 2 5 3" xfId="6340" xr:uid="{00000000-0005-0000-0000-0000970F0000}"/>
    <cellStyle name="Normal 2 4 2 5 2 5 3 2" xfId="24966" xr:uid="{AC3DCD16-8285-4BC3-9D67-C60ED69F4DDE}"/>
    <cellStyle name="Normal 2 4 2 5 2 5 3 3" xfId="33413" xr:uid="{836A8753-6A83-4758-A005-43C273A4616F}"/>
    <cellStyle name="Normal 2 4 2 5 2 5 3 4" xfId="41860" xr:uid="{840C4D8C-1E25-4A4B-B97A-CE8027CA38DD}"/>
    <cellStyle name="Normal 2 4 2 5 2 5 3 5" xfId="15666" xr:uid="{B1152776-D3BF-4829-AAF1-C9EA0A6F2797}"/>
    <cellStyle name="Normal 2 4 2 5 2 5 4" xfId="20749" xr:uid="{4EC6E982-CB20-489F-B7D8-5F6DD96E646F}"/>
    <cellStyle name="Normal 2 4 2 5 2 5 5" xfId="29196" xr:uid="{802688AB-D574-47D0-AAAE-D84D7D0415EE}"/>
    <cellStyle name="Normal 2 4 2 5 2 5 6" xfId="37643" xr:uid="{691A592C-946E-47E1-808B-6509B04EE83B}"/>
    <cellStyle name="Normal 2 4 2 5 2 5 7" xfId="11449" xr:uid="{D83126D6-6634-4967-94D6-936E8ED2B8E8}"/>
    <cellStyle name="Normal 2 4 2 5 2 6" xfId="2470" xr:uid="{00000000-0005-0000-0000-0000980F0000}"/>
    <cellStyle name="Normal 2 4 2 5 2 6 2" xfId="6753" xr:uid="{00000000-0005-0000-0000-0000990F0000}"/>
    <cellStyle name="Normal 2 4 2 5 2 6 2 2" xfId="25379" xr:uid="{1C8CB13F-5693-4BBC-A004-99511068E443}"/>
    <cellStyle name="Normal 2 4 2 5 2 6 2 3" xfId="33826" xr:uid="{937F244A-AA3C-42BD-9CCB-994D84DDCCAB}"/>
    <cellStyle name="Normal 2 4 2 5 2 6 2 4" xfId="42273" xr:uid="{F5EACD71-768C-49E6-8597-0FEBF8FDDD51}"/>
    <cellStyle name="Normal 2 4 2 5 2 6 2 5" xfId="16079" xr:uid="{E142F71F-80BA-466D-B031-C0C2E4C2612A}"/>
    <cellStyle name="Normal 2 4 2 5 2 6 3" xfId="21162" xr:uid="{692849E2-D43E-44E2-9823-2693B480B892}"/>
    <cellStyle name="Normal 2 4 2 5 2 6 4" xfId="29609" xr:uid="{8167C100-7DF9-4FB2-A0F8-634FCA900FA0}"/>
    <cellStyle name="Normal 2 4 2 5 2 6 5" xfId="38056" xr:uid="{C84D4F00-17B7-4D77-8675-54D23DE007D4}"/>
    <cellStyle name="Normal 2 4 2 5 2 6 6" xfId="11862" xr:uid="{C066BA00-F5B7-4635-AB5E-CE59027E8EB8}"/>
    <cellStyle name="Normal 2 4 2 5 2 7" xfId="4687" xr:uid="{00000000-0005-0000-0000-00009A0F0000}"/>
    <cellStyle name="Normal 2 4 2 5 2 7 2" xfId="23313" xr:uid="{A8A7D95A-5CA1-4EA6-8623-01EEE3BE386D}"/>
    <cellStyle name="Normal 2 4 2 5 2 7 3" xfId="31760" xr:uid="{47434F3A-4E63-4314-B0D0-5FBCAF25B094}"/>
    <cellStyle name="Normal 2 4 2 5 2 7 4" xfId="40207" xr:uid="{74E25012-3CAA-44B8-A0CE-D45CEE700E08}"/>
    <cellStyle name="Normal 2 4 2 5 2 7 5" xfId="14013" xr:uid="{B9411FF0-62F3-4D72-8929-AD542334D652}"/>
    <cellStyle name="Normal 2 4 2 5 2 8" xfId="9067" xr:uid="{89D5CB5A-ADE0-44B8-BC1E-FDE984B579C9}"/>
    <cellStyle name="Normal 2 4 2 5 2 8 2" xfId="18391" xr:uid="{2688676F-9CED-4A52-9C2E-930DA4413D9E}"/>
    <cellStyle name="Normal 2 4 2 5 2 9" xfId="19096" xr:uid="{7775AC39-44DA-4464-A816-DAE0DE9ED5AD}"/>
    <cellStyle name="Normal 2 4 2 5 3" xfId="784" xr:uid="{00000000-0005-0000-0000-00009B0F0000}"/>
    <cellStyle name="Normal 2 4 2 5 3 2" xfId="3023" xr:uid="{00000000-0005-0000-0000-00009C0F0000}"/>
    <cellStyle name="Normal 2 4 2 5 3 2 2" xfId="7245" xr:uid="{00000000-0005-0000-0000-00009D0F0000}"/>
    <cellStyle name="Normal 2 4 2 5 3 2 2 2" xfId="25871" xr:uid="{62F1CCC0-AB31-4D65-8139-67F4AF5C614E}"/>
    <cellStyle name="Normal 2 4 2 5 3 2 2 3" xfId="34318" xr:uid="{8F15591A-0693-46F5-B70A-498EF17BB431}"/>
    <cellStyle name="Normal 2 4 2 5 3 2 2 4" xfId="42765" xr:uid="{CC8B06AA-B7DE-489C-9D6A-A31E8E35AC04}"/>
    <cellStyle name="Normal 2 4 2 5 3 2 2 5" xfId="16571" xr:uid="{A6302DA1-2284-48EA-93BF-4A69CC3FE04A}"/>
    <cellStyle name="Normal 2 4 2 5 3 2 3" xfId="21654" xr:uid="{B8B096AF-94F1-4BF0-BB6F-7640F8CE89D7}"/>
    <cellStyle name="Normal 2 4 2 5 3 2 4" xfId="30101" xr:uid="{5BC1E523-DECC-42CD-B9E8-AA56B7CF04A2}"/>
    <cellStyle name="Normal 2 4 2 5 3 2 5" xfId="38548" xr:uid="{9092069C-878F-4693-8B08-C613023C48D2}"/>
    <cellStyle name="Normal 2 4 2 5 3 2 6" xfId="12354" xr:uid="{4346B57D-9031-4EE6-83A2-5C4CC7956944}"/>
    <cellStyle name="Normal 2 4 2 5 3 3" xfId="5100" xr:uid="{00000000-0005-0000-0000-00009E0F0000}"/>
    <cellStyle name="Normal 2 4 2 5 3 3 2" xfId="23726" xr:uid="{EB988A0A-B049-43AB-B024-DFC3DBF422D6}"/>
    <cellStyle name="Normal 2 4 2 5 3 3 3" xfId="32173" xr:uid="{D65AF526-5640-418A-BFA4-58526A2F700D}"/>
    <cellStyle name="Normal 2 4 2 5 3 3 4" xfId="40620" xr:uid="{8B90A650-1187-4F8D-86E5-76868CBAB251}"/>
    <cellStyle name="Normal 2 4 2 5 3 3 5" xfId="14426" xr:uid="{8D8EF35C-7724-447A-B79D-3E51DB767D7D}"/>
    <cellStyle name="Normal 2 4 2 5 3 4" xfId="9285" xr:uid="{5DA39FB9-904E-46D3-8E24-58BF2F19DA5B}"/>
    <cellStyle name="Normal 2 4 2 5 3 4 2" xfId="18601" xr:uid="{79CF4EEC-5AB9-4BFF-85EC-AACFC95B8B0E}"/>
    <cellStyle name="Normal 2 4 2 5 3 5" xfId="19509" xr:uid="{3456EC07-15F0-46A8-B3C7-5ABDB5D8F24D}"/>
    <cellStyle name="Normal 2 4 2 5 3 6" xfId="27956" xr:uid="{10749269-D400-412E-9861-20A2EFF62EAE}"/>
    <cellStyle name="Normal 2 4 2 5 3 7" xfId="36403" xr:uid="{5DE4DBDE-4E90-4BBF-BBCD-436DD6C31E41}"/>
    <cellStyle name="Normal 2 4 2 5 3 8" xfId="10209" xr:uid="{82DC26B2-153A-46C8-B75C-BABD12908EC8}"/>
    <cellStyle name="Normal 2 4 2 5 4" xfId="1206" xr:uid="{00000000-0005-0000-0000-00009F0F0000}"/>
    <cellStyle name="Normal 2 4 2 5 4 2" xfId="3436" xr:uid="{00000000-0005-0000-0000-0000A00F0000}"/>
    <cellStyle name="Normal 2 4 2 5 4 2 2" xfId="7658" xr:uid="{00000000-0005-0000-0000-0000A10F0000}"/>
    <cellStyle name="Normal 2 4 2 5 4 2 2 2" xfId="26284" xr:uid="{85E090C5-32EF-40B9-B002-3FBF407A0641}"/>
    <cellStyle name="Normal 2 4 2 5 4 2 2 3" xfId="34731" xr:uid="{3F6EB89C-6CF7-42D6-BEDB-DD4782BBCD83}"/>
    <cellStyle name="Normal 2 4 2 5 4 2 2 4" xfId="43178" xr:uid="{B39EF1CC-6C2A-406B-8B08-07D75CD22A70}"/>
    <cellStyle name="Normal 2 4 2 5 4 2 2 5" xfId="16984" xr:uid="{40352DF9-1BE4-4163-9ABF-082D870C3DB5}"/>
    <cellStyle name="Normal 2 4 2 5 4 2 3" xfId="22067" xr:uid="{C57A7D57-C978-4B8E-A601-4EF2C740FA8F}"/>
    <cellStyle name="Normal 2 4 2 5 4 2 4" xfId="30514" xr:uid="{E3E0E39D-201D-41B3-985C-3B7DF7D5ACF4}"/>
    <cellStyle name="Normal 2 4 2 5 4 2 5" xfId="38961" xr:uid="{5EF09995-8C92-4714-B72D-B22492324668}"/>
    <cellStyle name="Normal 2 4 2 5 4 2 6" xfId="12767" xr:uid="{B722759B-D739-4462-BE68-56C058238F91}"/>
    <cellStyle name="Normal 2 4 2 5 4 3" xfId="5513" xr:uid="{00000000-0005-0000-0000-0000A20F0000}"/>
    <cellStyle name="Normal 2 4 2 5 4 3 2" xfId="24139" xr:uid="{370A3D30-16E9-4D3C-835A-6757DB07CC67}"/>
    <cellStyle name="Normal 2 4 2 5 4 3 3" xfId="32586" xr:uid="{47034139-CD72-4C3E-A304-9371568BE0E3}"/>
    <cellStyle name="Normal 2 4 2 5 4 3 4" xfId="41033" xr:uid="{786F5FF3-85B3-4842-A52B-E523B4A005B1}"/>
    <cellStyle name="Normal 2 4 2 5 4 3 5" xfId="14839" xr:uid="{4AA214B1-1DA9-48F0-8EE5-9FBE5A2F6F28}"/>
    <cellStyle name="Normal 2 4 2 5 4 4" xfId="19922" xr:uid="{994772A4-47A7-4731-9512-2BA180CB7E84}"/>
    <cellStyle name="Normal 2 4 2 5 4 5" xfId="28369" xr:uid="{3BF8A91A-1AE6-42E9-9EFB-0907BF827D2C}"/>
    <cellStyle name="Normal 2 4 2 5 4 6" xfId="36816" xr:uid="{C5E57C98-62B0-4EF4-983D-A2CB06F53267}"/>
    <cellStyle name="Normal 2 4 2 5 4 7" xfId="10622" xr:uid="{ADB75A64-D8EA-41F1-A408-290F181439F7}"/>
    <cellStyle name="Normal 2 4 2 5 5" xfId="1619" xr:uid="{00000000-0005-0000-0000-0000A30F0000}"/>
    <cellStyle name="Normal 2 4 2 5 5 2" xfId="3849" xr:uid="{00000000-0005-0000-0000-0000A40F0000}"/>
    <cellStyle name="Normal 2 4 2 5 5 2 2" xfId="8071" xr:uid="{00000000-0005-0000-0000-0000A50F0000}"/>
    <cellStyle name="Normal 2 4 2 5 5 2 2 2" xfId="26697" xr:uid="{0DFF3519-F7BB-447E-9608-536732934A82}"/>
    <cellStyle name="Normal 2 4 2 5 5 2 2 3" xfId="35144" xr:uid="{DB9A7D14-6989-4FC9-A977-FA9F51FE4A56}"/>
    <cellStyle name="Normal 2 4 2 5 5 2 2 4" xfId="43591" xr:uid="{EBD5CFFD-6728-4578-B21F-C791070AA090}"/>
    <cellStyle name="Normal 2 4 2 5 5 2 2 5" xfId="17397" xr:uid="{D3757963-3765-427E-8947-8B93139B6DB1}"/>
    <cellStyle name="Normal 2 4 2 5 5 2 3" xfId="22480" xr:uid="{FB002F50-0812-4F26-9E12-8CEDE0096A4B}"/>
    <cellStyle name="Normal 2 4 2 5 5 2 4" xfId="30927" xr:uid="{E9CC817D-D753-4ABA-98E7-9654EFF25ACC}"/>
    <cellStyle name="Normal 2 4 2 5 5 2 5" xfId="39374" xr:uid="{9BA9807A-E511-4F78-9682-631F8A2856EA}"/>
    <cellStyle name="Normal 2 4 2 5 5 2 6" xfId="13180" xr:uid="{D5AEE09A-10CA-4483-8FF8-34C83840C52E}"/>
    <cellStyle name="Normal 2 4 2 5 5 3" xfId="5926" xr:uid="{00000000-0005-0000-0000-0000A60F0000}"/>
    <cellStyle name="Normal 2 4 2 5 5 3 2" xfId="24552" xr:uid="{596DCA6C-171C-409E-A9AC-99F25A390A51}"/>
    <cellStyle name="Normal 2 4 2 5 5 3 3" xfId="32999" xr:uid="{5C28829D-31C7-484D-BE45-482813331914}"/>
    <cellStyle name="Normal 2 4 2 5 5 3 4" xfId="41446" xr:uid="{AA3764E8-B4C2-4A26-A914-FFEE452365BF}"/>
    <cellStyle name="Normal 2 4 2 5 5 3 5" xfId="15252" xr:uid="{05A4428B-F95C-4FE8-9CD9-51DA196E99AA}"/>
    <cellStyle name="Normal 2 4 2 5 5 4" xfId="20335" xr:uid="{54D84EC5-A15F-4B13-A7A8-30C12A4729F7}"/>
    <cellStyle name="Normal 2 4 2 5 5 5" xfId="28782" xr:uid="{D147C846-473F-4C54-9CEB-4D9F7ED65AF4}"/>
    <cellStyle name="Normal 2 4 2 5 5 6" xfId="37229" xr:uid="{B5DA3BC3-F5F4-43FF-B506-28E1302B06E4}"/>
    <cellStyle name="Normal 2 4 2 5 5 7" xfId="11035" xr:uid="{68014F21-2CFD-4D0E-94DA-4FF94C21E4F3}"/>
    <cellStyle name="Normal 2 4 2 5 6" xfId="2033" xr:uid="{00000000-0005-0000-0000-0000A70F0000}"/>
    <cellStyle name="Normal 2 4 2 5 6 2" xfId="4262" xr:uid="{00000000-0005-0000-0000-0000A80F0000}"/>
    <cellStyle name="Normal 2 4 2 5 6 2 2" xfId="8484" xr:uid="{00000000-0005-0000-0000-0000A90F0000}"/>
    <cellStyle name="Normal 2 4 2 5 6 2 2 2" xfId="27110" xr:uid="{B5970FBB-FE03-4D5A-AF60-F36E17566B35}"/>
    <cellStyle name="Normal 2 4 2 5 6 2 2 3" xfId="35557" xr:uid="{6BE33298-EB94-44D5-8AB8-85BCF8106BF8}"/>
    <cellStyle name="Normal 2 4 2 5 6 2 2 4" xfId="44004" xr:uid="{9CB6D2A2-6F07-440E-8AB1-11408DDD0A5F}"/>
    <cellStyle name="Normal 2 4 2 5 6 2 2 5" xfId="17810" xr:uid="{5FB0F241-F377-4616-B8AF-D052005BF1A6}"/>
    <cellStyle name="Normal 2 4 2 5 6 2 3" xfId="22893" xr:uid="{88164002-8D60-4F0A-B96B-AB9F9B059C16}"/>
    <cellStyle name="Normal 2 4 2 5 6 2 4" xfId="31340" xr:uid="{5069A6F5-06D3-4241-BBE6-B19CDCF53490}"/>
    <cellStyle name="Normal 2 4 2 5 6 2 5" xfId="39787" xr:uid="{02902CE3-FBEA-4018-8E82-94D1C2356B71}"/>
    <cellStyle name="Normal 2 4 2 5 6 2 6" xfId="13593" xr:uid="{0383C7A3-1284-4546-B0EE-456AEAAE234E}"/>
    <cellStyle name="Normal 2 4 2 5 6 3" xfId="6339" xr:uid="{00000000-0005-0000-0000-0000AA0F0000}"/>
    <cellStyle name="Normal 2 4 2 5 6 3 2" xfId="24965" xr:uid="{510AFA80-3107-4EE8-81CB-7B5F61D71732}"/>
    <cellStyle name="Normal 2 4 2 5 6 3 3" xfId="33412" xr:uid="{1721F97C-B96E-497C-B4C4-8833A053C477}"/>
    <cellStyle name="Normal 2 4 2 5 6 3 4" xfId="41859" xr:uid="{696E3050-824D-4AAC-AF85-0AE1954536CE}"/>
    <cellStyle name="Normal 2 4 2 5 6 3 5" xfId="15665" xr:uid="{B0EA2626-4E1E-42CA-A8DF-D330A9A395B8}"/>
    <cellStyle name="Normal 2 4 2 5 6 4" xfId="20748" xr:uid="{B4FBF0FF-654A-466F-A5AD-01E1775B2933}"/>
    <cellStyle name="Normal 2 4 2 5 6 5" xfId="29195" xr:uid="{3D70B6E5-52DE-43F2-A775-6459FC807189}"/>
    <cellStyle name="Normal 2 4 2 5 6 6" xfId="37642" xr:uid="{7D86EC18-104F-4598-AF75-02F0A6030724}"/>
    <cellStyle name="Normal 2 4 2 5 6 7" xfId="11448" xr:uid="{F6F8E50B-FA50-4BF1-85DF-1C5AE3C22DEE}"/>
    <cellStyle name="Normal 2 4 2 5 7" xfId="2469" xr:uid="{00000000-0005-0000-0000-0000AB0F0000}"/>
    <cellStyle name="Normal 2 4 2 5 7 2" xfId="6752" xr:uid="{00000000-0005-0000-0000-0000AC0F0000}"/>
    <cellStyle name="Normal 2 4 2 5 7 2 2" xfId="25378" xr:uid="{F33DAA40-9F46-435D-9FB9-D28CFA458F02}"/>
    <cellStyle name="Normal 2 4 2 5 7 2 3" xfId="33825" xr:uid="{B6E41D98-DD17-4CB6-BF23-F3CE79E31A06}"/>
    <cellStyle name="Normal 2 4 2 5 7 2 4" xfId="42272" xr:uid="{371BC471-8C62-412C-A585-8820315076C5}"/>
    <cellStyle name="Normal 2 4 2 5 7 2 5" xfId="16078" xr:uid="{F7768B64-6F2D-4864-8638-180D1FC37945}"/>
    <cellStyle name="Normal 2 4 2 5 7 3" xfId="21161" xr:uid="{6E8AD511-3F76-4AFB-A253-1212529F3B88}"/>
    <cellStyle name="Normal 2 4 2 5 7 4" xfId="29608" xr:uid="{F49AEB4B-A78E-49EC-84B9-F30971031DAA}"/>
    <cellStyle name="Normal 2 4 2 5 7 5" xfId="38055" xr:uid="{2B3E4529-B899-4B56-B70D-48A4488713ED}"/>
    <cellStyle name="Normal 2 4 2 5 7 6" xfId="11861" xr:uid="{100412B5-FD02-47FD-91A0-5120FFD889B5}"/>
    <cellStyle name="Normal 2 4 2 5 8" xfId="4686" xr:uid="{00000000-0005-0000-0000-0000AD0F0000}"/>
    <cellStyle name="Normal 2 4 2 5 8 2" xfId="23312" xr:uid="{135A8030-29C9-42FF-B2D0-321570D2441E}"/>
    <cellStyle name="Normal 2 4 2 5 8 3" xfId="31759" xr:uid="{73C10BFF-394D-4159-951D-98B7D60EDC7F}"/>
    <cellStyle name="Normal 2 4 2 5 8 4" xfId="40206" xr:uid="{EB5EFF13-55D9-46D7-B2B1-7A002BE8DEB2}"/>
    <cellStyle name="Normal 2 4 2 5 8 5" xfId="14012" xr:uid="{CB0254DD-804C-4440-880E-0F06A07D9967}"/>
    <cellStyle name="Normal 2 4 2 5 9" xfId="8860" xr:uid="{5FAFEFC0-3249-464B-9F12-2B1DA137C588}"/>
    <cellStyle name="Normal 2 4 2 5 9 2" xfId="18184" xr:uid="{6E78A630-7F37-4A33-AFEF-80ACA68A8D9B}"/>
    <cellStyle name="Normal 2 4 2 6" xfId="295" xr:uid="{00000000-0005-0000-0000-0000AE0F0000}"/>
    <cellStyle name="Normal 2 4 2 6 10" xfId="27544" xr:uid="{F96CBF18-EAB3-4DDA-B05D-3C8ACB0085E7}"/>
    <cellStyle name="Normal 2 4 2 6 11" xfId="35991" xr:uid="{F127FE69-C74D-436F-9F75-97939A1AFFB7}"/>
    <cellStyle name="Normal 2 4 2 6 12" xfId="9797" xr:uid="{01E1954B-1E6B-4D9A-A1C7-4E57DF3D4C24}"/>
    <cellStyle name="Normal 2 4 2 6 2" xfId="786" xr:uid="{00000000-0005-0000-0000-0000AF0F0000}"/>
    <cellStyle name="Normal 2 4 2 6 2 2" xfId="3025" xr:uid="{00000000-0005-0000-0000-0000B00F0000}"/>
    <cellStyle name="Normal 2 4 2 6 2 2 2" xfId="7247" xr:uid="{00000000-0005-0000-0000-0000B10F0000}"/>
    <cellStyle name="Normal 2 4 2 6 2 2 2 2" xfId="25873" xr:uid="{1A63A0B0-F8AC-477A-92ED-7502B9462B1C}"/>
    <cellStyle name="Normal 2 4 2 6 2 2 2 3" xfId="34320" xr:uid="{EE598629-8B5E-47BC-A416-87A79EC1B672}"/>
    <cellStyle name="Normal 2 4 2 6 2 2 2 4" xfId="42767" xr:uid="{D2041168-A163-4CD1-A15D-AB110A1149F2}"/>
    <cellStyle name="Normal 2 4 2 6 2 2 2 5" xfId="16573" xr:uid="{9E050CB7-0088-4B90-9DC3-B1A797722D1D}"/>
    <cellStyle name="Normal 2 4 2 6 2 2 3" xfId="21656" xr:uid="{DBB3A1E7-78FD-4664-AF80-CB3B88061BC6}"/>
    <cellStyle name="Normal 2 4 2 6 2 2 4" xfId="30103" xr:uid="{1497FE5B-B087-47ED-A50C-25D3D23783E0}"/>
    <cellStyle name="Normal 2 4 2 6 2 2 5" xfId="38550" xr:uid="{146BF032-3692-45B9-8831-3143ECE366A2}"/>
    <cellStyle name="Normal 2 4 2 6 2 2 6" xfId="12356" xr:uid="{4E3EC2A2-9722-4515-94BE-10A0A12C8465}"/>
    <cellStyle name="Normal 2 4 2 6 2 3" xfId="5102" xr:uid="{00000000-0005-0000-0000-0000B20F0000}"/>
    <cellStyle name="Normal 2 4 2 6 2 3 2" xfId="23728" xr:uid="{0B27529C-AAF6-42B3-B2D5-E43658075EDB}"/>
    <cellStyle name="Normal 2 4 2 6 2 3 3" xfId="32175" xr:uid="{2A1F83E2-C5EA-455A-978D-9909A318F481}"/>
    <cellStyle name="Normal 2 4 2 6 2 3 4" xfId="40622" xr:uid="{60D372A4-AFE2-4D13-8012-9591FF896670}"/>
    <cellStyle name="Normal 2 4 2 6 2 3 5" xfId="14428" xr:uid="{ABFEDA10-1458-44B5-B5E6-22FE017D5098}"/>
    <cellStyle name="Normal 2 4 2 6 2 4" xfId="9401" xr:uid="{C89DD342-23DD-474B-84C5-F9DED42F169B}"/>
    <cellStyle name="Normal 2 4 2 6 2 4 2" xfId="18717" xr:uid="{32C64244-2CF5-4846-829E-FDD95CA66428}"/>
    <cellStyle name="Normal 2 4 2 6 2 5" xfId="19511" xr:uid="{7494A67E-6F27-42FB-B60C-CEE7AC06773F}"/>
    <cellStyle name="Normal 2 4 2 6 2 6" xfId="27958" xr:uid="{C6F35F06-3BDA-4655-9E2B-201769735DFA}"/>
    <cellStyle name="Normal 2 4 2 6 2 7" xfId="36405" xr:uid="{FB345343-CEA8-4F78-B35E-F6E39ADCCF00}"/>
    <cellStyle name="Normal 2 4 2 6 2 8" xfId="10211" xr:uid="{169E2023-5C20-4D8D-85E8-68C8BDF16436}"/>
    <cellStyle name="Normal 2 4 2 6 3" xfId="1208" xr:uid="{00000000-0005-0000-0000-0000B30F0000}"/>
    <cellStyle name="Normal 2 4 2 6 3 2" xfId="3438" xr:uid="{00000000-0005-0000-0000-0000B40F0000}"/>
    <cellStyle name="Normal 2 4 2 6 3 2 2" xfId="7660" xr:uid="{00000000-0005-0000-0000-0000B50F0000}"/>
    <cellStyle name="Normal 2 4 2 6 3 2 2 2" xfId="26286" xr:uid="{C426DB70-A701-409C-95F8-26CF225D11CB}"/>
    <cellStyle name="Normal 2 4 2 6 3 2 2 3" xfId="34733" xr:uid="{44330832-4F01-44E1-86A7-CA3C867178E9}"/>
    <cellStyle name="Normal 2 4 2 6 3 2 2 4" xfId="43180" xr:uid="{DAF22FB3-9578-4081-BA16-8E8C7FCA6D58}"/>
    <cellStyle name="Normal 2 4 2 6 3 2 2 5" xfId="16986" xr:uid="{6A799DC5-573C-41B3-B68E-0E09087521AD}"/>
    <cellStyle name="Normal 2 4 2 6 3 2 3" xfId="22069" xr:uid="{A06D378A-DDE1-46AD-AF5C-F8886ED6FDC5}"/>
    <cellStyle name="Normal 2 4 2 6 3 2 4" xfId="30516" xr:uid="{BF3585D7-07A7-4651-9732-C7C7E12FB101}"/>
    <cellStyle name="Normal 2 4 2 6 3 2 5" xfId="38963" xr:uid="{FBF3C56B-9434-4EB5-B7E4-7673F9A3A859}"/>
    <cellStyle name="Normal 2 4 2 6 3 2 6" xfId="12769" xr:uid="{4F7979A6-2FD2-44E5-ACA4-374A53D24640}"/>
    <cellStyle name="Normal 2 4 2 6 3 3" xfId="5515" xr:uid="{00000000-0005-0000-0000-0000B60F0000}"/>
    <cellStyle name="Normal 2 4 2 6 3 3 2" xfId="24141" xr:uid="{226F69D9-692D-4E64-A8C1-8ED37696904F}"/>
    <cellStyle name="Normal 2 4 2 6 3 3 3" xfId="32588" xr:uid="{D34A2463-6C83-44F7-8DDE-93F332F36513}"/>
    <cellStyle name="Normal 2 4 2 6 3 3 4" xfId="41035" xr:uid="{7D4E5623-5A6A-4828-B5B6-AA58D1F6F38C}"/>
    <cellStyle name="Normal 2 4 2 6 3 3 5" xfId="14841" xr:uid="{189277E2-94E4-42AC-99C5-05F8A52B4128}"/>
    <cellStyle name="Normal 2 4 2 6 3 4" xfId="19924" xr:uid="{1BB8B4B3-79C0-4BB7-9D90-1208441CE109}"/>
    <cellStyle name="Normal 2 4 2 6 3 5" xfId="28371" xr:uid="{945D1F11-3F45-46C4-922E-D65994EA2623}"/>
    <cellStyle name="Normal 2 4 2 6 3 6" xfId="36818" xr:uid="{4A330C4D-918F-4ABF-B449-391D866DD6CC}"/>
    <cellStyle name="Normal 2 4 2 6 3 7" xfId="10624" xr:uid="{DCE2F0FF-4080-42E0-9FB1-ACD24D1742C6}"/>
    <cellStyle name="Normal 2 4 2 6 4" xfId="1621" xr:uid="{00000000-0005-0000-0000-0000B70F0000}"/>
    <cellStyle name="Normal 2 4 2 6 4 2" xfId="3851" xr:uid="{00000000-0005-0000-0000-0000B80F0000}"/>
    <cellStyle name="Normal 2 4 2 6 4 2 2" xfId="8073" xr:uid="{00000000-0005-0000-0000-0000B90F0000}"/>
    <cellStyle name="Normal 2 4 2 6 4 2 2 2" xfId="26699" xr:uid="{4B848BB6-8FED-44CE-8FA8-9D81ECBE05AA}"/>
    <cellStyle name="Normal 2 4 2 6 4 2 2 3" xfId="35146" xr:uid="{FFB281C7-E926-44C2-9F07-43A55C6E6381}"/>
    <cellStyle name="Normal 2 4 2 6 4 2 2 4" xfId="43593" xr:uid="{10CF0D4B-3E57-4C1F-B173-6E91372843A2}"/>
    <cellStyle name="Normal 2 4 2 6 4 2 2 5" xfId="17399" xr:uid="{D2F3AA3B-F5F6-4614-BE47-5ED514522594}"/>
    <cellStyle name="Normal 2 4 2 6 4 2 3" xfId="22482" xr:uid="{3977A928-2B50-4931-B67A-02EE2B99B946}"/>
    <cellStyle name="Normal 2 4 2 6 4 2 4" xfId="30929" xr:uid="{34DB87A2-AE7D-4BAE-8239-4B23C2F1EB5C}"/>
    <cellStyle name="Normal 2 4 2 6 4 2 5" xfId="39376" xr:uid="{2B5184C5-AE5A-4145-9311-FD4731B3A5BD}"/>
    <cellStyle name="Normal 2 4 2 6 4 2 6" xfId="13182" xr:uid="{048FBD37-CBA9-4DC5-BA49-FFCCCD0E56B1}"/>
    <cellStyle name="Normal 2 4 2 6 4 3" xfId="5928" xr:uid="{00000000-0005-0000-0000-0000BA0F0000}"/>
    <cellStyle name="Normal 2 4 2 6 4 3 2" xfId="24554" xr:uid="{FAA25DCC-CDFB-4617-BF52-BEA31DC72C13}"/>
    <cellStyle name="Normal 2 4 2 6 4 3 3" xfId="33001" xr:uid="{E5E8824D-64C4-4B9C-B876-0015E5CA76A5}"/>
    <cellStyle name="Normal 2 4 2 6 4 3 4" xfId="41448" xr:uid="{C300200F-F405-49CA-959A-31F4711E9B1E}"/>
    <cellStyle name="Normal 2 4 2 6 4 3 5" xfId="15254" xr:uid="{4522F325-7A0D-47A4-A99E-957512F933EE}"/>
    <cellStyle name="Normal 2 4 2 6 4 4" xfId="20337" xr:uid="{C6FEC50C-D7E4-4349-A469-1CDF99CC9563}"/>
    <cellStyle name="Normal 2 4 2 6 4 5" xfId="28784" xr:uid="{7561EFE6-3669-480F-83FC-4087CD0E130A}"/>
    <cellStyle name="Normal 2 4 2 6 4 6" xfId="37231" xr:uid="{EE74C004-5A51-4088-B012-94AF69D30561}"/>
    <cellStyle name="Normal 2 4 2 6 4 7" xfId="11037" xr:uid="{002F3A8A-74CC-4318-BF3A-0A3322E99212}"/>
    <cellStyle name="Normal 2 4 2 6 5" xfId="2035" xr:uid="{00000000-0005-0000-0000-0000BB0F0000}"/>
    <cellStyle name="Normal 2 4 2 6 5 2" xfId="4264" xr:uid="{00000000-0005-0000-0000-0000BC0F0000}"/>
    <cellStyle name="Normal 2 4 2 6 5 2 2" xfId="8486" xr:uid="{00000000-0005-0000-0000-0000BD0F0000}"/>
    <cellStyle name="Normal 2 4 2 6 5 2 2 2" xfId="27112" xr:uid="{D770907B-A35B-4A49-BBF1-73338E5E48BE}"/>
    <cellStyle name="Normal 2 4 2 6 5 2 2 3" xfId="35559" xr:uid="{993E15FE-8646-4563-BB06-4D7A240F1402}"/>
    <cellStyle name="Normal 2 4 2 6 5 2 2 4" xfId="44006" xr:uid="{4B81D75D-403A-4364-9EE7-AD605D84495D}"/>
    <cellStyle name="Normal 2 4 2 6 5 2 2 5" xfId="17812" xr:uid="{2E69C3DF-0500-46C9-B56F-4602B215708F}"/>
    <cellStyle name="Normal 2 4 2 6 5 2 3" xfId="22895" xr:uid="{1A2B691B-AF37-4534-AFCB-86458363EDEA}"/>
    <cellStyle name="Normal 2 4 2 6 5 2 4" xfId="31342" xr:uid="{857FC28A-6290-4189-A143-3E8AFE89D062}"/>
    <cellStyle name="Normal 2 4 2 6 5 2 5" xfId="39789" xr:uid="{F0E8E737-DCC8-4CD6-8773-607AE3DF8045}"/>
    <cellStyle name="Normal 2 4 2 6 5 2 6" xfId="13595" xr:uid="{8C44B21D-E413-4751-8876-39FD9F579E40}"/>
    <cellStyle name="Normal 2 4 2 6 5 3" xfId="6341" xr:uid="{00000000-0005-0000-0000-0000BE0F0000}"/>
    <cellStyle name="Normal 2 4 2 6 5 3 2" xfId="24967" xr:uid="{3FDB7B97-690F-408E-B97D-FB9F6FA899E9}"/>
    <cellStyle name="Normal 2 4 2 6 5 3 3" xfId="33414" xr:uid="{4751DCA4-4A3D-495A-B10E-3322ED63DFAA}"/>
    <cellStyle name="Normal 2 4 2 6 5 3 4" xfId="41861" xr:uid="{50AFA7FA-C6C5-4113-9509-8F970E6ECA13}"/>
    <cellStyle name="Normal 2 4 2 6 5 3 5" xfId="15667" xr:uid="{79F2CC88-FA11-49D6-B126-3192A48B71DA}"/>
    <cellStyle name="Normal 2 4 2 6 5 4" xfId="20750" xr:uid="{0BD2573C-1E23-4D8E-BF2D-DC6AAF8C39F5}"/>
    <cellStyle name="Normal 2 4 2 6 5 5" xfId="29197" xr:uid="{19567321-A1EF-468B-92B4-8D5BDFAFA023}"/>
    <cellStyle name="Normal 2 4 2 6 5 6" xfId="37644" xr:uid="{9772E6DA-FCED-4B70-874E-84B790A84CC9}"/>
    <cellStyle name="Normal 2 4 2 6 5 7" xfId="11450" xr:uid="{3AAA505A-2DB5-4BE2-AD9A-0599733B13AD}"/>
    <cellStyle name="Normal 2 4 2 6 6" xfId="2471" xr:uid="{00000000-0005-0000-0000-0000BF0F0000}"/>
    <cellStyle name="Normal 2 4 2 6 6 2" xfId="6754" xr:uid="{00000000-0005-0000-0000-0000C00F0000}"/>
    <cellStyle name="Normal 2 4 2 6 6 2 2" xfId="25380" xr:uid="{00B582ED-0759-46BC-92DF-DFD196BB1485}"/>
    <cellStyle name="Normal 2 4 2 6 6 2 3" xfId="33827" xr:uid="{5E2B3292-CB6C-4D21-B4C2-E4086C2CC0F4}"/>
    <cellStyle name="Normal 2 4 2 6 6 2 4" xfId="42274" xr:uid="{51F26895-7030-4B54-B0A6-D98C452073F6}"/>
    <cellStyle name="Normal 2 4 2 6 6 2 5" xfId="16080" xr:uid="{BBD1D953-2BDA-4902-B842-7FB01863AA77}"/>
    <cellStyle name="Normal 2 4 2 6 6 3" xfId="21163" xr:uid="{CB8CC833-2B3D-4C92-BB71-C7E4741A350F}"/>
    <cellStyle name="Normal 2 4 2 6 6 4" xfId="29610" xr:uid="{500EFE76-E051-4A02-9140-5CE0209AB11A}"/>
    <cellStyle name="Normal 2 4 2 6 6 5" xfId="38057" xr:uid="{0AE25B7B-5BD0-4074-9BFA-D2753519CDE1}"/>
    <cellStyle name="Normal 2 4 2 6 6 6" xfId="11863" xr:uid="{4381C759-2931-4386-B857-23B80D0C819F}"/>
    <cellStyle name="Normal 2 4 2 6 7" xfId="4688" xr:uid="{00000000-0005-0000-0000-0000C10F0000}"/>
    <cellStyle name="Normal 2 4 2 6 7 2" xfId="23314" xr:uid="{D3F734DC-2D5D-4287-A99C-F680C70674F7}"/>
    <cellStyle name="Normal 2 4 2 6 7 3" xfId="31761" xr:uid="{2EA45680-682D-4EED-B429-BF7135697401}"/>
    <cellStyle name="Normal 2 4 2 6 7 4" xfId="40208" xr:uid="{06B02414-1AAE-4918-AB2A-CF9BB9B99E55}"/>
    <cellStyle name="Normal 2 4 2 6 7 5" xfId="14014" xr:uid="{E16E401F-D965-4A95-9FE0-94B05C929C76}"/>
    <cellStyle name="Normal 2 4 2 6 8" xfId="8976" xr:uid="{6DEAFF8C-68CB-4364-A161-479509F453AE}"/>
    <cellStyle name="Normal 2 4 2 6 8 2" xfId="18300" xr:uid="{1BBCF9F4-F0D2-46E4-AEDA-12A318F15AF3}"/>
    <cellStyle name="Normal 2 4 2 6 9" xfId="19097" xr:uid="{962C0D3B-EB2D-4768-A9C4-3E32EF3AB3EF}"/>
    <cellStyle name="Normal 2 4 2 7" xfId="771" xr:uid="{00000000-0005-0000-0000-0000C20F0000}"/>
    <cellStyle name="Normal 2 4 2 7 2" xfId="3010" xr:uid="{00000000-0005-0000-0000-0000C30F0000}"/>
    <cellStyle name="Normal 2 4 2 7 2 2" xfId="7232" xr:uid="{00000000-0005-0000-0000-0000C40F0000}"/>
    <cellStyle name="Normal 2 4 2 7 2 2 2" xfId="25858" xr:uid="{FF7B67D3-8FDC-4A8B-8620-0C117F01446D}"/>
    <cellStyle name="Normal 2 4 2 7 2 2 3" xfId="34305" xr:uid="{147F1F27-8A01-4938-A813-B13021C36DD5}"/>
    <cellStyle name="Normal 2 4 2 7 2 2 4" xfId="42752" xr:uid="{120F402B-C60E-40C0-84E6-75628287E223}"/>
    <cellStyle name="Normal 2 4 2 7 2 2 5" xfId="16558" xr:uid="{29E31AAD-3604-4ED2-8736-C3F909BEBE95}"/>
    <cellStyle name="Normal 2 4 2 7 2 3" xfId="21641" xr:uid="{7E4A44AA-62C1-4049-B805-40E650629805}"/>
    <cellStyle name="Normal 2 4 2 7 2 4" xfId="30088" xr:uid="{AD526BBF-827B-4DDA-8F8E-FE5F630E1DF8}"/>
    <cellStyle name="Normal 2 4 2 7 2 5" xfId="38535" xr:uid="{B280A135-D650-4C10-9C2E-B0BE680A63DA}"/>
    <cellStyle name="Normal 2 4 2 7 2 6" xfId="12341" xr:uid="{A90B43F0-3292-47D0-B42F-065CB066404B}"/>
    <cellStyle name="Normal 2 4 2 7 3" xfId="5087" xr:uid="{00000000-0005-0000-0000-0000C50F0000}"/>
    <cellStyle name="Normal 2 4 2 7 3 2" xfId="23713" xr:uid="{8917CB06-8DD3-4276-8A5E-41A43B45409D}"/>
    <cellStyle name="Normal 2 4 2 7 3 3" xfId="32160" xr:uid="{622B7031-BF7C-4C9B-A061-00E51AF9B664}"/>
    <cellStyle name="Normal 2 4 2 7 3 4" xfId="40607" xr:uid="{5AB9AA40-0D15-4440-B796-181DEF7425CD}"/>
    <cellStyle name="Normal 2 4 2 7 3 5" xfId="14413" xr:uid="{58887654-6DA3-4071-9EB2-07ED56884C65}"/>
    <cellStyle name="Normal 2 4 2 7 4" xfId="9179" xr:uid="{D1C44CED-398E-43B3-AFA3-1E7DC60C5D92}"/>
    <cellStyle name="Normal 2 4 2 7 4 2" xfId="18498" xr:uid="{A113255B-CADB-46AA-A4C3-EDABF45FD1F0}"/>
    <cellStyle name="Normal 2 4 2 7 5" xfId="19496" xr:uid="{0FE56850-6E16-4BEA-90D0-F2C486E8E1A5}"/>
    <cellStyle name="Normal 2 4 2 7 6" xfId="27943" xr:uid="{073CACEF-7B78-4BB7-B054-D00CD830CF81}"/>
    <cellStyle name="Normal 2 4 2 7 7" xfId="36390" xr:uid="{AA9F2058-D864-4585-AC98-69EA7A491174}"/>
    <cellStyle name="Normal 2 4 2 7 8" xfId="10196" xr:uid="{B48E78C2-37EB-494F-AEEF-89E749166553}"/>
    <cellStyle name="Normal 2 4 2 8" xfId="1193" xr:uid="{00000000-0005-0000-0000-0000C60F0000}"/>
    <cellStyle name="Normal 2 4 2 8 2" xfId="3423" xr:uid="{00000000-0005-0000-0000-0000C70F0000}"/>
    <cellStyle name="Normal 2 4 2 8 2 2" xfId="7645" xr:uid="{00000000-0005-0000-0000-0000C80F0000}"/>
    <cellStyle name="Normal 2 4 2 8 2 2 2" xfId="26271" xr:uid="{731C73FA-3B7B-437D-8A7B-0B8DCBE83D5B}"/>
    <cellStyle name="Normal 2 4 2 8 2 2 3" xfId="34718" xr:uid="{C1E35499-E13B-43DB-A94D-E5F16DF9F678}"/>
    <cellStyle name="Normal 2 4 2 8 2 2 4" xfId="43165" xr:uid="{52DE2CA2-E819-4A7C-990D-6A5FE42F6762}"/>
    <cellStyle name="Normal 2 4 2 8 2 2 5" xfId="16971" xr:uid="{E05591FC-20A2-4F5F-AB9D-2B969C536F70}"/>
    <cellStyle name="Normal 2 4 2 8 2 3" xfId="22054" xr:uid="{C08ECFCD-216D-477A-84E6-667B4D886BE4}"/>
    <cellStyle name="Normal 2 4 2 8 2 4" xfId="30501" xr:uid="{0A9594D9-8F7A-474B-B9A7-4A3990B6AAA7}"/>
    <cellStyle name="Normal 2 4 2 8 2 5" xfId="38948" xr:uid="{BAD96A52-8DA5-41BA-A8ED-AD744263B9FC}"/>
    <cellStyle name="Normal 2 4 2 8 2 6" xfId="12754" xr:uid="{D04DBCEC-983F-47C3-AC1C-6EECEED2842A}"/>
    <cellStyle name="Normal 2 4 2 8 3" xfId="5500" xr:uid="{00000000-0005-0000-0000-0000C90F0000}"/>
    <cellStyle name="Normal 2 4 2 8 3 2" xfId="24126" xr:uid="{6FEDD3C3-C429-4FAB-A75B-E8A6C6284754}"/>
    <cellStyle name="Normal 2 4 2 8 3 3" xfId="32573" xr:uid="{77AC736B-9268-42EB-AB7B-D960D5940D6E}"/>
    <cellStyle name="Normal 2 4 2 8 3 4" xfId="41020" xr:uid="{346FE26F-6E0C-4EB1-BF44-96D994B8EA86}"/>
    <cellStyle name="Normal 2 4 2 8 3 5" xfId="14826" xr:uid="{3EF9D954-99A5-43DE-B405-34420CAC464E}"/>
    <cellStyle name="Normal 2 4 2 8 4" xfId="19909" xr:uid="{D507467D-7E45-4D31-B31F-352E7277B6ED}"/>
    <cellStyle name="Normal 2 4 2 8 5" xfId="28356" xr:uid="{CB19C877-53F2-461D-8007-E9B346C62210}"/>
    <cellStyle name="Normal 2 4 2 8 6" xfId="36803" xr:uid="{66CDF7BF-1BD2-4C79-8D6C-032268015219}"/>
    <cellStyle name="Normal 2 4 2 8 7" xfId="10609" xr:uid="{110475A2-38B8-4F54-9648-01A2B72D9114}"/>
    <cellStyle name="Normal 2 4 2 9" xfId="1606" xr:uid="{00000000-0005-0000-0000-0000CA0F0000}"/>
    <cellStyle name="Normal 2 4 2 9 2" xfId="3836" xr:uid="{00000000-0005-0000-0000-0000CB0F0000}"/>
    <cellStyle name="Normal 2 4 2 9 2 2" xfId="8058" xr:uid="{00000000-0005-0000-0000-0000CC0F0000}"/>
    <cellStyle name="Normal 2 4 2 9 2 2 2" xfId="26684" xr:uid="{E23AA936-1ABF-4A2B-AEC7-7E367EAD5EFB}"/>
    <cellStyle name="Normal 2 4 2 9 2 2 3" xfId="35131" xr:uid="{06868775-6C8D-49BA-95E5-C81BAB070921}"/>
    <cellStyle name="Normal 2 4 2 9 2 2 4" xfId="43578" xr:uid="{E51E15BD-5BDB-4D88-898E-A0CFAA4C043E}"/>
    <cellStyle name="Normal 2 4 2 9 2 2 5" xfId="17384" xr:uid="{42E4E743-2B81-4AFD-AB3F-25CE6D242325}"/>
    <cellStyle name="Normal 2 4 2 9 2 3" xfId="22467" xr:uid="{B71CBA41-9A91-47D6-8862-1AF03AECBE00}"/>
    <cellStyle name="Normal 2 4 2 9 2 4" xfId="30914" xr:uid="{10B967EB-00B1-4650-A56B-2FF46785029E}"/>
    <cellStyle name="Normal 2 4 2 9 2 5" xfId="39361" xr:uid="{F90B911C-17F2-4A96-9622-F83250736D47}"/>
    <cellStyle name="Normal 2 4 2 9 2 6" xfId="13167" xr:uid="{93DA76CF-FB32-476B-81C9-FAB2130A944B}"/>
    <cellStyle name="Normal 2 4 2 9 3" xfId="5913" xr:uid="{00000000-0005-0000-0000-0000CD0F0000}"/>
    <cellStyle name="Normal 2 4 2 9 3 2" xfId="24539" xr:uid="{1ED7B5DC-2233-41DB-B872-678655A59F77}"/>
    <cellStyle name="Normal 2 4 2 9 3 3" xfId="32986" xr:uid="{91E41A39-714B-4AC3-9761-34E892C7289C}"/>
    <cellStyle name="Normal 2 4 2 9 3 4" xfId="41433" xr:uid="{1F2B5FA7-B6F7-4227-94EC-F40FADC8B965}"/>
    <cellStyle name="Normal 2 4 2 9 3 5" xfId="15239" xr:uid="{F784A29D-1824-4D41-901D-FA5F3F4FA71A}"/>
    <cellStyle name="Normal 2 4 2 9 4" xfId="20322" xr:uid="{32B0B157-BE78-4A7B-908D-120C57B13B42}"/>
    <cellStyle name="Normal 2 4 2 9 5" xfId="28769" xr:uid="{0BFF0F3B-E036-4310-B84E-5BC58FFD8726}"/>
    <cellStyle name="Normal 2 4 2 9 6" xfId="37216" xr:uid="{B873AA02-3ADA-4ECF-B69F-86BB81CEE190}"/>
    <cellStyle name="Normal 2 4 2 9 7" xfId="11022" xr:uid="{25C058B9-62BB-487C-94AA-D146338AABED}"/>
    <cellStyle name="Normal 2 4 3" xfId="296" xr:uid="{00000000-0005-0000-0000-0000CE0F0000}"/>
    <cellStyle name="Normal 2 4 3 10" xfId="19098" xr:uid="{5BA97166-F238-47FD-B1FA-559D4F0C4D09}"/>
    <cellStyle name="Normal 2 4 3 11" xfId="27545" xr:uid="{4FDDC9C4-E85D-4B95-9B0C-CD2050B68728}"/>
    <cellStyle name="Normal 2 4 3 12" xfId="35992" xr:uid="{064DAF33-2023-40B4-BBA3-4F621C55099C}"/>
    <cellStyle name="Normal 2 4 3 13" xfId="9798" xr:uid="{6031ED78-E8BF-45EB-AC42-546B64979C23}"/>
    <cellStyle name="Normal 2 4 3 2" xfId="297" xr:uid="{00000000-0005-0000-0000-0000CF0F0000}"/>
    <cellStyle name="Normal 2 4 3 3" xfId="298" xr:uid="{00000000-0005-0000-0000-0000D00F0000}"/>
    <cellStyle name="Normal 2 4 3 3 10" xfId="8814" xr:uid="{F78EFD99-FCC5-4915-ACA3-DFC3FC0D45A5}"/>
    <cellStyle name="Normal 2 4 3 3 10 2" xfId="18138" xr:uid="{BAEDFFDA-2630-47CD-A7B4-040BBD0B3B78}"/>
    <cellStyle name="Normal 2 4 3 3 11" xfId="19099" xr:uid="{CF421B89-6925-47BC-A582-4F6EDCCEDB46}"/>
    <cellStyle name="Normal 2 4 3 3 12" xfId="27546" xr:uid="{9D93049E-199E-433E-9518-245D62003085}"/>
    <cellStyle name="Normal 2 4 3 3 13" xfId="35993" xr:uid="{2B28FD90-E10D-48BE-BF5C-FD3B6BD36C65}"/>
    <cellStyle name="Normal 2 4 3 3 14" xfId="9799" xr:uid="{4998E7AA-A1A4-4925-AF2B-9EACF87B143F}"/>
    <cellStyle name="Normal 2 4 3 3 2" xfId="299" xr:uid="{00000000-0005-0000-0000-0000D10F0000}"/>
    <cellStyle name="Normal 2 4 3 3 2 10" xfId="19100" xr:uid="{E24F86DA-7F03-40D0-B094-4F8CF5DB4A26}"/>
    <cellStyle name="Normal 2 4 3 3 2 11" xfId="27547" xr:uid="{FF41C45F-41A9-4BB3-840F-DBD35A3006A3}"/>
    <cellStyle name="Normal 2 4 3 3 2 12" xfId="35994" xr:uid="{6A8C6961-3C9C-4C72-BF19-37DC6AA086CC}"/>
    <cellStyle name="Normal 2 4 3 3 2 13" xfId="9800" xr:uid="{ED025C9E-B4BD-4F91-A0FD-3AB586E4565A}"/>
    <cellStyle name="Normal 2 4 3 3 2 2" xfId="300" xr:uid="{00000000-0005-0000-0000-0000D20F0000}"/>
    <cellStyle name="Normal 2 4 3 3 2 2 10" xfId="27548" xr:uid="{6F626895-DFD8-4538-81FD-DCC9EC3A1005}"/>
    <cellStyle name="Normal 2 4 3 3 2 2 11" xfId="35995" xr:uid="{6A3C1FBE-307D-461E-B1CF-DA59F29F242B}"/>
    <cellStyle name="Normal 2 4 3 3 2 2 12" xfId="9801" xr:uid="{0044D0A5-D85B-4986-8CA4-2D01C90269E6}"/>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2 2 2" xfId="25877" xr:uid="{B73F2BCB-0C0C-41D5-B4D8-70A9DDE868BC}"/>
    <cellStyle name="Normal 2 4 3 3 2 2 2 2 2 3" xfId="34324" xr:uid="{D43996D8-AC7A-4297-B836-6F0811953F11}"/>
    <cellStyle name="Normal 2 4 3 3 2 2 2 2 2 4" xfId="42771" xr:uid="{E568DEE9-9CD5-4971-8371-12F7F6401C68}"/>
    <cellStyle name="Normal 2 4 3 3 2 2 2 2 2 5" xfId="16577" xr:uid="{1C4D599D-763C-45D0-A027-2B19DEED1389}"/>
    <cellStyle name="Normal 2 4 3 3 2 2 2 2 3" xfId="21660" xr:uid="{664AB16C-495A-440D-82F2-D296D9F682BE}"/>
    <cellStyle name="Normal 2 4 3 3 2 2 2 2 4" xfId="30107" xr:uid="{41C95AA8-221B-4832-980C-4952AFABA241}"/>
    <cellStyle name="Normal 2 4 3 3 2 2 2 2 5" xfId="38554" xr:uid="{98DA449E-3A3D-4CBA-8066-7A4150494E1B}"/>
    <cellStyle name="Normal 2 4 3 3 2 2 2 2 6" xfId="12360" xr:uid="{F0E5687C-ED8C-4C71-A81A-DE86C21773B8}"/>
    <cellStyle name="Normal 2 4 3 3 2 2 2 3" xfId="5106" xr:uid="{00000000-0005-0000-0000-0000D60F0000}"/>
    <cellStyle name="Normal 2 4 3 3 2 2 2 3 2" xfId="23732" xr:uid="{4B9D1A0A-78DF-4B94-8969-8491841DD86C}"/>
    <cellStyle name="Normal 2 4 3 3 2 2 2 3 3" xfId="32179" xr:uid="{35E9340B-84F2-48AD-964D-2456CE03A43C}"/>
    <cellStyle name="Normal 2 4 3 3 2 2 2 3 4" xfId="40626" xr:uid="{F33F320A-2143-4FA9-8ADE-59299A341E63}"/>
    <cellStyle name="Normal 2 4 3 3 2 2 2 3 5" xfId="14432" xr:uid="{A6A53126-FA75-4D66-8CE6-45610F9DFF01}"/>
    <cellStyle name="Normal 2 4 3 3 2 2 2 4" xfId="9549" xr:uid="{EA88B7BC-E37D-4688-A768-0D7FE5EF9F42}"/>
    <cellStyle name="Normal 2 4 3 3 2 2 2 4 2" xfId="18865" xr:uid="{49F2BBBA-741B-43C5-8066-54E6951E76E4}"/>
    <cellStyle name="Normal 2 4 3 3 2 2 2 5" xfId="19515" xr:uid="{E03AB21F-4FC4-4679-8B7A-8B3C87D69218}"/>
    <cellStyle name="Normal 2 4 3 3 2 2 2 6" xfId="27962" xr:uid="{217861F6-439E-4EF9-870A-F1A8747CA732}"/>
    <cellStyle name="Normal 2 4 3 3 2 2 2 7" xfId="36409" xr:uid="{E1E69716-619E-413C-8C41-C68BFA3C63D1}"/>
    <cellStyle name="Normal 2 4 3 3 2 2 2 8" xfId="10215" xr:uid="{EFB3514A-77E0-427C-AFAA-596FAC0B6CFD}"/>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2 2 2" xfId="26290" xr:uid="{F3AD75B9-DF6A-4324-A12B-3CEF5AC01FE5}"/>
    <cellStyle name="Normal 2 4 3 3 2 2 3 2 2 3" xfId="34737" xr:uid="{B0311E47-A3AD-4DA2-A7FF-71D56ED3BF6F}"/>
    <cellStyle name="Normal 2 4 3 3 2 2 3 2 2 4" xfId="43184" xr:uid="{7E6DC31F-BD24-45BE-B203-F3F4A4F1F178}"/>
    <cellStyle name="Normal 2 4 3 3 2 2 3 2 2 5" xfId="16990" xr:uid="{DDDCDDBF-9E5C-43F7-B45B-45D2052395AD}"/>
    <cellStyle name="Normal 2 4 3 3 2 2 3 2 3" xfId="22073" xr:uid="{C07983B9-BC31-40D4-8BB5-0D33A237D36E}"/>
    <cellStyle name="Normal 2 4 3 3 2 2 3 2 4" xfId="30520" xr:uid="{1BBF4549-5784-4AE5-87F7-A77D25D2FC46}"/>
    <cellStyle name="Normal 2 4 3 3 2 2 3 2 5" xfId="38967" xr:uid="{E14B44D3-BE53-47BE-A02C-6C8ABC105510}"/>
    <cellStyle name="Normal 2 4 3 3 2 2 3 2 6" xfId="12773" xr:uid="{260FD98C-9304-4499-9A5B-B16287770A7F}"/>
    <cellStyle name="Normal 2 4 3 3 2 2 3 3" xfId="5519" xr:uid="{00000000-0005-0000-0000-0000DA0F0000}"/>
    <cellStyle name="Normal 2 4 3 3 2 2 3 3 2" xfId="24145" xr:uid="{1C29120F-48CC-4067-B4D7-5E51E612E8AB}"/>
    <cellStyle name="Normal 2 4 3 3 2 2 3 3 3" xfId="32592" xr:uid="{91DDD128-A186-402F-998E-296F4975A3E9}"/>
    <cellStyle name="Normal 2 4 3 3 2 2 3 3 4" xfId="41039" xr:uid="{EE129549-77DA-4C77-BF20-7C4E3120ED1B}"/>
    <cellStyle name="Normal 2 4 3 3 2 2 3 3 5" xfId="14845" xr:uid="{1CF12E07-8BC1-4FEC-AA60-E26342EA2B72}"/>
    <cellStyle name="Normal 2 4 3 3 2 2 3 4" xfId="19928" xr:uid="{E7350ED5-DB8E-41F3-930F-14F627EF44E3}"/>
    <cellStyle name="Normal 2 4 3 3 2 2 3 5" xfId="28375" xr:uid="{8664815D-FAAC-439E-B471-405D9888593A}"/>
    <cellStyle name="Normal 2 4 3 3 2 2 3 6" xfId="36822" xr:uid="{58339D3A-3B19-46D3-9493-E3CDC1EB26CE}"/>
    <cellStyle name="Normal 2 4 3 3 2 2 3 7" xfId="10628" xr:uid="{69C7AA71-F3AB-41CD-AF07-F9162AA48DDD}"/>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2 2 2" xfId="26703" xr:uid="{AC043AAF-D928-4EF3-A748-BFE2B471807E}"/>
    <cellStyle name="Normal 2 4 3 3 2 2 4 2 2 3" xfId="35150" xr:uid="{186AA795-73FA-4802-9399-60652230F71D}"/>
    <cellStyle name="Normal 2 4 3 3 2 2 4 2 2 4" xfId="43597" xr:uid="{35755307-E514-410C-A34F-2C6E8E68CF75}"/>
    <cellStyle name="Normal 2 4 3 3 2 2 4 2 2 5" xfId="17403" xr:uid="{D26473E5-024A-4D95-9475-DAF989459F9A}"/>
    <cellStyle name="Normal 2 4 3 3 2 2 4 2 3" xfId="22486" xr:uid="{AE9B54A9-FCFD-424B-AD99-5A5B6811F0AE}"/>
    <cellStyle name="Normal 2 4 3 3 2 2 4 2 4" xfId="30933" xr:uid="{FE4D35B0-CE00-44CF-A366-4C49DA408F62}"/>
    <cellStyle name="Normal 2 4 3 3 2 2 4 2 5" xfId="39380" xr:uid="{96F47818-229D-4676-903A-2C1F6542C851}"/>
    <cellStyle name="Normal 2 4 3 3 2 2 4 2 6" xfId="13186" xr:uid="{BB1F8BD1-B873-4C42-BC38-196900559F12}"/>
    <cellStyle name="Normal 2 4 3 3 2 2 4 3" xfId="5932" xr:uid="{00000000-0005-0000-0000-0000DE0F0000}"/>
    <cellStyle name="Normal 2 4 3 3 2 2 4 3 2" xfId="24558" xr:uid="{9305A348-A183-4977-AE4D-5B948F44CCA9}"/>
    <cellStyle name="Normal 2 4 3 3 2 2 4 3 3" xfId="33005" xr:uid="{3E15E33C-7623-42DE-A446-5CF12E20F043}"/>
    <cellStyle name="Normal 2 4 3 3 2 2 4 3 4" xfId="41452" xr:uid="{F9037FB1-DF69-421E-B1EF-27C90FAC30EB}"/>
    <cellStyle name="Normal 2 4 3 3 2 2 4 3 5" xfId="15258" xr:uid="{93547E05-C082-4669-8AF5-584EA319C15F}"/>
    <cellStyle name="Normal 2 4 3 3 2 2 4 4" xfId="20341" xr:uid="{876115A4-D895-46FE-BFB8-89B0717389FE}"/>
    <cellStyle name="Normal 2 4 3 3 2 2 4 5" xfId="28788" xr:uid="{396FCFD8-11AF-4678-962D-16B39EA5D917}"/>
    <cellStyle name="Normal 2 4 3 3 2 2 4 6" xfId="37235" xr:uid="{064A67B1-B79F-4232-801B-1DD5FF506DB5}"/>
    <cellStyle name="Normal 2 4 3 3 2 2 4 7" xfId="11041" xr:uid="{E7E3E7D7-E735-4D9B-ABAD-0F1C17B2A8E2}"/>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2 2 2" xfId="27116" xr:uid="{F2C90096-E153-46FF-9F90-2EA2835D9FB8}"/>
    <cellStyle name="Normal 2 4 3 3 2 2 5 2 2 3" xfId="35563" xr:uid="{1D69D5AA-5270-4D8F-8127-0C7C3DF9D0CA}"/>
    <cellStyle name="Normal 2 4 3 3 2 2 5 2 2 4" xfId="44010" xr:uid="{568AF309-13F9-4F2B-9202-49E3F4985B6E}"/>
    <cellStyle name="Normal 2 4 3 3 2 2 5 2 2 5" xfId="17816" xr:uid="{4B617608-7B2F-405D-ADCF-B31524C06EBE}"/>
    <cellStyle name="Normal 2 4 3 3 2 2 5 2 3" xfId="22899" xr:uid="{5EA3A1E4-C344-434C-B37C-16A36F7CF5BE}"/>
    <cellStyle name="Normal 2 4 3 3 2 2 5 2 4" xfId="31346" xr:uid="{313C4CB0-C072-4F7F-B038-9D7C236311F0}"/>
    <cellStyle name="Normal 2 4 3 3 2 2 5 2 5" xfId="39793" xr:uid="{8D7E8465-ED4A-4536-90C8-919511848F66}"/>
    <cellStyle name="Normal 2 4 3 3 2 2 5 2 6" xfId="13599" xr:uid="{16A34767-9155-42A7-81F7-FA4F5709A1AD}"/>
    <cellStyle name="Normal 2 4 3 3 2 2 5 3" xfId="6345" xr:uid="{00000000-0005-0000-0000-0000E20F0000}"/>
    <cellStyle name="Normal 2 4 3 3 2 2 5 3 2" xfId="24971" xr:uid="{B3BC1442-64E1-4C88-88BC-3CECB8C32542}"/>
    <cellStyle name="Normal 2 4 3 3 2 2 5 3 3" xfId="33418" xr:uid="{804A1249-79D9-422D-89AC-990419AB8DFE}"/>
    <cellStyle name="Normal 2 4 3 3 2 2 5 3 4" xfId="41865" xr:uid="{5E2F9E16-51F0-4651-8D90-A30D2943956F}"/>
    <cellStyle name="Normal 2 4 3 3 2 2 5 3 5" xfId="15671" xr:uid="{B355C874-17B0-469F-9DDF-539FFF73B7FB}"/>
    <cellStyle name="Normal 2 4 3 3 2 2 5 4" xfId="20754" xr:uid="{51CCE87D-17BF-4112-A0E9-E04374ECCA64}"/>
    <cellStyle name="Normal 2 4 3 3 2 2 5 5" xfId="29201" xr:uid="{56D50C0A-CAD2-43B6-9055-5A2F853071B8}"/>
    <cellStyle name="Normal 2 4 3 3 2 2 5 6" xfId="37648" xr:uid="{509472B1-921F-4AD5-A134-13F7A5342A83}"/>
    <cellStyle name="Normal 2 4 3 3 2 2 5 7" xfId="11454" xr:uid="{97AC8F4B-6BCE-41B0-9DEB-B7582E4E3BCF}"/>
    <cellStyle name="Normal 2 4 3 3 2 2 6" xfId="2475" xr:uid="{00000000-0005-0000-0000-0000E30F0000}"/>
    <cellStyle name="Normal 2 4 3 3 2 2 6 2" xfId="6758" xr:uid="{00000000-0005-0000-0000-0000E40F0000}"/>
    <cellStyle name="Normal 2 4 3 3 2 2 6 2 2" xfId="25384" xr:uid="{ACC4049D-C463-4158-96DC-E475D1EC8515}"/>
    <cellStyle name="Normal 2 4 3 3 2 2 6 2 3" xfId="33831" xr:uid="{FE6E6DC0-3702-420D-B1F2-34220A5C5B48}"/>
    <cellStyle name="Normal 2 4 3 3 2 2 6 2 4" xfId="42278" xr:uid="{BF7D93D7-C451-4BA9-8303-4E6FE9D9320A}"/>
    <cellStyle name="Normal 2 4 3 3 2 2 6 2 5" xfId="16084" xr:uid="{0EFD5254-4C94-4F2A-9D6C-5ECCC15E08CF}"/>
    <cellStyle name="Normal 2 4 3 3 2 2 6 3" xfId="21167" xr:uid="{5BBC4A7E-8FE7-4B06-9623-B3F32774EDA5}"/>
    <cellStyle name="Normal 2 4 3 3 2 2 6 4" xfId="29614" xr:uid="{7CE40C32-447F-4F4B-B6CE-A6BC7186E0BE}"/>
    <cellStyle name="Normal 2 4 3 3 2 2 6 5" xfId="38061" xr:uid="{658112FE-4433-4BF5-B06A-640550484787}"/>
    <cellStyle name="Normal 2 4 3 3 2 2 6 6" xfId="11867" xr:uid="{0E76655A-A9A6-4318-BE27-B58C1E528577}"/>
    <cellStyle name="Normal 2 4 3 3 2 2 7" xfId="4692" xr:uid="{00000000-0005-0000-0000-0000E50F0000}"/>
    <cellStyle name="Normal 2 4 3 3 2 2 7 2" xfId="23318" xr:uid="{5E61A0B1-C0B8-456C-A27D-E2F30B2C6498}"/>
    <cellStyle name="Normal 2 4 3 3 2 2 7 3" xfId="31765" xr:uid="{29A2999C-A656-42E5-9CBA-28DF65F8D6E3}"/>
    <cellStyle name="Normal 2 4 3 3 2 2 7 4" xfId="40212" xr:uid="{7FA883B0-C78F-44B8-AAA7-8AF1C53337D1}"/>
    <cellStyle name="Normal 2 4 3 3 2 2 7 5" xfId="14018" xr:uid="{C7F62593-1BC6-496A-A5D9-46169A3F60C9}"/>
    <cellStyle name="Normal 2 4 3 3 2 2 8" xfId="9124" xr:uid="{1FF2B195-09C8-4D7B-A363-E8AF809A669B}"/>
    <cellStyle name="Normal 2 4 3 3 2 2 8 2" xfId="18448" xr:uid="{9E0A070E-D116-43A1-A9FB-A8E429BDDA8A}"/>
    <cellStyle name="Normal 2 4 3 3 2 2 9" xfId="19101" xr:uid="{F1224B71-0B50-4E59-804F-1A5B5AE0628F}"/>
    <cellStyle name="Normal 2 4 3 3 2 3" xfId="789" xr:uid="{00000000-0005-0000-0000-0000E60F0000}"/>
    <cellStyle name="Normal 2 4 3 3 2 3 2" xfId="3028" xr:uid="{00000000-0005-0000-0000-0000E70F0000}"/>
    <cellStyle name="Normal 2 4 3 3 2 3 2 2" xfId="7250" xr:uid="{00000000-0005-0000-0000-0000E80F0000}"/>
    <cellStyle name="Normal 2 4 3 3 2 3 2 2 2" xfId="25876" xr:uid="{4CEAC659-3617-4183-9B4D-CA1C6F061625}"/>
    <cellStyle name="Normal 2 4 3 3 2 3 2 2 3" xfId="34323" xr:uid="{D445E84E-8219-4B19-8294-EE567D0488F6}"/>
    <cellStyle name="Normal 2 4 3 3 2 3 2 2 4" xfId="42770" xr:uid="{3587E7C6-F580-46B9-8E3B-F361BE4313BD}"/>
    <cellStyle name="Normal 2 4 3 3 2 3 2 2 5" xfId="16576" xr:uid="{0E0C9D81-8F87-4671-98F2-11CAC40D08A0}"/>
    <cellStyle name="Normal 2 4 3 3 2 3 2 3" xfId="21659" xr:uid="{2B2E5104-8AC0-4005-9B3B-98844D950574}"/>
    <cellStyle name="Normal 2 4 3 3 2 3 2 4" xfId="30106" xr:uid="{5258AA96-DDFA-476A-8DE8-A3F1C86C4D16}"/>
    <cellStyle name="Normal 2 4 3 3 2 3 2 5" xfId="38553" xr:uid="{7A5304C3-67D8-4C4E-99C1-D2FC85BC53F1}"/>
    <cellStyle name="Normal 2 4 3 3 2 3 2 6" xfId="12359" xr:uid="{42347BA4-84D2-4216-9052-A90CF159B608}"/>
    <cellStyle name="Normal 2 4 3 3 2 3 3" xfId="5105" xr:uid="{00000000-0005-0000-0000-0000E90F0000}"/>
    <cellStyle name="Normal 2 4 3 3 2 3 3 2" xfId="23731" xr:uid="{35A87052-DA00-4521-9738-38FB82845384}"/>
    <cellStyle name="Normal 2 4 3 3 2 3 3 3" xfId="32178" xr:uid="{B4F67884-5E63-42D7-9BD2-F000CB16AE16}"/>
    <cellStyle name="Normal 2 4 3 3 2 3 3 4" xfId="40625" xr:uid="{B9D5F528-D44F-4A85-A7B7-05ADA332F1D4}"/>
    <cellStyle name="Normal 2 4 3 3 2 3 3 5" xfId="14431" xr:uid="{5CE4427C-8B90-402F-BA06-215410B980F1}"/>
    <cellStyle name="Normal 2 4 3 3 2 3 4" xfId="9342" xr:uid="{41454CF9-47C1-4E8A-868A-8F39341308EB}"/>
    <cellStyle name="Normal 2 4 3 3 2 3 4 2" xfId="18658" xr:uid="{E447A242-63BD-468E-8869-CCB2629E7445}"/>
    <cellStyle name="Normal 2 4 3 3 2 3 5" xfId="19514" xr:uid="{4F2CA31A-6F3E-4C9E-85E4-47DC21607216}"/>
    <cellStyle name="Normal 2 4 3 3 2 3 6" xfId="27961" xr:uid="{63E937A8-2382-492F-B6A2-9E1981291F1E}"/>
    <cellStyle name="Normal 2 4 3 3 2 3 7" xfId="36408" xr:uid="{0F63141C-3303-415B-961D-1435C7E9CFAC}"/>
    <cellStyle name="Normal 2 4 3 3 2 3 8" xfId="10214" xr:uid="{747FB5FB-4695-44C1-8954-7A7026FF73D0}"/>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2 2 2" xfId="26289" xr:uid="{E5F2F754-FF74-4E5E-AACD-E1755E2E157D}"/>
    <cellStyle name="Normal 2 4 3 3 2 4 2 2 3" xfId="34736" xr:uid="{AD482C67-A6D6-46B6-A538-1835F128E281}"/>
    <cellStyle name="Normal 2 4 3 3 2 4 2 2 4" xfId="43183" xr:uid="{DCDD02B9-CA81-4C8E-823E-E49E92B02F02}"/>
    <cellStyle name="Normal 2 4 3 3 2 4 2 2 5" xfId="16989" xr:uid="{DA024FF2-29FF-4E05-AC3C-F9F338F1AEFF}"/>
    <cellStyle name="Normal 2 4 3 3 2 4 2 3" xfId="22072" xr:uid="{DEA3A39A-DE7A-4AEB-AC6A-2DFD8D5934F0}"/>
    <cellStyle name="Normal 2 4 3 3 2 4 2 4" xfId="30519" xr:uid="{F2724FE4-E12B-44DD-BF77-ABC268E2A7A3}"/>
    <cellStyle name="Normal 2 4 3 3 2 4 2 5" xfId="38966" xr:uid="{97B95933-2DF0-4D8A-B10C-9BC76A8D8227}"/>
    <cellStyle name="Normal 2 4 3 3 2 4 2 6" xfId="12772" xr:uid="{EB7F2A87-6EE1-42E2-AE2F-AD56257E8BB9}"/>
    <cellStyle name="Normal 2 4 3 3 2 4 3" xfId="5518" xr:uid="{00000000-0005-0000-0000-0000ED0F0000}"/>
    <cellStyle name="Normal 2 4 3 3 2 4 3 2" xfId="24144" xr:uid="{15DF8233-18DA-4201-BD6B-A1BFA3AD6ACB}"/>
    <cellStyle name="Normal 2 4 3 3 2 4 3 3" xfId="32591" xr:uid="{CA82BF5F-D942-40A4-A0B4-4D22418A267C}"/>
    <cellStyle name="Normal 2 4 3 3 2 4 3 4" xfId="41038" xr:uid="{9F8096CA-5FA7-47E4-8E62-548540C5E5FC}"/>
    <cellStyle name="Normal 2 4 3 3 2 4 3 5" xfId="14844" xr:uid="{DD1CB6A0-69AB-4783-A690-8AF27CAD4F28}"/>
    <cellStyle name="Normal 2 4 3 3 2 4 4" xfId="19927" xr:uid="{8D6789EE-7D40-4152-8641-1DE941569FA4}"/>
    <cellStyle name="Normal 2 4 3 3 2 4 5" xfId="28374" xr:uid="{155C2137-0AE0-4743-9B8F-7300FB42918E}"/>
    <cellStyle name="Normal 2 4 3 3 2 4 6" xfId="36821" xr:uid="{9EAC6F57-3022-4AD2-9F08-22E2687FDC23}"/>
    <cellStyle name="Normal 2 4 3 3 2 4 7" xfId="10627" xr:uid="{73B36360-01D8-4632-9442-D3ECE5661FE1}"/>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2 2 2" xfId="26702" xr:uid="{74C13B96-D774-4DDA-BC40-DAFA6AB0B718}"/>
    <cellStyle name="Normal 2 4 3 3 2 5 2 2 3" xfId="35149" xr:uid="{95314659-B036-4480-AA22-46E94B1F9129}"/>
    <cellStyle name="Normal 2 4 3 3 2 5 2 2 4" xfId="43596" xr:uid="{27B65658-18C4-462B-839A-BC022E219876}"/>
    <cellStyle name="Normal 2 4 3 3 2 5 2 2 5" xfId="17402" xr:uid="{3B4346F9-1A3E-42D6-B0B6-572B689A0C7E}"/>
    <cellStyle name="Normal 2 4 3 3 2 5 2 3" xfId="22485" xr:uid="{CD595F24-BEF5-486C-8880-3A4D23E74594}"/>
    <cellStyle name="Normal 2 4 3 3 2 5 2 4" xfId="30932" xr:uid="{3817398F-F265-489A-B1C3-194374CA632F}"/>
    <cellStyle name="Normal 2 4 3 3 2 5 2 5" xfId="39379" xr:uid="{E27051DC-AE9C-4740-9AFD-E980596516A1}"/>
    <cellStyle name="Normal 2 4 3 3 2 5 2 6" xfId="13185" xr:uid="{D64866AC-E99A-4550-B7DB-41E37F9F7FA2}"/>
    <cellStyle name="Normal 2 4 3 3 2 5 3" xfId="5931" xr:uid="{00000000-0005-0000-0000-0000F10F0000}"/>
    <cellStyle name="Normal 2 4 3 3 2 5 3 2" xfId="24557" xr:uid="{A6CF04F4-B768-48DF-A67A-319986C22948}"/>
    <cellStyle name="Normal 2 4 3 3 2 5 3 3" xfId="33004" xr:uid="{4ABF4B1D-2A33-4487-AB1C-89282AAD896C}"/>
    <cellStyle name="Normal 2 4 3 3 2 5 3 4" xfId="41451" xr:uid="{079CD16B-731D-4FF0-A2D0-3335EAEBD981}"/>
    <cellStyle name="Normal 2 4 3 3 2 5 3 5" xfId="15257" xr:uid="{51009BC0-EC23-4AED-8393-A5C8D51FC92A}"/>
    <cellStyle name="Normal 2 4 3 3 2 5 4" xfId="20340" xr:uid="{62B7973F-3292-49AD-8824-6F07B8AFFC5C}"/>
    <cellStyle name="Normal 2 4 3 3 2 5 5" xfId="28787" xr:uid="{199CFB95-5550-4E48-A81D-F60C583DFC4E}"/>
    <cellStyle name="Normal 2 4 3 3 2 5 6" xfId="37234" xr:uid="{262499F2-1A25-4738-B942-FACB2D2B944E}"/>
    <cellStyle name="Normal 2 4 3 3 2 5 7" xfId="11040" xr:uid="{624E37EC-3BC9-4492-B806-D26BC1CA735F}"/>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2 2 2" xfId="27115" xr:uid="{495659BF-56F3-4A56-B811-BBA25B2F10AB}"/>
    <cellStyle name="Normal 2 4 3 3 2 6 2 2 3" xfId="35562" xr:uid="{6148EE08-6519-4874-801B-00FFE2CFA6F7}"/>
    <cellStyle name="Normal 2 4 3 3 2 6 2 2 4" xfId="44009" xr:uid="{9D7169D3-E5AD-4575-B954-2E31F20399E2}"/>
    <cellStyle name="Normal 2 4 3 3 2 6 2 2 5" xfId="17815" xr:uid="{8C93C811-D651-4020-B62B-52554AF0D2C1}"/>
    <cellStyle name="Normal 2 4 3 3 2 6 2 3" xfId="22898" xr:uid="{DCEC3F92-9DE3-4876-B593-06051022C8A3}"/>
    <cellStyle name="Normal 2 4 3 3 2 6 2 4" xfId="31345" xr:uid="{56322E60-7334-4AE0-B5EB-7DE237AF3F2B}"/>
    <cellStyle name="Normal 2 4 3 3 2 6 2 5" xfId="39792" xr:uid="{C862AC49-5FAA-4708-BDDC-F480332D9625}"/>
    <cellStyle name="Normal 2 4 3 3 2 6 2 6" xfId="13598" xr:uid="{63472D43-A015-493D-9210-668E3BEED29D}"/>
    <cellStyle name="Normal 2 4 3 3 2 6 3" xfId="6344" xr:uid="{00000000-0005-0000-0000-0000F50F0000}"/>
    <cellStyle name="Normal 2 4 3 3 2 6 3 2" xfId="24970" xr:uid="{5CED16EA-5F02-4355-A78E-5B5E082A346D}"/>
    <cellStyle name="Normal 2 4 3 3 2 6 3 3" xfId="33417" xr:uid="{A1A4A70C-1F4B-427A-98A4-762FD9D20B3B}"/>
    <cellStyle name="Normal 2 4 3 3 2 6 3 4" xfId="41864" xr:uid="{D76861E0-9990-4D12-979A-8813EE2F4020}"/>
    <cellStyle name="Normal 2 4 3 3 2 6 3 5" xfId="15670" xr:uid="{A7E623BE-6980-4D10-A8A6-EF2DD492C18D}"/>
    <cellStyle name="Normal 2 4 3 3 2 6 4" xfId="20753" xr:uid="{01F0FA97-635D-4AF3-A879-DE1277E5C27C}"/>
    <cellStyle name="Normal 2 4 3 3 2 6 5" xfId="29200" xr:uid="{F94775A7-BC3B-431D-9C67-6AA7CDD9FC7B}"/>
    <cellStyle name="Normal 2 4 3 3 2 6 6" xfId="37647" xr:uid="{B0F0B452-DA94-4283-BF24-DB879C3FB7BC}"/>
    <cellStyle name="Normal 2 4 3 3 2 6 7" xfId="11453" xr:uid="{81505739-3D3A-4891-90E6-5042A9361C93}"/>
    <cellStyle name="Normal 2 4 3 3 2 7" xfId="2474" xr:uid="{00000000-0005-0000-0000-0000F60F0000}"/>
    <cellStyle name="Normal 2 4 3 3 2 7 2" xfId="6757" xr:uid="{00000000-0005-0000-0000-0000F70F0000}"/>
    <cellStyle name="Normal 2 4 3 3 2 7 2 2" xfId="25383" xr:uid="{0F7A305A-420B-4DE4-8DB1-E71F8E921172}"/>
    <cellStyle name="Normal 2 4 3 3 2 7 2 3" xfId="33830" xr:uid="{CADAFA9E-E047-4BEC-8413-E4F8C9CAD2BE}"/>
    <cellStyle name="Normal 2 4 3 3 2 7 2 4" xfId="42277" xr:uid="{92BECC91-4606-4176-A458-64E20ED5D678}"/>
    <cellStyle name="Normal 2 4 3 3 2 7 2 5" xfId="16083" xr:uid="{B445987A-DCB1-4EB6-9382-2274A0CCCECA}"/>
    <cellStyle name="Normal 2 4 3 3 2 7 3" xfId="21166" xr:uid="{9197A964-006D-4EC7-BB78-F635C1187426}"/>
    <cellStyle name="Normal 2 4 3 3 2 7 4" xfId="29613" xr:uid="{EABE9380-BD06-4F67-8939-87199F5A37B5}"/>
    <cellStyle name="Normal 2 4 3 3 2 7 5" xfId="38060" xr:uid="{79B2D786-AEF5-450F-A2B5-40BC7E1F1E00}"/>
    <cellStyle name="Normal 2 4 3 3 2 7 6" xfId="11866" xr:uid="{33159D68-DB75-4396-87AC-333E5537FADC}"/>
    <cellStyle name="Normal 2 4 3 3 2 8" xfId="4691" xr:uid="{00000000-0005-0000-0000-0000F80F0000}"/>
    <cellStyle name="Normal 2 4 3 3 2 8 2" xfId="23317" xr:uid="{ACE7E984-DD71-47ED-B31E-E5ED33E679B2}"/>
    <cellStyle name="Normal 2 4 3 3 2 8 3" xfId="31764" xr:uid="{B2BF66A2-10CB-40E3-9CDF-A29A0AC625AB}"/>
    <cellStyle name="Normal 2 4 3 3 2 8 4" xfId="40211" xr:uid="{F4E8FB0A-8DED-4E85-8337-5DE81AD158F8}"/>
    <cellStyle name="Normal 2 4 3 3 2 8 5" xfId="14017" xr:uid="{0E89E326-0FA6-4063-B989-0D8914366088}"/>
    <cellStyle name="Normal 2 4 3 3 2 9" xfId="8917" xr:uid="{1E22693C-F4B1-4678-80B0-65CF6DC31586}"/>
    <cellStyle name="Normal 2 4 3 3 2 9 2" xfId="18241" xr:uid="{8BA1FC9A-60A3-4892-8F12-2BD98E0D9CB9}"/>
    <cellStyle name="Normal 2 4 3 3 3" xfId="301" xr:uid="{00000000-0005-0000-0000-0000F90F0000}"/>
    <cellStyle name="Normal 2 4 3 3 3 10" xfId="27549" xr:uid="{2BBF467C-470B-44B6-BC5A-5B6F1FDBA432}"/>
    <cellStyle name="Normal 2 4 3 3 3 11" xfId="35996" xr:uid="{189F4941-E9BA-4291-83FF-2F17A072A3B3}"/>
    <cellStyle name="Normal 2 4 3 3 3 12" xfId="9802" xr:uid="{40F9C7D1-96F6-4C37-AB06-DE9041A9D705}"/>
    <cellStyle name="Normal 2 4 3 3 3 2" xfId="791" xr:uid="{00000000-0005-0000-0000-0000FA0F0000}"/>
    <cellStyle name="Normal 2 4 3 3 3 2 2" xfId="3030" xr:uid="{00000000-0005-0000-0000-0000FB0F0000}"/>
    <cellStyle name="Normal 2 4 3 3 3 2 2 2" xfId="7252" xr:uid="{00000000-0005-0000-0000-0000FC0F0000}"/>
    <cellStyle name="Normal 2 4 3 3 3 2 2 2 2" xfId="25878" xr:uid="{F6AF96F8-6444-4B67-85DE-C5E1E47C258C}"/>
    <cellStyle name="Normal 2 4 3 3 3 2 2 2 3" xfId="34325" xr:uid="{33B8C478-CAC2-4D0F-826C-514CCD627190}"/>
    <cellStyle name="Normal 2 4 3 3 3 2 2 2 4" xfId="42772" xr:uid="{6F0E6A13-3B30-47E8-A094-A6808A62506E}"/>
    <cellStyle name="Normal 2 4 3 3 3 2 2 2 5" xfId="16578" xr:uid="{7ADA2CA2-C0D3-42AF-A372-63D8C6D9875F}"/>
    <cellStyle name="Normal 2 4 3 3 3 2 2 3" xfId="21661" xr:uid="{FF3AF6EA-411E-499C-93A4-D0F96E9695EE}"/>
    <cellStyle name="Normal 2 4 3 3 3 2 2 4" xfId="30108" xr:uid="{B354A25A-BC87-4ABE-8AFE-459997527002}"/>
    <cellStyle name="Normal 2 4 3 3 3 2 2 5" xfId="38555" xr:uid="{C8815509-9EB2-4A73-80C8-F375854C5C38}"/>
    <cellStyle name="Normal 2 4 3 3 3 2 2 6" xfId="12361" xr:uid="{D488A825-2EAB-41BB-8D34-5C931792D1E0}"/>
    <cellStyle name="Normal 2 4 3 3 3 2 3" xfId="5107" xr:uid="{00000000-0005-0000-0000-0000FD0F0000}"/>
    <cellStyle name="Normal 2 4 3 3 3 2 3 2" xfId="23733" xr:uid="{73B62E6A-0BCE-488E-8F40-DA4879528717}"/>
    <cellStyle name="Normal 2 4 3 3 3 2 3 3" xfId="32180" xr:uid="{F9793D08-CCD5-40EA-8323-7E9B0A1899EF}"/>
    <cellStyle name="Normal 2 4 3 3 3 2 3 4" xfId="40627" xr:uid="{CFF82723-F876-48E3-AF06-6B6E15EA2D8D}"/>
    <cellStyle name="Normal 2 4 3 3 3 2 3 5" xfId="14433" xr:uid="{B9B00380-D503-4744-9119-D4BB5EC56402}"/>
    <cellStyle name="Normal 2 4 3 3 3 2 4" xfId="9446" xr:uid="{7ACDBBC8-943F-41CF-9832-96F56BCB3985}"/>
    <cellStyle name="Normal 2 4 3 3 3 2 4 2" xfId="18762" xr:uid="{E31FD2DB-8AE8-4783-B17C-0CF37C36FE53}"/>
    <cellStyle name="Normal 2 4 3 3 3 2 5" xfId="19516" xr:uid="{9859180B-047F-4498-AA63-CBBE81A65AAA}"/>
    <cellStyle name="Normal 2 4 3 3 3 2 6" xfId="27963" xr:uid="{B9C6E710-05B3-41AE-9445-0664D184381C}"/>
    <cellStyle name="Normal 2 4 3 3 3 2 7" xfId="36410" xr:uid="{C9148D21-D331-42F8-A2C6-51ED8CEEF761}"/>
    <cellStyle name="Normal 2 4 3 3 3 2 8" xfId="10216" xr:uid="{66A82A12-76A3-4E25-AE03-011B4D3A1BEC}"/>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2 2 2" xfId="26291" xr:uid="{92288877-B881-4E5E-809D-267A4A30A65E}"/>
    <cellStyle name="Normal 2 4 3 3 3 3 2 2 3" xfId="34738" xr:uid="{CA0B94C6-5E0D-4964-BCC2-8FB139145CE3}"/>
    <cellStyle name="Normal 2 4 3 3 3 3 2 2 4" xfId="43185" xr:uid="{29E3FF62-E9FE-46C1-B70D-9A358B815E49}"/>
    <cellStyle name="Normal 2 4 3 3 3 3 2 2 5" xfId="16991" xr:uid="{7A3F0370-B4B6-47ED-86B4-8404B038DA30}"/>
    <cellStyle name="Normal 2 4 3 3 3 3 2 3" xfId="22074" xr:uid="{760D815F-B741-4308-9F1A-CC977CE63004}"/>
    <cellStyle name="Normal 2 4 3 3 3 3 2 4" xfId="30521" xr:uid="{693EE225-424E-4D79-B495-F756326975D8}"/>
    <cellStyle name="Normal 2 4 3 3 3 3 2 5" xfId="38968" xr:uid="{9D87ABAA-E18F-47C7-BD37-CC9DD8FEBD73}"/>
    <cellStyle name="Normal 2 4 3 3 3 3 2 6" xfId="12774" xr:uid="{62ABC93A-85DB-477D-B5CF-A66B0B19940C}"/>
    <cellStyle name="Normal 2 4 3 3 3 3 3" xfId="5520" xr:uid="{00000000-0005-0000-0000-000001100000}"/>
    <cellStyle name="Normal 2 4 3 3 3 3 3 2" xfId="24146" xr:uid="{A5CAF4F6-2C03-4801-8A25-EC59A0B220D0}"/>
    <cellStyle name="Normal 2 4 3 3 3 3 3 3" xfId="32593" xr:uid="{BACBE9D2-FD6C-44E0-B90D-F3A27B59CC57}"/>
    <cellStyle name="Normal 2 4 3 3 3 3 3 4" xfId="41040" xr:uid="{D2DBA28D-B675-451C-AD46-F1F3903D7424}"/>
    <cellStyle name="Normal 2 4 3 3 3 3 3 5" xfId="14846" xr:uid="{6CAA8286-97EE-4D9C-85DD-75A97EF4B2D7}"/>
    <cellStyle name="Normal 2 4 3 3 3 3 4" xfId="19929" xr:uid="{0D75C96F-55AD-45F4-8535-BCF8D6C6CBCD}"/>
    <cellStyle name="Normal 2 4 3 3 3 3 5" xfId="28376" xr:uid="{A50D029D-7BB7-480C-ABAB-3BF51B4E232E}"/>
    <cellStyle name="Normal 2 4 3 3 3 3 6" xfId="36823" xr:uid="{7BC15EE8-865E-445D-B3E4-3E82B6680669}"/>
    <cellStyle name="Normal 2 4 3 3 3 3 7" xfId="10629" xr:uid="{A651B4FC-63D7-440E-94E8-9612EA0D9412}"/>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2 2 2" xfId="26704" xr:uid="{FEA9AA0D-A9C5-4EB9-A77C-835C99A1C3D2}"/>
    <cellStyle name="Normal 2 4 3 3 3 4 2 2 3" xfId="35151" xr:uid="{ABF58138-C30B-4325-A2E0-980210EAD938}"/>
    <cellStyle name="Normal 2 4 3 3 3 4 2 2 4" xfId="43598" xr:uid="{0767C174-6A40-47B0-97E7-74EF715AB027}"/>
    <cellStyle name="Normal 2 4 3 3 3 4 2 2 5" xfId="17404" xr:uid="{0CD9B1F8-4885-4EBB-AF92-4C1683B203C7}"/>
    <cellStyle name="Normal 2 4 3 3 3 4 2 3" xfId="22487" xr:uid="{D668032B-4C92-40DC-99CE-3676D15A4540}"/>
    <cellStyle name="Normal 2 4 3 3 3 4 2 4" xfId="30934" xr:uid="{561C603C-51E2-40C6-B84E-4EB0CCF94254}"/>
    <cellStyle name="Normal 2 4 3 3 3 4 2 5" xfId="39381" xr:uid="{7885E568-95CB-4FE4-A69B-A23F528EB212}"/>
    <cellStyle name="Normal 2 4 3 3 3 4 2 6" xfId="13187" xr:uid="{7C720019-D17F-401F-95BC-127557380ED7}"/>
    <cellStyle name="Normal 2 4 3 3 3 4 3" xfId="5933" xr:uid="{00000000-0005-0000-0000-000005100000}"/>
    <cellStyle name="Normal 2 4 3 3 3 4 3 2" xfId="24559" xr:uid="{8E0A5ED5-D042-47B0-8F8A-8DEA78C3BA46}"/>
    <cellStyle name="Normal 2 4 3 3 3 4 3 3" xfId="33006" xr:uid="{EA29722E-A7DB-4D24-90F1-182A0FE33FC7}"/>
    <cellStyle name="Normal 2 4 3 3 3 4 3 4" xfId="41453" xr:uid="{E87ED50D-286B-4FE6-A24B-E2171D317BC0}"/>
    <cellStyle name="Normal 2 4 3 3 3 4 3 5" xfId="15259" xr:uid="{0F8988D7-C543-4EE7-A245-940BB8CDDF2E}"/>
    <cellStyle name="Normal 2 4 3 3 3 4 4" xfId="20342" xr:uid="{3A936EC2-2F48-4FE1-85B1-097A4BC609FF}"/>
    <cellStyle name="Normal 2 4 3 3 3 4 5" xfId="28789" xr:uid="{EE92A0B1-14AB-4997-87F7-8179D9073830}"/>
    <cellStyle name="Normal 2 4 3 3 3 4 6" xfId="37236" xr:uid="{5FBAAFA4-457E-4E6E-BF74-60BE77F5DE16}"/>
    <cellStyle name="Normal 2 4 3 3 3 4 7" xfId="11042" xr:uid="{275F1BF6-D4DD-40B2-AF03-D90D1B925878}"/>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2 2 2" xfId="27117" xr:uid="{3C0CDC69-4D54-4F95-8F69-CD4C1CFE8BE1}"/>
    <cellStyle name="Normal 2 4 3 3 3 5 2 2 3" xfId="35564" xr:uid="{BF18C60F-4FB2-4E38-A74C-EB0D984FC399}"/>
    <cellStyle name="Normal 2 4 3 3 3 5 2 2 4" xfId="44011" xr:uid="{E4A393DE-2556-4A1B-937F-06A2D1FEE8D3}"/>
    <cellStyle name="Normal 2 4 3 3 3 5 2 2 5" xfId="17817" xr:uid="{A325A9B0-E4FF-44E4-888D-BA4F317EF895}"/>
    <cellStyle name="Normal 2 4 3 3 3 5 2 3" xfId="22900" xr:uid="{7C2B3E2D-BF46-4146-9422-FBF268D5411A}"/>
    <cellStyle name="Normal 2 4 3 3 3 5 2 4" xfId="31347" xr:uid="{07D09DB4-2AB6-405F-A376-35D8A41DB8AC}"/>
    <cellStyle name="Normal 2 4 3 3 3 5 2 5" xfId="39794" xr:uid="{99DE7547-3114-4967-BCB6-EF511B421002}"/>
    <cellStyle name="Normal 2 4 3 3 3 5 2 6" xfId="13600" xr:uid="{7F10AFCD-F7E7-4333-99BC-0866A1325F8D}"/>
    <cellStyle name="Normal 2 4 3 3 3 5 3" xfId="6346" xr:uid="{00000000-0005-0000-0000-000009100000}"/>
    <cellStyle name="Normal 2 4 3 3 3 5 3 2" xfId="24972" xr:uid="{BA4AD79D-6F7C-4B64-B9D8-497D3A0A35D8}"/>
    <cellStyle name="Normal 2 4 3 3 3 5 3 3" xfId="33419" xr:uid="{CDD63DFC-DDFD-4D06-AAC1-79CAB0E555E5}"/>
    <cellStyle name="Normal 2 4 3 3 3 5 3 4" xfId="41866" xr:uid="{8D14830E-F48D-4278-ACF1-960BA1C1754E}"/>
    <cellStyle name="Normal 2 4 3 3 3 5 3 5" xfId="15672" xr:uid="{925C70A1-1078-4B87-87D0-8A55C1CD7C24}"/>
    <cellStyle name="Normal 2 4 3 3 3 5 4" xfId="20755" xr:uid="{C078C751-41D3-4987-8924-E557222E3FD7}"/>
    <cellStyle name="Normal 2 4 3 3 3 5 5" xfId="29202" xr:uid="{DFC58BE9-0EFF-48B2-8BA1-8DE9BC16F2B0}"/>
    <cellStyle name="Normal 2 4 3 3 3 5 6" xfId="37649" xr:uid="{E27538F0-6254-48C4-A39E-C6D783059929}"/>
    <cellStyle name="Normal 2 4 3 3 3 5 7" xfId="11455" xr:uid="{0CDEB4CC-DFED-45E0-A051-535A739FD3D7}"/>
    <cellStyle name="Normal 2 4 3 3 3 6" xfId="2476" xr:uid="{00000000-0005-0000-0000-00000A100000}"/>
    <cellStyle name="Normal 2 4 3 3 3 6 2" xfId="6759" xr:uid="{00000000-0005-0000-0000-00000B100000}"/>
    <cellStyle name="Normal 2 4 3 3 3 6 2 2" xfId="25385" xr:uid="{B84C6F51-5608-4070-9F3C-91345FD1AD83}"/>
    <cellStyle name="Normal 2 4 3 3 3 6 2 3" xfId="33832" xr:uid="{3577BE00-23EB-45EA-95D8-012CCEED862C}"/>
    <cellStyle name="Normal 2 4 3 3 3 6 2 4" xfId="42279" xr:uid="{9A96F83C-6ACD-4C44-9C9A-9145DE90F567}"/>
    <cellStyle name="Normal 2 4 3 3 3 6 2 5" xfId="16085" xr:uid="{B9164E0F-AE55-44B3-97AE-8DF823BBA216}"/>
    <cellStyle name="Normal 2 4 3 3 3 6 3" xfId="21168" xr:uid="{400AC54D-A079-4C06-A09E-067C53F23DB7}"/>
    <cellStyle name="Normal 2 4 3 3 3 6 4" xfId="29615" xr:uid="{6361CF80-EA7A-4687-9837-354BD4F87024}"/>
    <cellStyle name="Normal 2 4 3 3 3 6 5" xfId="38062" xr:uid="{E1801FE8-BE1E-468D-8EDB-059F55CD7F6B}"/>
    <cellStyle name="Normal 2 4 3 3 3 6 6" xfId="11868" xr:uid="{9DD405C3-4164-4A11-A974-D13952EB0462}"/>
    <cellStyle name="Normal 2 4 3 3 3 7" xfId="4693" xr:uid="{00000000-0005-0000-0000-00000C100000}"/>
    <cellStyle name="Normal 2 4 3 3 3 7 2" xfId="23319" xr:uid="{5DCA63BB-BB6B-4DD9-847C-7864134465BF}"/>
    <cellStyle name="Normal 2 4 3 3 3 7 3" xfId="31766" xr:uid="{A593B06C-69E9-4C67-864C-F7DF531B8DC4}"/>
    <cellStyle name="Normal 2 4 3 3 3 7 4" xfId="40213" xr:uid="{03ECC98A-4773-4D2E-8A83-F66DD56955ED}"/>
    <cellStyle name="Normal 2 4 3 3 3 7 5" xfId="14019" xr:uid="{9EDDAB95-4018-474A-B711-C4AE380B1C73}"/>
    <cellStyle name="Normal 2 4 3 3 3 8" xfId="9021" xr:uid="{4EC0F035-DC07-4262-9C58-7142AC357944}"/>
    <cellStyle name="Normal 2 4 3 3 3 8 2" xfId="18345" xr:uid="{129A921A-2D84-4175-9D60-9D966957BD66}"/>
    <cellStyle name="Normal 2 4 3 3 3 9" xfId="19102" xr:uid="{488C5D30-59AD-4078-A4BD-908B2DA0A7AB}"/>
    <cellStyle name="Normal 2 4 3 3 4" xfId="788" xr:uid="{00000000-0005-0000-0000-00000D100000}"/>
    <cellStyle name="Normal 2 4 3 3 4 2" xfId="3027" xr:uid="{00000000-0005-0000-0000-00000E100000}"/>
    <cellStyle name="Normal 2 4 3 3 4 2 2" xfId="7249" xr:uid="{00000000-0005-0000-0000-00000F100000}"/>
    <cellStyle name="Normal 2 4 3 3 4 2 2 2" xfId="25875" xr:uid="{FF7C5EA8-BC04-4386-BC60-905A962A1DF5}"/>
    <cellStyle name="Normal 2 4 3 3 4 2 2 3" xfId="34322" xr:uid="{8E4E17A3-6C40-4CEC-BFED-A02AAAC83EAE}"/>
    <cellStyle name="Normal 2 4 3 3 4 2 2 4" xfId="42769" xr:uid="{C196FBE3-A344-4840-8534-280707C2E837}"/>
    <cellStyle name="Normal 2 4 3 3 4 2 2 5" xfId="16575" xr:uid="{AB60CFE1-39D1-4972-A67B-EFA387FFA2A5}"/>
    <cellStyle name="Normal 2 4 3 3 4 2 3" xfId="21658" xr:uid="{CE1688E1-8C01-4FC7-BE7A-DD94E5B606E8}"/>
    <cellStyle name="Normal 2 4 3 3 4 2 4" xfId="30105" xr:uid="{C750FFE9-E633-4658-98FB-1C3631F66334}"/>
    <cellStyle name="Normal 2 4 3 3 4 2 5" xfId="38552" xr:uid="{98769D9C-10CA-482D-8FFD-7BAD63A42147}"/>
    <cellStyle name="Normal 2 4 3 3 4 2 6" xfId="12358" xr:uid="{4CCEEED6-9CE2-4F82-8359-2E28B7F0D15C}"/>
    <cellStyle name="Normal 2 4 3 3 4 3" xfId="5104" xr:uid="{00000000-0005-0000-0000-000010100000}"/>
    <cellStyle name="Normal 2 4 3 3 4 3 2" xfId="23730" xr:uid="{F54C2229-3705-41B3-8D59-238BAFE91A5D}"/>
    <cellStyle name="Normal 2 4 3 3 4 3 3" xfId="32177" xr:uid="{484A4E56-7A27-443D-A5B6-0137773A45B1}"/>
    <cellStyle name="Normal 2 4 3 3 4 3 4" xfId="40624" xr:uid="{FCA8D1D9-EDA7-47EB-AA3B-8A018A223561}"/>
    <cellStyle name="Normal 2 4 3 3 4 3 5" xfId="14430" xr:uid="{DAECF721-9134-43C3-9786-D2EDA3075DB2}"/>
    <cellStyle name="Normal 2 4 3 3 4 4" xfId="9239" xr:uid="{3DCBA9AF-C63D-4CA9-81B6-AC7CB7B67292}"/>
    <cellStyle name="Normal 2 4 3 3 4 4 2" xfId="18555" xr:uid="{26289568-D7EC-4F8B-82DB-06DC63AFF75A}"/>
    <cellStyle name="Normal 2 4 3 3 4 5" xfId="19513" xr:uid="{0AEA3CCC-554F-4DDD-8B15-9022C772056E}"/>
    <cellStyle name="Normal 2 4 3 3 4 6" xfId="27960" xr:uid="{5164E897-C40C-4144-8E7D-34535A5ADE20}"/>
    <cellStyle name="Normal 2 4 3 3 4 7" xfId="36407" xr:uid="{3CEE423E-8174-4EA6-A742-C926C325FB9E}"/>
    <cellStyle name="Normal 2 4 3 3 4 8" xfId="10213" xr:uid="{40C23AAB-75F0-46FC-9E48-83656DEFFB8D}"/>
    <cellStyle name="Normal 2 4 3 3 5" xfId="1210" xr:uid="{00000000-0005-0000-0000-000011100000}"/>
    <cellStyle name="Normal 2 4 3 3 5 2" xfId="3440" xr:uid="{00000000-0005-0000-0000-000012100000}"/>
    <cellStyle name="Normal 2 4 3 3 5 2 2" xfId="7662" xr:uid="{00000000-0005-0000-0000-000013100000}"/>
    <cellStyle name="Normal 2 4 3 3 5 2 2 2" xfId="26288" xr:uid="{7357E12A-1639-45BF-8668-266AD437497A}"/>
    <cellStyle name="Normal 2 4 3 3 5 2 2 3" xfId="34735" xr:uid="{273B465E-5197-4B24-ABC3-7A10559E0061}"/>
    <cellStyle name="Normal 2 4 3 3 5 2 2 4" xfId="43182" xr:uid="{6BF30A92-0A2D-4FD9-A2D0-0171F257F90F}"/>
    <cellStyle name="Normal 2 4 3 3 5 2 2 5" xfId="16988" xr:uid="{18709E28-31D6-4DFE-ADE8-54689A4D63BB}"/>
    <cellStyle name="Normal 2 4 3 3 5 2 3" xfId="22071" xr:uid="{E6F87F17-93D2-45CC-BB1E-E23A5D213A9D}"/>
    <cellStyle name="Normal 2 4 3 3 5 2 4" xfId="30518" xr:uid="{67A29FFE-BAB3-47B1-89DB-E709601C89C7}"/>
    <cellStyle name="Normal 2 4 3 3 5 2 5" xfId="38965" xr:uid="{0FEDE01C-4ADE-499C-AE6C-695FE126EDC3}"/>
    <cellStyle name="Normal 2 4 3 3 5 2 6" xfId="12771" xr:uid="{29962F13-70DB-494F-8D6E-7B36A0B63D42}"/>
    <cellStyle name="Normal 2 4 3 3 5 3" xfId="5517" xr:uid="{00000000-0005-0000-0000-000014100000}"/>
    <cellStyle name="Normal 2 4 3 3 5 3 2" xfId="24143" xr:uid="{9AA37662-4851-4DB3-B23B-A1ED1B268AE7}"/>
    <cellStyle name="Normal 2 4 3 3 5 3 3" xfId="32590" xr:uid="{4EBA61FF-057B-4414-BDE1-2088A905F942}"/>
    <cellStyle name="Normal 2 4 3 3 5 3 4" xfId="41037" xr:uid="{6F4BE807-A25A-4324-86F1-97E7FB9071C9}"/>
    <cellStyle name="Normal 2 4 3 3 5 3 5" xfId="14843" xr:uid="{6694E2AD-09CA-484E-9635-F81E496549F7}"/>
    <cellStyle name="Normal 2 4 3 3 5 4" xfId="19926" xr:uid="{E2EED651-D5CE-49F9-B00C-6D3D856F5B36}"/>
    <cellStyle name="Normal 2 4 3 3 5 5" xfId="28373" xr:uid="{572E3C2D-F335-4EE3-9041-9BFA4D9780FD}"/>
    <cellStyle name="Normal 2 4 3 3 5 6" xfId="36820" xr:uid="{1A9CA2B2-74E3-4971-8F0A-5A48A1AD0504}"/>
    <cellStyle name="Normal 2 4 3 3 5 7" xfId="10626" xr:uid="{ACEBBF11-7785-4972-A107-8092B9B83AD4}"/>
    <cellStyle name="Normal 2 4 3 3 6" xfId="1623" xr:uid="{00000000-0005-0000-0000-000015100000}"/>
    <cellStyle name="Normal 2 4 3 3 6 2" xfId="3853" xr:uid="{00000000-0005-0000-0000-000016100000}"/>
    <cellStyle name="Normal 2 4 3 3 6 2 2" xfId="8075" xr:uid="{00000000-0005-0000-0000-000017100000}"/>
    <cellStyle name="Normal 2 4 3 3 6 2 2 2" xfId="26701" xr:uid="{E1B016F8-F657-4A3C-B382-6C688AF95346}"/>
    <cellStyle name="Normal 2 4 3 3 6 2 2 3" xfId="35148" xr:uid="{E4A87F7C-A562-4D21-9F56-C6811F3FEDDD}"/>
    <cellStyle name="Normal 2 4 3 3 6 2 2 4" xfId="43595" xr:uid="{8EA71A50-BC30-446C-A785-25BA9A38F10B}"/>
    <cellStyle name="Normal 2 4 3 3 6 2 2 5" xfId="17401" xr:uid="{BC109F1A-13AA-48E1-B988-ED21F88070FD}"/>
    <cellStyle name="Normal 2 4 3 3 6 2 3" xfId="22484" xr:uid="{AF9E6131-9D08-4840-9728-A4CEA60E68EA}"/>
    <cellStyle name="Normal 2 4 3 3 6 2 4" xfId="30931" xr:uid="{D68B994B-4388-4AC1-ACFB-AA43F8065414}"/>
    <cellStyle name="Normal 2 4 3 3 6 2 5" xfId="39378" xr:uid="{6EBAEAE0-D652-4F2C-BB79-E3FF4821B0BA}"/>
    <cellStyle name="Normal 2 4 3 3 6 2 6" xfId="13184" xr:uid="{F9CFC5C9-47E6-49BA-A57A-A60932AB979C}"/>
    <cellStyle name="Normal 2 4 3 3 6 3" xfId="5930" xr:uid="{00000000-0005-0000-0000-000018100000}"/>
    <cellStyle name="Normal 2 4 3 3 6 3 2" xfId="24556" xr:uid="{10A77669-B14A-4929-9BA6-8A9349CC71B2}"/>
    <cellStyle name="Normal 2 4 3 3 6 3 3" xfId="33003" xr:uid="{3D6A3CCB-ABD2-4A1A-BA52-B6EC69CEAE1D}"/>
    <cellStyle name="Normal 2 4 3 3 6 3 4" xfId="41450" xr:uid="{DC2F5D41-4496-4477-AC5C-D426E84B01B4}"/>
    <cellStyle name="Normal 2 4 3 3 6 3 5" xfId="15256" xr:uid="{E6F0CE78-5306-41ED-B39E-63A5935D9666}"/>
    <cellStyle name="Normal 2 4 3 3 6 4" xfId="20339" xr:uid="{55C60877-AE87-42BE-B762-91CACB629F6C}"/>
    <cellStyle name="Normal 2 4 3 3 6 5" xfId="28786" xr:uid="{02BEE44C-8EB7-478A-8679-C494715EBC24}"/>
    <cellStyle name="Normal 2 4 3 3 6 6" xfId="37233" xr:uid="{FE48658A-E09C-4FA6-8B3D-EEF00F3F6847}"/>
    <cellStyle name="Normal 2 4 3 3 6 7" xfId="11039" xr:uid="{FF4D70F8-9C4E-4008-9278-6EFD8470D59E}"/>
    <cellStyle name="Normal 2 4 3 3 7" xfId="2037" xr:uid="{00000000-0005-0000-0000-000019100000}"/>
    <cellStyle name="Normal 2 4 3 3 7 2" xfId="4266" xr:uid="{00000000-0005-0000-0000-00001A100000}"/>
    <cellStyle name="Normal 2 4 3 3 7 2 2" xfId="8488" xr:uid="{00000000-0005-0000-0000-00001B100000}"/>
    <cellStyle name="Normal 2 4 3 3 7 2 2 2" xfId="27114" xr:uid="{68E24150-3B24-463C-98EB-43F058EE574A}"/>
    <cellStyle name="Normal 2 4 3 3 7 2 2 3" xfId="35561" xr:uid="{540EF2E5-91D2-4ACD-8542-420D1F8F7D73}"/>
    <cellStyle name="Normal 2 4 3 3 7 2 2 4" xfId="44008" xr:uid="{3BD4E878-B6B8-4C89-8AB1-65F99F417761}"/>
    <cellStyle name="Normal 2 4 3 3 7 2 2 5" xfId="17814" xr:uid="{2E4DDF21-70F0-4DA7-8CB2-B37CB812B664}"/>
    <cellStyle name="Normal 2 4 3 3 7 2 3" xfId="22897" xr:uid="{B454DFA9-0728-4DCE-8D42-EE8A8B54B4F2}"/>
    <cellStyle name="Normal 2 4 3 3 7 2 4" xfId="31344" xr:uid="{6C7250A1-BD16-4594-A93F-9CD63FDF27C2}"/>
    <cellStyle name="Normal 2 4 3 3 7 2 5" xfId="39791" xr:uid="{C0C363AE-21FC-4970-B86E-F53C01E1767A}"/>
    <cellStyle name="Normal 2 4 3 3 7 2 6" xfId="13597" xr:uid="{D88196E0-388E-4580-B139-E856C27FD026}"/>
    <cellStyle name="Normal 2 4 3 3 7 3" xfId="6343" xr:uid="{00000000-0005-0000-0000-00001C100000}"/>
    <cellStyle name="Normal 2 4 3 3 7 3 2" xfId="24969" xr:uid="{FE534320-A9A1-482D-AD15-1670407DEA12}"/>
    <cellStyle name="Normal 2 4 3 3 7 3 3" xfId="33416" xr:uid="{120E6F90-9C05-46B8-ADC0-2F5584C5254B}"/>
    <cellStyle name="Normal 2 4 3 3 7 3 4" xfId="41863" xr:uid="{9B849DE3-4D15-4BAD-90B6-583BCFA77C77}"/>
    <cellStyle name="Normal 2 4 3 3 7 3 5" xfId="15669" xr:uid="{B97AB6A9-FFC4-4CC6-8A07-6D727484C217}"/>
    <cellStyle name="Normal 2 4 3 3 7 4" xfId="20752" xr:uid="{49614DCE-9650-482B-B691-8D08C7FB9527}"/>
    <cellStyle name="Normal 2 4 3 3 7 5" xfId="29199" xr:uid="{4A5C1A01-C27C-4D4E-A755-87ACD669044D}"/>
    <cellStyle name="Normal 2 4 3 3 7 6" xfId="37646" xr:uid="{10BD67E4-55D8-4F0D-AF8D-18780986B58C}"/>
    <cellStyle name="Normal 2 4 3 3 7 7" xfId="11452" xr:uid="{3893194B-FDE1-4760-81CF-E2E0360549EC}"/>
    <cellStyle name="Normal 2 4 3 3 8" xfId="2473" xr:uid="{00000000-0005-0000-0000-00001D100000}"/>
    <cellStyle name="Normal 2 4 3 3 8 2" xfId="6756" xr:uid="{00000000-0005-0000-0000-00001E100000}"/>
    <cellStyle name="Normal 2 4 3 3 8 2 2" xfId="25382" xr:uid="{FF40158B-353C-430E-9334-3A8DDAB17CD0}"/>
    <cellStyle name="Normal 2 4 3 3 8 2 3" xfId="33829" xr:uid="{329E5A6F-2D18-4A4D-AD44-8612E3D3A7F0}"/>
    <cellStyle name="Normal 2 4 3 3 8 2 4" xfId="42276" xr:uid="{D2EB49B4-A2CD-42F3-8D5F-DB7731F1A6FA}"/>
    <cellStyle name="Normal 2 4 3 3 8 2 5" xfId="16082" xr:uid="{6AD7C565-9DCD-4356-B472-D66B537D9028}"/>
    <cellStyle name="Normal 2 4 3 3 8 3" xfId="21165" xr:uid="{A302DA9D-BC5D-4A16-8216-574E77E11FA1}"/>
    <cellStyle name="Normal 2 4 3 3 8 4" xfId="29612" xr:uid="{56E218DF-A59A-48AF-8E26-E7FBC7B1A916}"/>
    <cellStyle name="Normal 2 4 3 3 8 5" xfId="38059" xr:uid="{2F555A7D-12E8-4911-8E7E-01F8E45038D5}"/>
    <cellStyle name="Normal 2 4 3 3 8 6" xfId="11865" xr:uid="{6417A105-1D9C-438E-93EA-CABD7715604B}"/>
    <cellStyle name="Normal 2 4 3 3 9" xfId="4690" xr:uid="{00000000-0005-0000-0000-00001F100000}"/>
    <cellStyle name="Normal 2 4 3 3 9 2" xfId="23316" xr:uid="{F45B50F5-D50E-4EC9-AFE7-63A7C5726966}"/>
    <cellStyle name="Normal 2 4 3 3 9 3" xfId="31763" xr:uid="{DE14C343-AD6F-413E-AB65-DF34F7B5D9C4}"/>
    <cellStyle name="Normal 2 4 3 3 9 4" xfId="40210" xr:uid="{815E6D37-B9EB-4851-96B5-23923726B9DD}"/>
    <cellStyle name="Normal 2 4 3 3 9 5" xfId="14016" xr:uid="{BA01029D-45F9-46B5-A624-352B35D5B3B5}"/>
    <cellStyle name="Normal 2 4 3 4" xfId="787" xr:uid="{00000000-0005-0000-0000-000020100000}"/>
    <cellStyle name="Normal 2 4 3 4 2" xfId="3026" xr:uid="{00000000-0005-0000-0000-000021100000}"/>
    <cellStyle name="Normal 2 4 3 4 2 2" xfId="7248" xr:uid="{00000000-0005-0000-0000-000022100000}"/>
    <cellStyle name="Normal 2 4 3 4 2 2 2" xfId="25874" xr:uid="{87440A90-775D-4287-AF3B-D28F675A2113}"/>
    <cellStyle name="Normal 2 4 3 4 2 2 3" xfId="34321" xr:uid="{F317473D-E3F9-4644-AF28-D162B445B2C6}"/>
    <cellStyle name="Normal 2 4 3 4 2 2 4" xfId="42768" xr:uid="{9E6F7E5F-D398-4CFB-AA45-62F6CC4DB1D6}"/>
    <cellStyle name="Normal 2 4 3 4 2 2 5" xfId="16574" xr:uid="{4A34232A-34B9-4350-AA94-31329F981891}"/>
    <cellStyle name="Normal 2 4 3 4 2 3" xfId="21657" xr:uid="{5F6240B1-882F-4DAE-9E49-27D3A32D8B9B}"/>
    <cellStyle name="Normal 2 4 3 4 2 4" xfId="30104" xr:uid="{5B44AC0A-4F08-4CF0-9292-E86ABC4792E1}"/>
    <cellStyle name="Normal 2 4 3 4 2 5" xfId="38551" xr:uid="{C234C13A-E104-4D67-B663-DFFB4FDA11FC}"/>
    <cellStyle name="Normal 2 4 3 4 2 6" xfId="12357" xr:uid="{63619D11-288C-44CF-9A65-BDAAB1AF3F86}"/>
    <cellStyle name="Normal 2 4 3 4 3" xfId="5103" xr:uid="{00000000-0005-0000-0000-000023100000}"/>
    <cellStyle name="Normal 2 4 3 4 3 2" xfId="23729" xr:uid="{5B682C3C-E830-4C6E-93CB-246F8A1D7E92}"/>
    <cellStyle name="Normal 2 4 3 4 3 3" xfId="32176" xr:uid="{A07D8AC8-8E03-4AF4-BE16-327A4AF94B49}"/>
    <cellStyle name="Normal 2 4 3 4 3 4" xfId="40623" xr:uid="{F7469266-8051-4C39-BD7E-53C86EFF57F2}"/>
    <cellStyle name="Normal 2 4 3 4 3 5" xfId="14429" xr:uid="{A3A4C868-A4DB-49C1-A7D1-E4C5868155B2}"/>
    <cellStyle name="Normal 2 4 3 4 4" xfId="9605" xr:uid="{31B075F0-6828-4EC6-AC77-4B4B0626A722}"/>
    <cellStyle name="Normal 2 4 3 4 4 2" xfId="18907" xr:uid="{150ED663-9C08-4FD3-A11B-CC5DA3E95098}"/>
    <cellStyle name="Normal 2 4 3 4 5" xfId="19512" xr:uid="{8D81258A-3260-4089-9632-C02475F64896}"/>
    <cellStyle name="Normal 2 4 3 4 6" xfId="27959" xr:uid="{302E381D-232B-4D7C-803C-A4491D782526}"/>
    <cellStyle name="Normal 2 4 3 4 7" xfId="36406" xr:uid="{4D19FBBB-36CA-4935-A790-C34E01C9A7A2}"/>
    <cellStyle name="Normal 2 4 3 4 8" xfId="10212" xr:uid="{9A126851-94DF-4C0D-ABF8-6FA1050E0000}"/>
    <cellStyle name="Normal 2 4 3 5" xfId="1209" xr:uid="{00000000-0005-0000-0000-000024100000}"/>
    <cellStyle name="Normal 2 4 3 5 2" xfId="3439" xr:uid="{00000000-0005-0000-0000-000025100000}"/>
    <cellStyle name="Normal 2 4 3 5 2 2" xfId="7661" xr:uid="{00000000-0005-0000-0000-000026100000}"/>
    <cellStyle name="Normal 2 4 3 5 2 2 2" xfId="26287" xr:uid="{198F8B2A-CA5B-47F5-A6CA-BD5A9597F085}"/>
    <cellStyle name="Normal 2 4 3 5 2 2 3" xfId="34734" xr:uid="{D1E23257-6110-43B9-A352-0B1F73FE713A}"/>
    <cellStyle name="Normal 2 4 3 5 2 2 4" xfId="43181" xr:uid="{2D8FF7AD-7E9E-4FF3-9119-389050C1AC07}"/>
    <cellStyle name="Normal 2 4 3 5 2 2 5" xfId="16987" xr:uid="{BF124635-8FAD-4040-BC30-CB1BA2E16007}"/>
    <cellStyle name="Normal 2 4 3 5 2 3" xfId="22070" xr:uid="{8B8EE375-1A48-4B7F-B162-8DB8E4B2A5D4}"/>
    <cellStyle name="Normal 2 4 3 5 2 4" xfId="30517" xr:uid="{34CACF9D-CE7B-41F4-9D5F-65088D768BE0}"/>
    <cellStyle name="Normal 2 4 3 5 2 5" xfId="38964" xr:uid="{CD8C14E2-6A57-45A7-A420-92225E6DF914}"/>
    <cellStyle name="Normal 2 4 3 5 2 6" xfId="12770" xr:uid="{8498811F-D6FF-47C9-99E1-BC30509F0C93}"/>
    <cellStyle name="Normal 2 4 3 5 3" xfId="5516" xr:uid="{00000000-0005-0000-0000-000027100000}"/>
    <cellStyle name="Normal 2 4 3 5 3 2" xfId="24142" xr:uid="{911BE066-16C3-4D71-966B-996DD6616C22}"/>
    <cellStyle name="Normal 2 4 3 5 3 3" xfId="32589" xr:uid="{76E5C2C4-A0C6-4866-BBC4-9750766C0041}"/>
    <cellStyle name="Normal 2 4 3 5 3 4" xfId="41036" xr:uid="{555F205F-F41F-4112-B1C4-5AA3DA166614}"/>
    <cellStyle name="Normal 2 4 3 5 3 5" xfId="14842" xr:uid="{D19DD866-EFEF-47FE-9D04-DFD0C6330AA4}"/>
    <cellStyle name="Normal 2 4 3 5 4" xfId="19925" xr:uid="{5182AAAB-68B4-41FD-AAA0-2DE60E032485}"/>
    <cellStyle name="Normal 2 4 3 5 5" xfId="28372" xr:uid="{9DCB5A0A-BB56-418D-87D7-7E38429C5C67}"/>
    <cellStyle name="Normal 2 4 3 5 6" xfId="36819" xr:uid="{476E77EC-F1B8-4F8E-8B01-0569386C75CC}"/>
    <cellStyle name="Normal 2 4 3 5 7" xfId="10625" xr:uid="{CAE5E644-4061-4BE1-A73D-78350487A6A6}"/>
    <cellStyle name="Normal 2 4 3 6" xfId="1622" xr:uid="{00000000-0005-0000-0000-000028100000}"/>
    <cellStyle name="Normal 2 4 3 6 2" xfId="3852" xr:uid="{00000000-0005-0000-0000-000029100000}"/>
    <cellStyle name="Normal 2 4 3 6 2 2" xfId="8074" xr:uid="{00000000-0005-0000-0000-00002A100000}"/>
    <cellStyle name="Normal 2 4 3 6 2 2 2" xfId="26700" xr:uid="{A3B6660D-65C7-4FC8-AEAC-E7610DA56A7E}"/>
    <cellStyle name="Normal 2 4 3 6 2 2 3" xfId="35147" xr:uid="{2854F252-1BFA-423A-B6FA-1768F8941A3C}"/>
    <cellStyle name="Normal 2 4 3 6 2 2 4" xfId="43594" xr:uid="{5DC0FD4D-BC87-4D02-9190-4E325F581021}"/>
    <cellStyle name="Normal 2 4 3 6 2 2 5" xfId="17400" xr:uid="{50F0FED0-6C4F-47C4-A83A-E4F331ACC3EA}"/>
    <cellStyle name="Normal 2 4 3 6 2 3" xfId="22483" xr:uid="{C448EEE1-02B2-4212-8757-A9190373391B}"/>
    <cellStyle name="Normal 2 4 3 6 2 4" xfId="30930" xr:uid="{6D49056C-3292-4F08-A089-7B95C92EA168}"/>
    <cellStyle name="Normal 2 4 3 6 2 5" xfId="39377" xr:uid="{40BB9636-5CE3-4511-A092-0D9B9881DE9B}"/>
    <cellStyle name="Normal 2 4 3 6 2 6" xfId="13183" xr:uid="{6EEDFCD3-55B4-4012-B190-9EFD97435432}"/>
    <cellStyle name="Normal 2 4 3 6 3" xfId="5929" xr:uid="{00000000-0005-0000-0000-00002B100000}"/>
    <cellStyle name="Normal 2 4 3 6 3 2" xfId="24555" xr:uid="{FF176C16-364E-49A3-B237-A1665C0A34EA}"/>
    <cellStyle name="Normal 2 4 3 6 3 3" xfId="33002" xr:uid="{4FBEB300-10F9-4DEC-88A6-1B4BBA26641E}"/>
    <cellStyle name="Normal 2 4 3 6 3 4" xfId="41449" xr:uid="{DCB706B8-4F54-4860-AF51-062175DDE28A}"/>
    <cellStyle name="Normal 2 4 3 6 3 5" xfId="15255" xr:uid="{06164E7D-1531-44A3-9FA5-A99DD4020269}"/>
    <cellStyle name="Normal 2 4 3 6 4" xfId="20338" xr:uid="{B511AA0B-E0A9-4F6B-9CFB-D4841821C0B3}"/>
    <cellStyle name="Normal 2 4 3 6 5" xfId="28785" xr:uid="{0260C285-14FC-4063-A5DF-C8BFAB8323AE}"/>
    <cellStyle name="Normal 2 4 3 6 6" xfId="37232" xr:uid="{BF65CC48-9B54-4C3B-A026-4B5A4FBAC1CB}"/>
    <cellStyle name="Normal 2 4 3 6 7" xfId="11038" xr:uid="{336F4271-02E9-4DA1-AFF0-6A3C83591400}"/>
    <cellStyle name="Normal 2 4 3 7" xfId="2036" xr:uid="{00000000-0005-0000-0000-00002C100000}"/>
    <cellStyle name="Normal 2 4 3 7 2" xfId="4265" xr:uid="{00000000-0005-0000-0000-00002D100000}"/>
    <cellStyle name="Normal 2 4 3 7 2 2" xfId="8487" xr:uid="{00000000-0005-0000-0000-00002E100000}"/>
    <cellStyle name="Normal 2 4 3 7 2 2 2" xfId="27113" xr:uid="{D12C83EE-46ED-4B7D-9073-1260DD5BA705}"/>
    <cellStyle name="Normal 2 4 3 7 2 2 3" xfId="35560" xr:uid="{AAE58922-068C-4E6D-ABC2-8497D4B2C712}"/>
    <cellStyle name="Normal 2 4 3 7 2 2 4" xfId="44007" xr:uid="{8841A435-1DAE-4944-8EFE-D8EB747AE560}"/>
    <cellStyle name="Normal 2 4 3 7 2 2 5" xfId="17813" xr:uid="{508BBBC8-DBB2-4305-A4FB-CDA62E7D6055}"/>
    <cellStyle name="Normal 2 4 3 7 2 3" xfId="22896" xr:uid="{60E46B31-4390-420E-BCF7-271AC81CB9CD}"/>
    <cellStyle name="Normal 2 4 3 7 2 4" xfId="31343" xr:uid="{BF40C765-EE37-4574-8E72-FD8D1A4DD423}"/>
    <cellStyle name="Normal 2 4 3 7 2 5" xfId="39790" xr:uid="{316EEF13-BD7D-4E69-A8B5-41E573FCBF87}"/>
    <cellStyle name="Normal 2 4 3 7 2 6" xfId="13596" xr:uid="{AA88A4E8-93E2-4DC1-BC5A-468861D27FFE}"/>
    <cellStyle name="Normal 2 4 3 7 3" xfId="6342" xr:uid="{00000000-0005-0000-0000-00002F100000}"/>
    <cellStyle name="Normal 2 4 3 7 3 2" xfId="24968" xr:uid="{49019406-EFDB-4783-A0AA-2072CEC2F6B3}"/>
    <cellStyle name="Normal 2 4 3 7 3 3" xfId="33415" xr:uid="{F59B834D-02B5-4363-AFCD-999A0513C2A3}"/>
    <cellStyle name="Normal 2 4 3 7 3 4" xfId="41862" xr:uid="{7DF00DBF-1A77-485A-8B73-DA05A486B965}"/>
    <cellStyle name="Normal 2 4 3 7 3 5" xfId="15668" xr:uid="{7BF66953-697E-44D9-AA16-7BB96209E0F5}"/>
    <cellStyle name="Normal 2 4 3 7 4" xfId="20751" xr:uid="{00B84F23-8221-4BF3-B993-CF701ADB987D}"/>
    <cellStyle name="Normal 2 4 3 7 5" xfId="29198" xr:uid="{2BBB3FF8-1AB0-4423-AED1-530AC9D6C421}"/>
    <cellStyle name="Normal 2 4 3 7 6" xfId="37645" xr:uid="{E119AB94-33E6-44A7-A147-20614626DBE5}"/>
    <cellStyle name="Normal 2 4 3 7 7" xfId="11451" xr:uid="{03DA83F5-0577-44BC-9EFF-5EF5D5E83DBD}"/>
    <cellStyle name="Normal 2 4 3 8" xfId="2472" xr:uid="{00000000-0005-0000-0000-000030100000}"/>
    <cellStyle name="Normal 2 4 3 8 2" xfId="6755" xr:uid="{00000000-0005-0000-0000-000031100000}"/>
    <cellStyle name="Normal 2 4 3 8 2 2" xfId="25381" xr:uid="{0C697CF9-9E02-4FDF-9985-0F7B53F3BFA2}"/>
    <cellStyle name="Normal 2 4 3 8 2 3" xfId="33828" xr:uid="{684F3343-C2DB-4636-86EE-8FA3C3807699}"/>
    <cellStyle name="Normal 2 4 3 8 2 4" xfId="42275" xr:uid="{9E25436E-8A38-4A02-8CB3-50C3CA8F8230}"/>
    <cellStyle name="Normal 2 4 3 8 2 5" xfId="16081" xr:uid="{9A9D3C1B-2CB6-4DA1-B13C-2AD4C3A9FF51}"/>
    <cellStyle name="Normal 2 4 3 8 3" xfId="21164" xr:uid="{C89F04E8-204A-4143-918C-BDC074AC7C65}"/>
    <cellStyle name="Normal 2 4 3 8 4" xfId="29611" xr:uid="{E948100B-ED47-40D6-AAD1-89B7850DDD9E}"/>
    <cellStyle name="Normal 2 4 3 8 5" xfId="38058" xr:uid="{4E79052F-F992-43CE-BE4C-EA0086C5E6C8}"/>
    <cellStyle name="Normal 2 4 3 8 6" xfId="11864" xr:uid="{AEA25B3F-4FCE-4373-B2F7-2B6A70B90715}"/>
    <cellStyle name="Normal 2 4 3 9" xfId="4689" xr:uid="{00000000-0005-0000-0000-000032100000}"/>
    <cellStyle name="Normal 2 4 3 9 2" xfId="23315" xr:uid="{17DCA302-BFEA-4F55-B53B-7BDE21177973}"/>
    <cellStyle name="Normal 2 4 3 9 3" xfId="31762" xr:uid="{5975A6BC-2007-4A6D-B593-B0E667BAEAF7}"/>
    <cellStyle name="Normal 2 4 3 9 4" xfId="40209" xr:uid="{314C9DA2-C647-4034-B249-C4AAEC0C4D7F}"/>
    <cellStyle name="Normal 2 4 3 9 5" xfId="14015" xr:uid="{E896162F-E28D-4BDA-B17F-28A464344447}"/>
    <cellStyle name="Normal 2 4 4" xfId="302" xr:uid="{00000000-0005-0000-0000-000033100000}"/>
    <cellStyle name="Normal 2 4 5" xfId="303" xr:uid="{00000000-0005-0000-0000-000034100000}"/>
    <cellStyle name="Normal 2 4 5 10" xfId="4694" xr:uid="{00000000-0005-0000-0000-000035100000}"/>
    <cellStyle name="Normal 2 4 5 10 2" xfId="23320" xr:uid="{48650110-517D-4635-9330-6E7BC09C7788}"/>
    <cellStyle name="Normal 2 4 5 10 3" xfId="31767" xr:uid="{04F06480-8D7F-4481-B9F6-856561A226F1}"/>
    <cellStyle name="Normal 2 4 5 10 4" xfId="40214" xr:uid="{53440159-AA26-40C7-9297-85DC9A3DBC4E}"/>
    <cellStyle name="Normal 2 4 5 10 5" xfId="14020" xr:uid="{C64E98E3-859E-4CBD-95D9-F12B6F885485}"/>
    <cellStyle name="Normal 2 4 5 11" xfId="8780" xr:uid="{7650B30D-5C17-47F0-B17B-A5E27258C29E}"/>
    <cellStyle name="Normal 2 4 5 11 2" xfId="18104" xr:uid="{D6D80058-00BF-41CF-8E3B-5B0D18B0AC60}"/>
    <cellStyle name="Normal 2 4 5 12" xfId="19103" xr:uid="{72EF4D8A-9480-4529-9CC9-603357514B32}"/>
    <cellStyle name="Normal 2 4 5 13" xfId="27550" xr:uid="{FD68D717-FD8F-493A-AD52-DE5583F76279}"/>
    <cellStyle name="Normal 2 4 5 14" xfId="35997" xr:uid="{7FB7D532-017B-413A-A4C0-166672B5462A}"/>
    <cellStyle name="Normal 2 4 5 15" xfId="9803" xr:uid="{AB675866-2C1D-478E-9F39-3754D773A6EF}"/>
    <cellStyle name="Normal 2 4 5 2" xfId="304" xr:uid="{00000000-0005-0000-0000-000036100000}"/>
    <cellStyle name="Normal 2 4 5 2 10" xfId="8815" xr:uid="{40A5EFE5-2EC9-4F25-B9EC-CAF9321E00F7}"/>
    <cellStyle name="Normal 2 4 5 2 10 2" xfId="18139" xr:uid="{C018FB06-5A01-447B-B594-F93EA8C1C8E7}"/>
    <cellStyle name="Normal 2 4 5 2 11" xfId="19104" xr:uid="{F0677987-4448-49B3-BF8A-FFCD4D5441C7}"/>
    <cellStyle name="Normal 2 4 5 2 12" xfId="27551" xr:uid="{D27E88E7-B5DB-4B94-8B06-14D774E4DC05}"/>
    <cellStyle name="Normal 2 4 5 2 13" xfId="35998" xr:uid="{E68110E1-3CFA-4ED8-A643-3FCA8E7EED27}"/>
    <cellStyle name="Normal 2 4 5 2 14" xfId="9804" xr:uid="{E4FC1C8C-0BBC-4DB8-A818-8D80826E0573}"/>
    <cellStyle name="Normal 2 4 5 2 2" xfId="305" xr:uid="{00000000-0005-0000-0000-000037100000}"/>
    <cellStyle name="Normal 2 4 5 2 2 10" xfId="19105" xr:uid="{C217D4EE-064A-417A-83A9-79BB702A30DA}"/>
    <cellStyle name="Normal 2 4 5 2 2 11" xfId="27552" xr:uid="{95AF66C0-0590-4C51-8E05-4F19FF5611B6}"/>
    <cellStyle name="Normal 2 4 5 2 2 12" xfId="35999" xr:uid="{F3439B88-1642-4CE5-80E8-EECB26006F9A}"/>
    <cellStyle name="Normal 2 4 5 2 2 13" xfId="9805" xr:uid="{5F635FCD-1F7D-4EBD-AC3F-850E84CC7DFB}"/>
    <cellStyle name="Normal 2 4 5 2 2 2" xfId="306" xr:uid="{00000000-0005-0000-0000-000038100000}"/>
    <cellStyle name="Normal 2 4 5 2 2 2 10" xfId="27553" xr:uid="{50A5D186-93A2-482E-9F97-D1EC214B6AB7}"/>
    <cellStyle name="Normal 2 4 5 2 2 2 11" xfId="36000" xr:uid="{8E0B22F8-0EDC-4A54-A92A-7B56F2127C1B}"/>
    <cellStyle name="Normal 2 4 5 2 2 2 12" xfId="9806" xr:uid="{BBF95DF5-FB6D-42F7-82CB-F608BB860FE1}"/>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2 2 2" xfId="25882" xr:uid="{1C7349E7-FED2-4578-84D3-0A1FECEB6038}"/>
    <cellStyle name="Normal 2 4 5 2 2 2 2 2 2 3" xfId="34329" xr:uid="{6C64ABAD-A284-48D9-BB35-44A2196F1304}"/>
    <cellStyle name="Normal 2 4 5 2 2 2 2 2 2 4" xfId="42776" xr:uid="{DBD3797C-D954-44FD-9D52-DF86A0792FF9}"/>
    <cellStyle name="Normal 2 4 5 2 2 2 2 2 2 5" xfId="16582" xr:uid="{2CCFD5E6-6AAD-434D-84F3-E64A1DA81A1B}"/>
    <cellStyle name="Normal 2 4 5 2 2 2 2 2 3" xfId="21665" xr:uid="{D22E25F7-9164-4749-A61F-4AC955689DC3}"/>
    <cellStyle name="Normal 2 4 5 2 2 2 2 2 4" xfId="30112" xr:uid="{75E4EC95-3E84-4353-A855-4ED5124A8173}"/>
    <cellStyle name="Normal 2 4 5 2 2 2 2 2 5" xfId="38559" xr:uid="{B5528216-CE43-4B77-8ED8-CB8749EF3E2D}"/>
    <cellStyle name="Normal 2 4 5 2 2 2 2 2 6" xfId="12365" xr:uid="{AB0E5611-442A-47BC-A61E-ED7F52E39FF3}"/>
    <cellStyle name="Normal 2 4 5 2 2 2 2 3" xfId="5111" xr:uid="{00000000-0005-0000-0000-00003C100000}"/>
    <cellStyle name="Normal 2 4 5 2 2 2 2 3 2" xfId="23737" xr:uid="{5770B1C7-4B3A-4D50-8626-717A34E47E95}"/>
    <cellStyle name="Normal 2 4 5 2 2 2 2 3 3" xfId="32184" xr:uid="{A6196F65-FA88-4C09-B156-8A2DBFFA00EC}"/>
    <cellStyle name="Normal 2 4 5 2 2 2 2 3 4" xfId="40631" xr:uid="{C993F069-9A13-4D13-90E1-458E1D5ACCE9}"/>
    <cellStyle name="Normal 2 4 5 2 2 2 2 3 5" xfId="14437" xr:uid="{9D9BFF39-3DF5-4493-9EB8-1FF551C7952B}"/>
    <cellStyle name="Normal 2 4 5 2 2 2 2 4" xfId="9550" xr:uid="{8A7671EC-AB7E-4F51-9B1B-FE1F0FDC42A9}"/>
    <cellStyle name="Normal 2 4 5 2 2 2 2 4 2" xfId="18866" xr:uid="{FE273563-E960-4363-95C1-A5037D4095F2}"/>
    <cellStyle name="Normal 2 4 5 2 2 2 2 5" xfId="19520" xr:uid="{25E5C268-BE08-4D6D-A253-40EBB5865182}"/>
    <cellStyle name="Normal 2 4 5 2 2 2 2 6" xfId="27967" xr:uid="{7F6D2619-1EC0-4180-A7DA-AE526DB53743}"/>
    <cellStyle name="Normal 2 4 5 2 2 2 2 7" xfId="36414" xr:uid="{E636653E-44F6-4D71-81AF-F48D57C1F436}"/>
    <cellStyle name="Normal 2 4 5 2 2 2 2 8" xfId="10220" xr:uid="{6982BCC4-6109-4EB4-BE97-48FF35DA4B5D}"/>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2 2 2" xfId="26295" xr:uid="{F04D1A7C-B4BF-46AA-8168-29E7C8274E86}"/>
    <cellStyle name="Normal 2 4 5 2 2 2 3 2 2 3" xfId="34742" xr:uid="{44F64CFC-017B-4151-A47C-A50C49702FDD}"/>
    <cellStyle name="Normal 2 4 5 2 2 2 3 2 2 4" xfId="43189" xr:uid="{62978CF7-5A68-4F04-AA84-A62526ED29A0}"/>
    <cellStyle name="Normal 2 4 5 2 2 2 3 2 2 5" xfId="16995" xr:uid="{1175F5E9-00FA-4F01-98EB-E09B75BF6343}"/>
    <cellStyle name="Normal 2 4 5 2 2 2 3 2 3" xfId="22078" xr:uid="{CE390E55-86A2-4CD7-9794-8357EFD2A02B}"/>
    <cellStyle name="Normal 2 4 5 2 2 2 3 2 4" xfId="30525" xr:uid="{32086D0C-D0DE-4000-8FB1-A4F395508643}"/>
    <cellStyle name="Normal 2 4 5 2 2 2 3 2 5" xfId="38972" xr:uid="{11B65DCA-A9D7-40DE-AA28-463FB47F0C62}"/>
    <cellStyle name="Normal 2 4 5 2 2 2 3 2 6" xfId="12778" xr:uid="{9949F32B-BC09-4116-83F6-56BEA585485F}"/>
    <cellStyle name="Normal 2 4 5 2 2 2 3 3" xfId="5524" xr:uid="{00000000-0005-0000-0000-000040100000}"/>
    <cellStyle name="Normal 2 4 5 2 2 2 3 3 2" xfId="24150" xr:uid="{48C698FA-0480-49F3-9A10-6DDC4CDE98B1}"/>
    <cellStyle name="Normal 2 4 5 2 2 2 3 3 3" xfId="32597" xr:uid="{9C97F6EE-B9AF-4670-A1CE-70999A25AD97}"/>
    <cellStyle name="Normal 2 4 5 2 2 2 3 3 4" xfId="41044" xr:uid="{DCBC64A6-AAAA-4404-8FB4-3EE45664FD4B}"/>
    <cellStyle name="Normal 2 4 5 2 2 2 3 3 5" xfId="14850" xr:uid="{55C0A7B7-09E6-45BC-BBB7-BBE40D6C081B}"/>
    <cellStyle name="Normal 2 4 5 2 2 2 3 4" xfId="19933" xr:uid="{52C5A99D-C3B4-4843-BD2F-C56DE72E05F8}"/>
    <cellStyle name="Normal 2 4 5 2 2 2 3 5" xfId="28380" xr:uid="{9583E37B-FB6B-413C-86DA-21EDE106AF0F}"/>
    <cellStyle name="Normal 2 4 5 2 2 2 3 6" xfId="36827" xr:uid="{717E7CB4-8352-4CD9-A245-D91743776DCA}"/>
    <cellStyle name="Normal 2 4 5 2 2 2 3 7" xfId="10633" xr:uid="{D3798343-08B8-43CE-AD50-940068199D63}"/>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2 2 2" xfId="26708" xr:uid="{A287CBBD-ED23-4FFE-BA26-BC34A5B1D1A9}"/>
    <cellStyle name="Normal 2 4 5 2 2 2 4 2 2 3" xfId="35155" xr:uid="{F127A773-1B4F-4E0A-BC12-3A25432F0B66}"/>
    <cellStyle name="Normal 2 4 5 2 2 2 4 2 2 4" xfId="43602" xr:uid="{A6467CA3-48DA-467D-9D40-6B186622E227}"/>
    <cellStyle name="Normal 2 4 5 2 2 2 4 2 2 5" xfId="17408" xr:uid="{EC934EEE-BF06-4ED7-A2A4-2A706DF112F1}"/>
    <cellStyle name="Normal 2 4 5 2 2 2 4 2 3" xfId="22491" xr:uid="{226DE6A8-700D-4041-9FF1-56A4080EFCC2}"/>
    <cellStyle name="Normal 2 4 5 2 2 2 4 2 4" xfId="30938" xr:uid="{91B8ADBF-69E5-40C6-B45D-5F9BBCE1C382}"/>
    <cellStyle name="Normal 2 4 5 2 2 2 4 2 5" xfId="39385" xr:uid="{54C6995A-2A04-4BD2-8D85-91AD9830DCC8}"/>
    <cellStyle name="Normal 2 4 5 2 2 2 4 2 6" xfId="13191" xr:uid="{D61CB683-C367-4256-955E-F6D8F13A4DF8}"/>
    <cellStyle name="Normal 2 4 5 2 2 2 4 3" xfId="5937" xr:uid="{00000000-0005-0000-0000-000044100000}"/>
    <cellStyle name="Normal 2 4 5 2 2 2 4 3 2" xfId="24563" xr:uid="{F6BE108F-1A4E-44F6-B90E-102F6CB97056}"/>
    <cellStyle name="Normal 2 4 5 2 2 2 4 3 3" xfId="33010" xr:uid="{42C417A6-BDC2-425A-B212-7913509E4B78}"/>
    <cellStyle name="Normal 2 4 5 2 2 2 4 3 4" xfId="41457" xr:uid="{AC775DC2-39F8-4DE7-8732-675731C102BD}"/>
    <cellStyle name="Normal 2 4 5 2 2 2 4 3 5" xfId="15263" xr:uid="{F966EF5E-8F93-442D-9C5C-A4A63C8321CF}"/>
    <cellStyle name="Normal 2 4 5 2 2 2 4 4" xfId="20346" xr:uid="{55E08D47-AE07-44B9-BB57-8F4582ADEF20}"/>
    <cellStyle name="Normal 2 4 5 2 2 2 4 5" xfId="28793" xr:uid="{0416EF69-A220-49C1-B7FC-00326EFB04D8}"/>
    <cellStyle name="Normal 2 4 5 2 2 2 4 6" xfId="37240" xr:uid="{2BC13C95-F046-4DCC-BC7F-BD42F63C73EF}"/>
    <cellStyle name="Normal 2 4 5 2 2 2 4 7" xfId="11046" xr:uid="{3ECA9D55-6485-4FF6-B2A3-E70B32649626}"/>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2 2 2" xfId="27121" xr:uid="{6B9630D1-E28B-4A60-8ADB-EFB1A41EF750}"/>
    <cellStyle name="Normal 2 4 5 2 2 2 5 2 2 3" xfId="35568" xr:uid="{B738D66F-C948-49DC-8989-F273B7EA9756}"/>
    <cellStyle name="Normal 2 4 5 2 2 2 5 2 2 4" xfId="44015" xr:uid="{A176D852-5B47-4604-A528-E921F35AF392}"/>
    <cellStyle name="Normal 2 4 5 2 2 2 5 2 2 5" xfId="17821" xr:uid="{1A85BD03-BDDB-4487-9BD5-A19D557C9DE0}"/>
    <cellStyle name="Normal 2 4 5 2 2 2 5 2 3" xfId="22904" xr:uid="{AE65E3CC-545E-47A0-BE53-052A251CF920}"/>
    <cellStyle name="Normal 2 4 5 2 2 2 5 2 4" xfId="31351" xr:uid="{6B3201E3-D783-41E5-9821-838B6DFD3256}"/>
    <cellStyle name="Normal 2 4 5 2 2 2 5 2 5" xfId="39798" xr:uid="{4893D8F4-20C9-43CD-94F6-046C445C5EFF}"/>
    <cellStyle name="Normal 2 4 5 2 2 2 5 2 6" xfId="13604" xr:uid="{4D58EBE3-6E1A-4190-8A0F-46A4DBEC46FE}"/>
    <cellStyle name="Normal 2 4 5 2 2 2 5 3" xfId="6350" xr:uid="{00000000-0005-0000-0000-000048100000}"/>
    <cellStyle name="Normal 2 4 5 2 2 2 5 3 2" xfId="24976" xr:uid="{493A5116-7A4E-4F15-8399-14119246A737}"/>
    <cellStyle name="Normal 2 4 5 2 2 2 5 3 3" xfId="33423" xr:uid="{175A744D-9B1D-4826-8B9A-7DED78D00186}"/>
    <cellStyle name="Normal 2 4 5 2 2 2 5 3 4" xfId="41870" xr:uid="{88B49797-A5E1-4DE9-8CBE-08EB773BD077}"/>
    <cellStyle name="Normal 2 4 5 2 2 2 5 3 5" xfId="15676" xr:uid="{099D5269-D3AE-47E2-8B71-243B11FD750D}"/>
    <cellStyle name="Normal 2 4 5 2 2 2 5 4" xfId="20759" xr:uid="{0B730D18-1371-40F1-81AC-9B06C6C9C11D}"/>
    <cellStyle name="Normal 2 4 5 2 2 2 5 5" xfId="29206" xr:uid="{0C03CBDD-92CE-4479-960E-EFBCDE2D1E65}"/>
    <cellStyle name="Normal 2 4 5 2 2 2 5 6" xfId="37653" xr:uid="{1A4A13BB-D309-4159-BBD8-873829352C6A}"/>
    <cellStyle name="Normal 2 4 5 2 2 2 5 7" xfId="11459" xr:uid="{4FC852C3-DFEB-4A8A-8B12-86CF6D872250}"/>
    <cellStyle name="Normal 2 4 5 2 2 2 6" xfId="2480" xr:uid="{00000000-0005-0000-0000-000049100000}"/>
    <cellStyle name="Normal 2 4 5 2 2 2 6 2" xfId="6763" xr:uid="{00000000-0005-0000-0000-00004A100000}"/>
    <cellStyle name="Normal 2 4 5 2 2 2 6 2 2" xfId="25389" xr:uid="{C37427EF-9087-431A-875B-C10662302DE4}"/>
    <cellStyle name="Normal 2 4 5 2 2 2 6 2 3" xfId="33836" xr:uid="{71FD4D9A-68DD-4B1A-B640-D862D7B800C9}"/>
    <cellStyle name="Normal 2 4 5 2 2 2 6 2 4" xfId="42283" xr:uid="{0AC05C78-C7EC-4312-8383-E99CA7BA9B51}"/>
    <cellStyle name="Normal 2 4 5 2 2 2 6 2 5" xfId="16089" xr:uid="{013B7F22-0D22-4984-A753-46F8B81816E7}"/>
    <cellStyle name="Normal 2 4 5 2 2 2 6 3" xfId="21172" xr:uid="{507F0525-B5DF-4239-91F4-FA043277BEFF}"/>
    <cellStyle name="Normal 2 4 5 2 2 2 6 4" xfId="29619" xr:uid="{DC327971-C709-488B-B308-A714BD942B69}"/>
    <cellStyle name="Normal 2 4 5 2 2 2 6 5" xfId="38066" xr:uid="{D8D7F010-DE3D-4275-8C2E-E79F282DB725}"/>
    <cellStyle name="Normal 2 4 5 2 2 2 6 6" xfId="11872" xr:uid="{4BA19A1F-3D8B-4467-93AC-69AF76FDEE77}"/>
    <cellStyle name="Normal 2 4 5 2 2 2 7" xfId="4697" xr:uid="{00000000-0005-0000-0000-00004B100000}"/>
    <cellStyle name="Normal 2 4 5 2 2 2 7 2" xfId="23323" xr:uid="{156D92A3-F661-4BDB-82EC-D99F3A754D7F}"/>
    <cellStyle name="Normal 2 4 5 2 2 2 7 3" xfId="31770" xr:uid="{BB602A43-F170-4294-AE73-CD1E933BCCD6}"/>
    <cellStyle name="Normal 2 4 5 2 2 2 7 4" xfId="40217" xr:uid="{A21DE7D0-143A-41CB-8293-42410146C6E3}"/>
    <cellStyle name="Normal 2 4 5 2 2 2 7 5" xfId="14023" xr:uid="{624AB59D-DBD6-407A-B62E-9766F20385F2}"/>
    <cellStyle name="Normal 2 4 5 2 2 2 8" xfId="9125" xr:uid="{AE6B93A1-5C0B-49F1-AF15-6FC3FAFFE3B2}"/>
    <cellStyle name="Normal 2 4 5 2 2 2 8 2" xfId="18449" xr:uid="{54AFA698-1D88-47BE-B045-7B65D762D96F}"/>
    <cellStyle name="Normal 2 4 5 2 2 2 9" xfId="19106" xr:uid="{BD3A4AE6-FE92-4023-BD79-FDC307CD1EEF}"/>
    <cellStyle name="Normal 2 4 5 2 2 3" xfId="794" xr:uid="{00000000-0005-0000-0000-00004C100000}"/>
    <cellStyle name="Normal 2 4 5 2 2 3 2" xfId="3033" xr:uid="{00000000-0005-0000-0000-00004D100000}"/>
    <cellStyle name="Normal 2 4 5 2 2 3 2 2" xfId="7255" xr:uid="{00000000-0005-0000-0000-00004E100000}"/>
    <cellStyle name="Normal 2 4 5 2 2 3 2 2 2" xfId="25881" xr:uid="{3E28C1E6-6C8A-455E-AB45-24A516868C50}"/>
    <cellStyle name="Normal 2 4 5 2 2 3 2 2 3" xfId="34328" xr:uid="{D19C9AAC-08A2-4E44-B7EA-E50AC65D9274}"/>
    <cellStyle name="Normal 2 4 5 2 2 3 2 2 4" xfId="42775" xr:uid="{861A2C56-3FE6-4F71-B56E-0640F50F58C3}"/>
    <cellStyle name="Normal 2 4 5 2 2 3 2 2 5" xfId="16581" xr:uid="{454D55CA-5335-4B9E-8E6B-879461ADF509}"/>
    <cellStyle name="Normal 2 4 5 2 2 3 2 3" xfId="21664" xr:uid="{8987DF0C-4E6E-47E6-9C6C-1CF9AC04BBCD}"/>
    <cellStyle name="Normal 2 4 5 2 2 3 2 4" xfId="30111" xr:uid="{284E9C9D-B073-4AE4-88E8-9EE92CADC2EA}"/>
    <cellStyle name="Normal 2 4 5 2 2 3 2 5" xfId="38558" xr:uid="{14CD1936-B80F-4B58-AD69-27C4FA09162D}"/>
    <cellStyle name="Normal 2 4 5 2 2 3 2 6" xfId="12364" xr:uid="{1E06E7AF-5BCF-49A2-8517-B546843B1763}"/>
    <cellStyle name="Normal 2 4 5 2 2 3 3" xfId="5110" xr:uid="{00000000-0005-0000-0000-00004F100000}"/>
    <cellStyle name="Normal 2 4 5 2 2 3 3 2" xfId="23736" xr:uid="{150CF243-E4E5-4BE2-AE7B-EC874026C893}"/>
    <cellStyle name="Normal 2 4 5 2 2 3 3 3" xfId="32183" xr:uid="{59083B5B-36B8-40F0-B04E-573E0056DC5E}"/>
    <cellStyle name="Normal 2 4 5 2 2 3 3 4" xfId="40630" xr:uid="{9619A854-C9B5-456A-9DE8-5C2189AAB9B8}"/>
    <cellStyle name="Normal 2 4 5 2 2 3 3 5" xfId="14436" xr:uid="{D5D7D9B1-1903-4EBD-AF2D-D1B3C06DA13F}"/>
    <cellStyle name="Normal 2 4 5 2 2 3 4" xfId="9343" xr:uid="{FC4CD386-4202-45E2-8021-2A85CACF4E8B}"/>
    <cellStyle name="Normal 2 4 5 2 2 3 4 2" xfId="18659" xr:uid="{69CE7120-F82D-4F44-826C-66649A559355}"/>
    <cellStyle name="Normal 2 4 5 2 2 3 5" xfId="19519" xr:uid="{2870C971-EA06-4934-9218-66DAD1BD9B4C}"/>
    <cellStyle name="Normal 2 4 5 2 2 3 6" xfId="27966" xr:uid="{A5CDEE5E-ACFA-4A0C-8DF1-C2EE5D85E2C5}"/>
    <cellStyle name="Normal 2 4 5 2 2 3 7" xfId="36413" xr:uid="{ECA785AA-8A6F-4885-A67B-0F6B91D61707}"/>
    <cellStyle name="Normal 2 4 5 2 2 3 8" xfId="10219" xr:uid="{13595895-F326-474E-8B4C-E3FA10CF6466}"/>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2 2 2" xfId="26294" xr:uid="{42FDE70B-1365-418B-A127-EABBCF47BFC6}"/>
    <cellStyle name="Normal 2 4 5 2 2 4 2 2 3" xfId="34741" xr:uid="{B7040CFB-7966-44F2-A7EE-B10B512F89A0}"/>
    <cellStyle name="Normal 2 4 5 2 2 4 2 2 4" xfId="43188" xr:uid="{F6BEA08D-D356-4C8B-BB0C-FCFB15F72CCC}"/>
    <cellStyle name="Normal 2 4 5 2 2 4 2 2 5" xfId="16994" xr:uid="{222DD6F5-FEDD-433D-9C04-458A4D805281}"/>
    <cellStyle name="Normal 2 4 5 2 2 4 2 3" xfId="22077" xr:uid="{D38EDF64-F5CE-464A-909D-5926296AEC19}"/>
    <cellStyle name="Normal 2 4 5 2 2 4 2 4" xfId="30524" xr:uid="{52BC9495-FF4E-42E1-9B62-63036C1F9D23}"/>
    <cellStyle name="Normal 2 4 5 2 2 4 2 5" xfId="38971" xr:uid="{DF68C5E3-EB51-490C-AD05-DA340F130474}"/>
    <cellStyle name="Normal 2 4 5 2 2 4 2 6" xfId="12777" xr:uid="{BBC560C3-2B7E-4068-AFE2-F1BD6A36A528}"/>
    <cellStyle name="Normal 2 4 5 2 2 4 3" xfId="5523" xr:uid="{00000000-0005-0000-0000-000053100000}"/>
    <cellStyle name="Normal 2 4 5 2 2 4 3 2" xfId="24149" xr:uid="{BD604D02-6959-40B3-81CF-F4A82C1531D4}"/>
    <cellStyle name="Normal 2 4 5 2 2 4 3 3" xfId="32596" xr:uid="{71EC7582-E6E7-43EC-9301-2905A59C3174}"/>
    <cellStyle name="Normal 2 4 5 2 2 4 3 4" xfId="41043" xr:uid="{34EF298F-0335-4319-8BBE-6AC99A461982}"/>
    <cellStyle name="Normal 2 4 5 2 2 4 3 5" xfId="14849" xr:uid="{09C562A0-C813-4B89-9872-49A513CA5E65}"/>
    <cellStyle name="Normal 2 4 5 2 2 4 4" xfId="19932" xr:uid="{BF1D1614-CB2F-47CB-8569-468A2AAF1942}"/>
    <cellStyle name="Normal 2 4 5 2 2 4 5" xfId="28379" xr:uid="{236501DB-30D4-4A91-9EB3-3321E124E04D}"/>
    <cellStyle name="Normal 2 4 5 2 2 4 6" xfId="36826" xr:uid="{7226BA92-0ACA-45DC-B5F6-FBB35448BA78}"/>
    <cellStyle name="Normal 2 4 5 2 2 4 7" xfId="10632" xr:uid="{A362B8F7-2CAC-4214-9F95-5032600E4FBE}"/>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2 2 2" xfId="26707" xr:uid="{DFF29B16-AEC5-4BB1-87F1-DE32C0F51234}"/>
    <cellStyle name="Normal 2 4 5 2 2 5 2 2 3" xfId="35154" xr:uid="{C994854A-70B1-4634-BBAB-36AC465B08AC}"/>
    <cellStyle name="Normal 2 4 5 2 2 5 2 2 4" xfId="43601" xr:uid="{D056AE97-87A9-45AB-96A0-972124D0BDA2}"/>
    <cellStyle name="Normal 2 4 5 2 2 5 2 2 5" xfId="17407" xr:uid="{508C7162-32A7-417F-9AC4-CBFD4FF78F29}"/>
    <cellStyle name="Normal 2 4 5 2 2 5 2 3" xfId="22490" xr:uid="{D2D4529D-DC0B-4053-A097-E07CDB91C337}"/>
    <cellStyle name="Normal 2 4 5 2 2 5 2 4" xfId="30937" xr:uid="{92D660F7-0AE6-423D-9E93-BE2D76F246BA}"/>
    <cellStyle name="Normal 2 4 5 2 2 5 2 5" xfId="39384" xr:uid="{F78C6186-5DE8-40B0-863B-DF5ED8862109}"/>
    <cellStyle name="Normal 2 4 5 2 2 5 2 6" xfId="13190" xr:uid="{793CCCDB-6B76-4E0E-A2EC-EDF0F2A06B92}"/>
    <cellStyle name="Normal 2 4 5 2 2 5 3" xfId="5936" xr:uid="{00000000-0005-0000-0000-000057100000}"/>
    <cellStyle name="Normal 2 4 5 2 2 5 3 2" xfId="24562" xr:uid="{17647CBB-F119-46E8-9450-D9B773E23BA1}"/>
    <cellStyle name="Normal 2 4 5 2 2 5 3 3" xfId="33009" xr:uid="{4632AC80-A4A6-4E6F-A5C9-99249DED1D3F}"/>
    <cellStyle name="Normal 2 4 5 2 2 5 3 4" xfId="41456" xr:uid="{8B2E19D4-6E9A-4ECA-B914-6CEF9F4CD053}"/>
    <cellStyle name="Normal 2 4 5 2 2 5 3 5" xfId="15262" xr:uid="{A34CE55C-256D-4CE9-87E4-904530132D2A}"/>
    <cellStyle name="Normal 2 4 5 2 2 5 4" xfId="20345" xr:uid="{A06C3814-3DB2-40A5-8610-EFC514F2CFB1}"/>
    <cellStyle name="Normal 2 4 5 2 2 5 5" xfId="28792" xr:uid="{5FE6FE89-376A-41F9-B298-976E3F0454DE}"/>
    <cellStyle name="Normal 2 4 5 2 2 5 6" xfId="37239" xr:uid="{C419E477-CB1E-47FA-89D3-89A86512AA2F}"/>
    <cellStyle name="Normal 2 4 5 2 2 5 7" xfId="11045" xr:uid="{585D7732-53AE-4879-BDC7-8E30A5F23AEF}"/>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2 2 2" xfId="27120" xr:uid="{8502B8C7-71D8-4650-9BF9-F2498EDC4C97}"/>
    <cellStyle name="Normal 2 4 5 2 2 6 2 2 3" xfId="35567" xr:uid="{6EE682C2-42AC-4172-A5D3-EF919BF5BFBB}"/>
    <cellStyle name="Normal 2 4 5 2 2 6 2 2 4" xfId="44014" xr:uid="{83D003B5-0398-47B5-8303-268A47770C9C}"/>
    <cellStyle name="Normal 2 4 5 2 2 6 2 2 5" xfId="17820" xr:uid="{6B41C8AB-5F69-47FA-B1DD-40D78A9C7073}"/>
    <cellStyle name="Normal 2 4 5 2 2 6 2 3" xfId="22903" xr:uid="{9418ABF5-0C92-42DC-9AF5-2C072E8B44F5}"/>
    <cellStyle name="Normal 2 4 5 2 2 6 2 4" xfId="31350" xr:uid="{B54D91DF-A811-44AF-8FC6-345B4AC381FE}"/>
    <cellStyle name="Normal 2 4 5 2 2 6 2 5" xfId="39797" xr:uid="{A0DAB48A-ECAC-495A-B8C4-99E30ADF46C8}"/>
    <cellStyle name="Normal 2 4 5 2 2 6 2 6" xfId="13603" xr:uid="{89675C7A-C3CD-408F-BD29-61FCF824A595}"/>
    <cellStyle name="Normal 2 4 5 2 2 6 3" xfId="6349" xr:uid="{00000000-0005-0000-0000-00005B100000}"/>
    <cellStyle name="Normal 2 4 5 2 2 6 3 2" xfId="24975" xr:uid="{928EC46F-634D-4890-9BF2-910B4DB028A9}"/>
    <cellStyle name="Normal 2 4 5 2 2 6 3 3" xfId="33422" xr:uid="{5DBAD5E6-E4F3-4DB0-A68B-8F5618543135}"/>
    <cellStyle name="Normal 2 4 5 2 2 6 3 4" xfId="41869" xr:uid="{227827A5-0B95-451C-9C63-E6D7AB4F475D}"/>
    <cellStyle name="Normal 2 4 5 2 2 6 3 5" xfId="15675" xr:uid="{D2BE1306-369F-46F2-A9DD-66B5691C3FF5}"/>
    <cellStyle name="Normal 2 4 5 2 2 6 4" xfId="20758" xr:uid="{D010AB49-E16C-4B0F-BC9A-07EA215824FC}"/>
    <cellStyle name="Normal 2 4 5 2 2 6 5" xfId="29205" xr:uid="{76AA4EC0-BD24-47F7-AD82-F4848E2EB8BF}"/>
    <cellStyle name="Normal 2 4 5 2 2 6 6" xfId="37652" xr:uid="{08CD045B-6076-4828-9415-167AC7762284}"/>
    <cellStyle name="Normal 2 4 5 2 2 6 7" xfId="11458" xr:uid="{36FCC780-6A85-4154-A92B-F1625DD3AFEE}"/>
    <cellStyle name="Normal 2 4 5 2 2 7" xfId="2479" xr:uid="{00000000-0005-0000-0000-00005C100000}"/>
    <cellStyle name="Normal 2 4 5 2 2 7 2" xfId="6762" xr:uid="{00000000-0005-0000-0000-00005D100000}"/>
    <cellStyle name="Normal 2 4 5 2 2 7 2 2" xfId="25388" xr:uid="{808701CA-7A6E-49C1-A5D8-9D5A1ACB7241}"/>
    <cellStyle name="Normal 2 4 5 2 2 7 2 3" xfId="33835" xr:uid="{8B153683-B85B-4067-9DB8-1C2A109A959A}"/>
    <cellStyle name="Normal 2 4 5 2 2 7 2 4" xfId="42282" xr:uid="{C0D57887-4296-480F-A2A2-F19D71C8277F}"/>
    <cellStyle name="Normal 2 4 5 2 2 7 2 5" xfId="16088" xr:uid="{2A137802-86B0-4145-A04D-A93904DDD0AF}"/>
    <cellStyle name="Normal 2 4 5 2 2 7 3" xfId="21171" xr:uid="{EE30A53C-7662-4642-9528-4DFC9E3682BC}"/>
    <cellStyle name="Normal 2 4 5 2 2 7 4" xfId="29618" xr:uid="{96B49CAF-E1D2-45CE-AC29-A7BC73153CAB}"/>
    <cellStyle name="Normal 2 4 5 2 2 7 5" xfId="38065" xr:uid="{9FC886A8-FD38-45DA-9E73-43611D6B8A3D}"/>
    <cellStyle name="Normal 2 4 5 2 2 7 6" xfId="11871" xr:uid="{A260984A-F297-4F7B-8797-5B7691C59F00}"/>
    <cellStyle name="Normal 2 4 5 2 2 8" xfId="4696" xr:uid="{00000000-0005-0000-0000-00005E100000}"/>
    <cellStyle name="Normal 2 4 5 2 2 8 2" xfId="23322" xr:uid="{9F950126-3D16-4DE2-9781-AC4D27AC30CF}"/>
    <cellStyle name="Normal 2 4 5 2 2 8 3" xfId="31769" xr:uid="{C76EBC35-2816-4F14-BF41-B182FF6B4D5C}"/>
    <cellStyle name="Normal 2 4 5 2 2 8 4" xfId="40216" xr:uid="{535A1204-9B95-4E10-BCE1-9156D0A788DE}"/>
    <cellStyle name="Normal 2 4 5 2 2 8 5" xfId="14022" xr:uid="{A4B9E7C8-AE7F-40CC-B3A7-ADA2150C1C54}"/>
    <cellStyle name="Normal 2 4 5 2 2 9" xfId="8918" xr:uid="{C191AFB9-5B9B-45BF-8589-0BB68E370D0F}"/>
    <cellStyle name="Normal 2 4 5 2 2 9 2" xfId="18242" xr:uid="{C586B223-C24E-4B3F-8B86-FD339410BA76}"/>
    <cellStyle name="Normal 2 4 5 2 3" xfId="307" xr:uid="{00000000-0005-0000-0000-00005F100000}"/>
    <cellStyle name="Normal 2 4 5 2 3 10" xfId="27554" xr:uid="{FCEA1899-D8F6-457C-A5F0-4165C8A751F0}"/>
    <cellStyle name="Normal 2 4 5 2 3 11" xfId="36001" xr:uid="{C2673170-015C-46C1-9FC2-006A9460E62F}"/>
    <cellStyle name="Normal 2 4 5 2 3 12" xfId="9807" xr:uid="{8CC480AB-B2DB-4900-A0EE-AEC016044809}"/>
    <cellStyle name="Normal 2 4 5 2 3 2" xfId="796" xr:uid="{00000000-0005-0000-0000-000060100000}"/>
    <cellStyle name="Normal 2 4 5 2 3 2 2" xfId="3035" xr:uid="{00000000-0005-0000-0000-000061100000}"/>
    <cellStyle name="Normal 2 4 5 2 3 2 2 2" xfId="7257" xr:uid="{00000000-0005-0000-0000-000062100000}"/>
    <cellStyle name="Normal 2 4 5 2 3 2 2 2 2" xfId="25883" xr:uid="{93550752-F684-4F3E-85DC-057FA351D104}"/>
    <cellStyle name="Normal 2 4 5 2 3 2 2 2 3" xfId="34330" xr:uid="{9693EF73-E6ED-426D-8035-240BD947D811}"/>
    <cellStyle name="Normal 2 4 5 2 3 2 2 2 4" xfId="42777" xr:uid="{2FA4F471-8FCF-4A62-9854-E9895B3CA4B9}"/>
    <cellStyle name="Normal 2 4 5 2 3 2 2 2 5" xfId="16583" xr:uid="{A19309FB-234E-48D4-B7EF-4734A1801D6D}"/>
    <cellStyle name="Normal 2 4 5 2 3 2 2 3" xfId="21666" xr:uid="{B69377D7-709D-4E76-98B6-5A0207C14338}"/>
    <cellStyle name="Normal 2 4 5 2 3 2 2 4" xfId="30113" xr:uid="{7C1087ED-188C-41FE-A540-0DE56700B8B3}"/>
    <cellStyle name="Normal 2 4 5 2 3 2 2 5" xfId="38560" xr:uid="{6B3C44B6-3708-4A5A-9D56-C569DCEEE8ED}"/>
    <cellStyle name="Normal 2 4 5 2 3 2 2 6" xfId="12366" xr:uid="{2B102DB9-1769-4674-8651-B7CA8D4C2143}"/>
    <cellStyle name="Normal 2 4 5 2 3 2 3" xfId="5112" xr:uid="{00000000-0005-0000-0000-000063100000}"/>
    <cellStyle name="Normal 2 4 5 2 3 2 3 2" xfId="23738" xr:uid="{BDCDA741-5044-4E5B-8025-84B0A2F16B01}"/>
    <cellStyle name="Normal 2 4 5 2 3 2 3 3" xfId="32185" xr:uid="{CFDB0EFE-B4A1-4664-A4D6-D9A9472299CB}"/>
    <cellStyle name="Normal 2 4 5 2 3 2 3 4" xfId="40632" xr:uid="{E76B4AF1-9417-4F7F-9604-FC6713565D41}"/>
    <cellStyle name="Normal 2 4 5 2 3 2 3 5" xfId="14438" xr:uid="{CA0FBBBB-C381-4FA6-B2F9-5ED15421AF00}"/>
    <cellStyle name="Normal 2 4 5 2 3 2 4" xfId="9447" xr:uid="{5DAE67B2-15F6-4C7F-9310-B9C816D42F72}"/>
    <cellStyle name="Normal 2 4 5 2 3 2 4 2" xfId="18763" xr:uid="{C2BE53B2-A3F3-485B-94DE-216FFBB646DB}"/>
    <cellStyle name="Normal 2 4 5 2 3 2 5" xfId="19521" xr:uid="{F1EFCC16-E559-40BA-A5FB-823DB78FAD21}"/>
    <cellStyle name="Normal 2 4 5 2 3 2 6" xfId="27968" xr:uid="{B1FF50DD-68DB-4BFE-B0D7-58A6310F8EBB}"/>
    <cellStyle name="Normal 2 4 5 2 3 2 7" xfId="36415" xr:uid="{8775821E-5DE8-454D-9645-E1C64590B1F1}"/>
    <cellStyle name="Normal 2 4 5 2 3 2 8" xfId="10221" xr:uid="{AFEAD74B-65BD-4A85-9C6F-7B3854380EF8}"/>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2 2 2" xfId="26296" xr:uid="{93060AA4-251E-478F-BE04-78E036DF882C}"/>
    <cellStyle name="Normal 2 4 5 2 3 3 2 2 3" xfId="34743" xr:uid="{91A3F157-BA31-4284-8EAB-42A115E735A4}"/>
    <cellStyle name="Normal 2 4 5 2 3 3 2 2 4" xfId="43190" xr:uid="{3D6AFAB8-7BB5-4016-A6E3-B644775100CD}"/>
    <cellStyle name="Normal 2 4 5 2 3 3 2 2 5" xfId="16996" xr:uid="{15E7D258-185D-40D5-B890-32ED9E821202}"/>
    <cellStyle name="Normal 2 4 5 2 3 3 2 3" xfId="22079" xr:uid="{CC1639DC-7FA1-4109-AB72-48F4843A72F7}"/>
    <cellStyle name="Normal 2 4 5 2 3 3 2 4" xfId="30526" xr:uid="{D16F9CED-D4AB-48E6-9682-2FFB5B65F6F2}"/>
    <cellStyle name="Normal 2 4 5 2 3 3 2 5" xfId="38973" xr:uid="{FF0E5FCA-E1BC-43FB-B453-8893408A7FB6}"/>
    <cellStyle name="Normal 2 4 5 2 3 3 2 6" xfId="12779" xr:uid="{CCA82CC7-698A-42C7-AD8F-DCD70C4ED771}"/>
    <cellStyle name="Normal 2 4 5 2 3 3 3" xfId="5525" xr:uid="{00000000-0005-0000-0000-000067100000}"/>
    <cellStyle name="Normal 2 4 5 2 3 3 3 2" xfId="24151" xr:uid="{CF3C2F99-D708-49DC-A396-EA24A07A6415}"/>
    <cellStyle name="Normal 2 4 5 2 3 3 3 3" xfId="32598" xr:uid="{17CDC051-A4E4-4C19-89BE-8289A34B9B39}"/>
    <cellStyle name="Normal 2 4 5 2 3 3 3 4" xfId="41045" xr:uid="{DA626B50-BBE6-4618-80BD-F5076E9082DA}"/>
    <cellStyle name="Normal 2 4 5 2 3 3 3 5" xfId="14851" xr:uid="{095A9DDC-EA12-40C3-B156-D837048347BB}"/>
    <cellStyle name="Normal 2 4 5 2 3 3 4" xfId="19934" xr:uid="{13D74496-DC7B-4CD6-84C0-A8CD13AE63C3}"/>
    <cellStyle name="Normal 2 4 5 2 3 3 5" xfId="28381" xr:uid="{3FF81D9E-840A-4BBC-91C6-D22F883AE3D0}"/>
    <cellStyle name="Normal 2 4 5 2 3 3 6" xfId="36828" xr:uid="{D6E58E55-2012-4030-AEA7-276301A4F499}"/>
    <cellStyle name="Normal 2 4 5 2 3 3 7" xfId="10634" xr:uid="{C8C57A8F-51B1-49A9-9347-44FC4F475D27}"/>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2 2 2" xfId="26709" xr:uid="{5C13ABDF-4292-47B3-90A1-D8058854F921}"/>
    <cellStyle name="Normal 2 4 5 2 3 4 2 2 3" xfId="35156" xr:uid="{E0670D91-0DE3-4B3F-A050-D85E107DC65A}"/>
    <cellStyle name="Normal 2 4 5 2 3 4 2 2 4" xfId="43603" xr:uid="{5CA80E2F-B249-4EDB-93E4-F7C9FD8EE070}"/>
    <cellStyle name="Normal 2 4 5 2 3 4 2 2 5" xfId="17409" xr:uid="{7A12640B-67DA-440E-B909-D76D3786DC73}"/>
    <cellStyle name="Normal 2 4 5 2 3 4 2 3" xfId="22492" xr:uid="{23B72C8C-0BE9-43AE-AE82-33D412A5D7AB}"/>
    <cellStyle name="Normal 2 4 5 2 3 4 2 4" xfId="30939" xr:uid="{1C33DAD4-AF87-426C-A046-071F352DB3F1}"/>
    <cellStyle name="Normal 2 4 5 2 3 4 2 5" xfId="39386" xr:uid="{0570E258-2F3F-4C92-BFE2-3D70C7FA2B6D}"/>
    <cellStyle name="Normal 2 4 5 2 3 4 2 6" xfId="13192" xr:uid="{562FFFC9-0F31-44D7-A595-D07B996D21BC}"/>
    <cellStyle name="Normal 2 4 5 2 3 4 3" xfId="5938" xr:uid="{00000000-0005-0000-0000-00006B100000}"/>
    <cellStyle name="Normal 2 4 5 2 3 4 3 2" xfId="24564" xr:uid="{043D4783-CCFB-412C-8849-93738A5943C3}"/>
    <cellStyle name="Normal 2 4 5 2 3 4 3 3" xfId="33011" xr:uid="{18A3E8D1-7EFB-4966-8912-3D76814A0704}"/>
    <cellStyle name="Normal 2 4 5 2 3 4 3 4" xfId="41458" xr:uid="{60602DD5-FADF-458D-A8B5-22A31C37FA2B}"/>
    <cellStyle name="Normal 2 4 5 2 3 4 3 5" xfId="15264" xr:uid="{BF1F44EB-0C7B-444D-8629-8106E050520C}"/>
    <cellStyle name="Normal 2 4 5 2 3 4 4" xfId="20347" xr:uid="{150DFA70-D05F-4C2B-9025-1C9A3779DE3E}"/>
    <cellStyle name="Normal 2 4 5 2 3 4 5" xfId="28794" xr:uid="{E7250ED5-2F1B-448A-966B-100FA17E9AF0}"/>
    <cellStyle name="Normal 2 4 5 2 3 4 6" xfId="37241" xr:uid="{BA71CF09-807E-4369-8134-1E0AE8716936}"/>
    <cellStyle name="Normal 2 4 5 2 3 4 7" xfId="11047" xr:uid="{3BEDF000-C67E-455C-A574-C5C124847635}"/>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2 2 2" xfId="27122" xr:uid="{15E5BDA7-C31B-4AEB-9974-632FBBA78AE8}"/>
    <cellStyle name="Normal 2 4 5 2 3 5 2 2 3" xfId="35569" xr:uid="{788E96D7-9DA5-487A-8B5F-CEE00CFF21FD}"/>
    <cellStyle name="Normal 2 4 5 2 3 5 2 2 4" xfId="44016" xr:uid="{A8F2150B-000F-47BB-90B4-648EFA5C9B54}"/>
    <cellStyle name="Normal 2 4 5 2 3 5 2 2 5" xfId="17822" xr:uid="{C5881E50-B1FE-4D3F-BD8C-FE8E6CC52133}"/>
    <cellStyle name="Normal 2 4 5 2 3 5 2 3" xfId="22905" xr:uid="{863AF711-AE4D-4E10-BA02-B159266BBC9E}"/>
    <cellStyle name="Normal 2 4 5 2 3 5 2 4" xfId="31352" xr:uid="{2FE2333D-ACF0-40C7-BDAE-674848F18AF4}"/>
    <cellStyle name="Normal 2 4 5 2 3 5 2 5" xfId="39799" xr:uid="{A1F741D1-8B4B-4D08-B4CB-A3BC329A0F51}"/>
    <cellStyle name="Normal 2 4 5 2 3 5 2 6" xfId="13605" xr:uid="{B6FCE4A8-0282-4613-9BE8-23173957069B}"/>
    <cellStyle name="Normal 2 4 5 2 3 5 3" xfId="6351" xr:uid="{00000000-0005-0000-0000-00006F100000}"/>
    <cellStyle name="Normal 2 4 5 2 3 5 3 2" xfId="24977" xr:uid="{50321ACE-D8A3-42B9-BC80-B8F69A3C5B16}"/>
    <cellStyle name="Normal 2 4 5 2 3 5 3 3" xfId="33424" xr:uid="{6B5DDAA5-E44F-4602-851D-E0635ABE6F14}"/>
    <cellStyle name="Normal 2 4 5 2 3 5 3 4" xfId="41871" xr:uid="{062B3D07-235C-4009-8E45-D81CA801119F}"/>
    <cellStyle name="Normal 2 4 5 2 3 5 3 5" xfId="15677" xr:uid="{42BCA601-9C8C-4C7C-A170-BA91330D50F9}"/>
    <cellStyle name="Normal 2 4 5 2 3 5 4" xfId="20760" xr:uid="{6CD3D69C-61E6-473E-A349-59B6A49B35BA}"/>
    <cellStyle name="Normal 2 4 5 2 3 5 5" xfId="29207" xr:uid="{9432C36A-BE25-442B-A324-BB0AAAEAD65B}"/>
    <cellStyle name="Normal 2 4 5 2 3 5 6" xfId="37654" xr:uid="{5AC70846-2FE0-4270-869E-A9FFDF581F8E}"/>
    <cellStyle name="Normal 2 4 5 2 3 5 7" xfId="11460" xr:uid="{5E8C8BEF-1487-4D6B-A286-A180E21D7AA5}"/>
    <cellStyle name="Normal 2 4 5 2 3 6" xfId="2481" xr:uid="{00000000-0005-0000-0000-000070100000}"/>
    <cellStyle name="Normal 2 4 5 2 3 6 2" xfId="6764" xr:uid="{00000000-0005-0000-0000-000071100000}"/>
    <cellStyle name="Normal 2 4 5 2 3 6 2 2" xfId="25390" xr:uid="{534524DE-A34A-4387-95BA-0D3561019D7E}"/>
    <cellStyle name="Normal 2 4 5 2 3 6 2 3" xfId="33837" xr:uid="{1E7BD4ED-465A-4C41-9913-2D1C3AA8232E}"/>
    <cellStyle name="Normal 2 4 5 2 3 6 2 4" xfId="42284" xr:uid="{5E1A7D72-8BE9-4548-B35E-E9E8CE5644F4}"/>
    <cellStyle name="Normal 2 4 5 2 3 6 2 5" xfId="16090" xr:uid="{19D9CF1F-3B53-456F-879A-037CDD27C9FE}"/>
    <cellStyle name="Normal 2 4 5 2 3 6 3" xfId="21173" xr:uid="{B84AD673-E393-4E9E-9D8A-93A8CE188029}"/>
    <cellStyle name="Normal 2 4 5 2 3 6 4" xfId="29620" xr:uid="{52E2E16F-44B6-4626-B22E-A55ABD12A610}"/>
    <cellStyle name="Normal 2 4 5 2 3 6 5" xfId="38067" xr:uid="{3759DBC9-4955-4616-B429-41581EAD2BC1}"/>
    <cellStyle name="Normal 2 4 5 2 3 6 6" xfId="11873" xr:uid="{453B79A4-D4A3-4093-A298-2E66117FA436}"/>
    <cellStyle name="Normal 2 4 5 2 3 7" xfId="4698" xr:uid="{00000000-0005-0000-0000-000072100000}"/>
    <cellStyle name="Normal 2 4 5 2 3 7 2" xfId="23324" xr:uid="{A7E7AF23-DEC8-4C5D-9BBC-3C662D4A1CA6}"/>
    <cellStyle name="Normal 2 4 5 2 3 7 3" xfId="31771" xr:uid="{7647F396-1EEA-4E1D-8B98-D9743FEE1D4C}"/>
    <cellStyle name="Normal 2 4 5 2 3 7 4" xfId="40218" xr:uid="{790E448B-F7FF-45D5-88CB-4AEA2243A361}"/>
    <cellStyle name="Normal 2 4 5 2 3 7 5" xfId="14024" xr:uid="{14C7DCD8-6D8F-4C91-B65E-628234C1AC65}"/>
    <cellStyle name="Normal 2 4 5 2 3 8" xfId="9022" xr:uid="{B979F5DF-A88B-437D-B1B4-B92D08856DC7}"/>
    <cellStyle name="Normal 2 4 5 2 3 8 2" xfId="18346" xr:uid="{074A15CD-E5E5-45E0-B23A-671916E74B1F}"/>
    <cellStyle name="Normal 2 4 5 2 3 9" xfId="19107" xr:uid="{7B45B9C0-5EBE-48CA-B0A2-D14C9A79EE97}"/>
    <cellStyle name="Normal 2 4 5 2 4" xfId="793" xr:uid="{00000000-0005-0000-0000-000073100000}"/>
    <cellStyle name="Normal 2 4 5 2 4 2" xfId="3032" xr:uid="{00000000-0005-0000-0000-000074100000}"/>
    <cellStyle name="Normal 2 4 5 2 4 2 2" xfId="7254" xr:uid="{00000000-0005-0000-0000-000075100000}"/>
    <cellStyle name="Normal 2 4 5 2 4 2 2 2" xfId="25880" xr:uid="{316146EB-0201-49AE-8D45-3D7DFD6CC83A}"/>
    <cellStyle name="Normal 2 4 5 2 4 2 2 3" xfId="34327" xr:uid="{A84F6763-6B3A-4E10-A386-768C180D4CC1}"/>
    <cellStyle name="Normal 2 4 5 2 4 2 2 4" xfId="42774" xr:uid="{9417FB43-2810-4386-8FBE-D4D02580EDB2}"/>
    <cellStyle name="Normal 2 4 5 2 4 2 2 5" xfId="16580" xr:uid="{3BE3F706-E7B5-4D2C-A013-7B9BD327B5BE}"/>
    <cellStyle name="Normal 2 4 5 2 4 2 3" xfId="21663" xr:uid="{19A393AA-6962-4131-8654-8E82A6B5EA24}"/>
    <cellStyle name="Normal 2 4 5 2 4 2 4" xfId="30110" xr:uid="{AF9BC0C8-50F2-48B2-B33D-177D50B0C9F0}"/>
    <cellStyle name="Normal 2 4 5 2 4 2 5" xfId="38557" xr:uid="{C3907AAA-B80A-4A19-B048-DC9CD218660E}"/>
    <cellStyle name="Normal 2 4 5 2 4 2 6" xfId="12363" xr:uid="{CF3DF50C-C3E1-49A6-B16C-1F4E7F7A0B20}"/>
    <cellStyle name="Normal 2 4 5 2 4 3" xfId="5109" xr:uid="{00000000-0005-0000-0000-000076100000}"/>
    <cellStyle name="Normal 2 4 5 2 4 3 2" xfId="23735" xr:uid="{DAFF2AAF-968F-49F6-8E65-8B22D45248E8}"/>
    <cellStyle name="Normal 2 4 5 2 4 3 3" xfId="32182" xr:uid="{6CB202A5-DFEB-4BDD-923E-2395364DCEF8}"/>
    <cellStyle name="Normal 2 4 5 2 4 3 4" xfId="40629" xr:uid="{C39D4097-3210-421A-8EEB-4A171D97C750}"/>
    <cellStyle name="Normal 2 4 5 2 4 3 5" xfId="14435" xr:uid="{C2E196D9-1B35-42B0-AC91-E303AA89FE40}"/>
    <cellStyle name="Normal 2 4 5 2 4 4" xfId="9240" xr:uid="{16FBE981-4867-4157-8C0D-9C1339DB5B3F}"/>
    <cellStyle name="Normal 2 4 5 2 4 4 2" xfId="18556" xr:uid="{EE5DE2DD-B572-4502-80DE-60EF2AD16CB6}"/>
    <cellStyle name="Normal 2 4 5 2 4 5" xfId="19518" xr:uid="{B2DA09BF-CD07-411E-AA23-3A4BDC79DBE5}"/>
    <cellStyle name="Normal 2 4 5 2 4 6" xfId="27965" xr:uid="{21EB25CD-84AC-4727-87CD-E86050C57975}"/>
    <cellStyle name="Normal 2 4 5 2 4 7" xfId="36412" xr:uid="{F35CE7F9-C63A-4E11-B587-885CCD96DA75}"/>
    <cellStyle name="Normal 2 4 5 2 4 8" xfId="10218" xr:uid="{3176EABE-981F-42CE-B24D-B60087437230}"/>
    <cellStyle name="Normal 2 4 5 2 5" xfId="1215" xr:uid="{00000000-0005-0000-0000-000077100000}"/>
    <cellStyle name="Normal 2 4 5 2 5 2" xfId="3445" xr:uid="{00000000-0005-0000-0000-000078100000}"/>
    <cellStyle name="Normal 2 4 5 2 5 2 2" xfId="7667" xr:uid="{00000000-0005-0000-0000-000079100000}"/>
    <cellStyle name="Normal 2 4 5 2 5 2 2 2" xfId="26293" xr:uid="{9CD61FF3-7350-456F-8F4E-CAF98CC0E5FF}"/>
    <cellStyle name="Normal 2 4 5 2 5 2 2 3" xfId="34740" xr:uid="{22007B1A-351C-4747-BA12-FDAFED1AE1FE}"/>
    <cellStyle name="Normal 2 4 5 2 5 2 2 4" xfId="43187" xr:uid="{9304AAD0-4CBB-4406-9742-C32EF4E979F7}"/>
    <cellStyle name="Normal 2 4 5 2 5 2 2 5" xfId="16993" xr:uid="{067D9E03-0F3D-4889-809D-A0E618311499}"/>
    <cellStyle name="Normal 2 4 5 2 5 2 3" xfId="22076" xr:uid="{48F7BCD0-0F89-4DE5-A6ED-70FA258BCB44}"/>
    <cellStyle name="Normal 2 4 5 2 5 2 4" xfId="30523" xr:uid="{0322F4DD-6D91-493C-8486-727EBD90F73F}"/>
    <cellStyle name="Normal 2 4 5 2 5 2 5" xfId="38970" xr:uid="{1EB75907-AC3F-442C-9353-436E2B521F69}"/>
    <cellStyle name="Normal 2 4 5 2 5 2 6" xfId="12776" xr:uid="{C60F4B42-5AB3-4FD2-BC6F-AEA6628551B4}"/>
    <cellStyle name="Normal 2 4 5 2 5 3" xfId="5522" xr:uid="{00000000-0005-0000-0000-00007A100000}"/>
    <cellStyle name="Normal 2 4 5 2 5 3 2" xfId="24148" xr:uid="{9C7F6595-FB23-4D35-AEEA-213F64DEA726}"/>
    <cellStyle name="Normal 2 4 5 2 5 3 3" xfId="32595" xr:uid="{65AC05E4-DCB3-4D25-BD6D-F849E19196F2}"/>
    <cellStyle name="Normal 2 4 5 2 5 3 4" xfId="41042" xr:uid="{69A25C81-C3AC-4ACB-B82D-957E32810561}"/>
    <cellStyle name="Normal 2 4 5 2 5 3 5" xfId="14848" xr:uid="{E81C7DB8-F1F6-42A1-B839-E49EF7F9F300}"/>
    <cellStyle name="Normal 2 4 5 2 5 4" xfId="19931" xr:uid="{FF0B0BCD-3771-4E8B-973D-F413C5F41A13}"/>
    <cellStyle name="Normal 2 4 5 2 5 5" xfId="28378" xr:uid="{73437F4D-3381-4530-945C-0E483916499F}"/>
    <cellStyle name="Normal 2 4 5 2 5 6" xfId="36825" xr:uid="{5702890D-47BD-4F92-A686-09A5AE9F4AB2}"/>
    <cellStyle name="Normal 2 4 5 2 5 7" xfId="10631" xr:uid="{5A7DDFFA-8753-4C73-9DB3-853624F5A8DA}"/>
    <cellStyle name="Normal 2 4 5 2 6" xfId="1628" xr:uid="{00000000-0005-0000-0000-00007B100000}"/>
    <cellStyle name="Normal 2 4 5 2 6 2" xfId="3858" xr:uid="{00000000-0005-0000-0000-00007C100000}"/>
    <cellStyle name="Normal 2 4 5 2 6 2 2" xfId="8080" xr:uid="{00000000-0005-0000-0000-00007D100000}"/>
    <cellStyle name="Normal 2 4 5 2 6 2 2 2" xfId="26706" xr:uid="{AC5537FF-2F0D-47AA-938F-E8D78CDF7F17}"/>
    <cellStyle name="Normal 2 4 5 2 6 2 2 3" xfId="35153" xr:uid="{4A799585-85D7-4AE8-858E-CD3EE7FDA031}"/>
    <cellStyle name="Normal 2 4 5 2 6 2 2 4" xfId="43600" xr:uid="{0A474CA5-6DC0-45D7-9C25-4728E69858F7}"/>
    <cellStyle name="Normal 2 4 5 2 6 2 2 5" xfId="17406" xr:uid="{7FDF515E-1D7C-4294-ABD1-9175E16E3471}"/>
    <cellStyle name="Normal 2 4 5 2 6 2 3" xfId="22489" xr:uid="{440FEB2C-2417-41F5-A837-8867152A1AB7}"/>
    <cellStyle name="Normal 2 4 5 2 6 2 4" xfId="30936" xr:uid="{D9A539B4-12E7-4ACE-BC72-6D3B2A5C2E17}"/>
    <cellStyle name="Normal 2 4 5 2 6 2 5" xfId="39383" xr:uid="{CF90C416-22EE-4395-B281-7EBE4BD48A72}"/>
    <cellStyle name="Normal 2 4 5 2 6 2 6" xfId="13189" xr:uid="{0E8BE570-A9E0-48A1-AC3B-799B77C4D8AB}"/>
    <cellStyle name="Normal 2 4 5 2 6 3" xfId="5935" xr:uid="{00000000-0005-0000-0000-00007E100000}"/>
    <cellStyle name="Normal 2 4 5 2 6 3 2" xfId="24561" xr:uid="{E7EAFDF8-F0F1-418D-A183-842D3227ACBF}"/>
    <cellStyle name="Normal 2 4 5 2 6 3 3" xfId="33008" xr:uid="{9FBEC8F8-42BF-4AB5-AB6D-3167EB2A193B}"/>
    <cellStyle name="Normal 2 4 5 2 6 3 4" xfId="41455" xr:uid="{5DE8DDBB-4382-4FD5-B644-A24369D6B399}"/>
    <cellStyle name="Normal 2 4 5 2 6 3 5" xfId="15261" xr:uid="{135E4482-C39E-4F72-B45E-C1DC58012FDF}"/>
    <cellStyle name="Normal 2 4 5 2 6 4" xfId="20344" xr:uid="{9FC6267D-FCCA-4C70-8F0D-0F26C99FE9DD}"/>
    <cellStyle name="Normal 2 4 5 2 6 5" xfId="28791" xr:uid="{1DC5C961-C26A-411B-A2B1-CD0D61243816}"/>
    <cellStyle name="Normal 2 4 5 2 6 6" xfId="37238" xr:uid="{901E4707-D532-406A-A637-D86B77ACEFCE}"/>
    <cellStyle name="Normal 2 4 5 2 6 7" xfId="11044" xr:uid="{09611539-C3A2-43CD-B1FD-68BBDF2F5F67}"/>
    <cellStyle name="Normal 2 4 5 2 7" xfId="2042" xr:uid="{00000000-0005-0000-0000-00007F100000}"/>
    <cellStyle name="Normal 2 4 5 2 7 2" xfId="4271" xr:uid="{00000000-0005-0000-0000-000080100000}"/>
    <cellStyle name="Normal 2 4 5 2 7 2 2" xfId="8493" xr:uid="{00000000-0005-0000-0000-000081100000}"/>
    <cellStyle name="Normal 2 4 5 2 7 2 2 2" xfId="27119" xr:uid="{8CA19763-6C2C-499C-B4B5-277DCD53561F}"/>
    <cellStyle name="Normal 2 4 5 2 7 2 2 3" xfId="35566" xr:uid="{842B50D9-B41B-472C-ABD3-DC250EBF76D0}"/>
    <cellStyle name="Normal 2 4 5 2 7 2 2 4" xfId="44013" xr:uid="{8AF78919-7390-4465-B64B-7C26C449C94C}"/>
    <cellStyle name="Normal 2 4 5 2 7 2 2 5" xfId="17819" xr:uid="{575D217A-2461-4DAE-BE15-33A5E61CCB66}"/>
    <cellStyle name="Normal 2 4 5 2 7 2 3" xfId="22902" xr:uid="{AF857FB0-DB75-4F23-9504-3A44FE2E5A28}"/>
    <cellStyle name="Normal 2 4 5 2 7 2 4" xfId="31349" xr:uid="{C191834B-1233-4C24-A870-DC232AB9495D}"/>
    <cellStyle name="Normal 2 4 5 2 7 2 5" xfId="39796" xr:uid="{D44DD4F8-78F0-46F4-8E37-F0CD06C471CD}"/>
    <cellStyle name="Normal 2 4 5 2 7 2 6" xfId="13602" xr:uid="{E2062788-3FBF-4DE7-BC47-0667B91FC001}"/>
    <cellStyle name="Normal 2 4 5 2 7 3" xfId="6348" xr:uid="{00000000-0005-0000-0000-000082100000}"/>
    <cellStyle name="Normal 2 4 5 2 7 3 2" xfId="24974" xr:uid="{4E2DC7D3-E9B3-4577-A8AE-B6290508AF28}"/>
    <cellStyle name="Normal 2 4 5 2 7 3 3" xfId="33421" xr:uid="{75E40C69-0A96-4070-AEBB-8A4C734292E0}"/>
    <cellStyle name="Normal 2 4 5 2 7 3 4" xfId="41868" xr:uid="{451D68BD-2A60-4B11-B15E-F618D3F4D53C}"/>
    <cellStyle name="Normal 2 4 5 2 7 3 5" xfId="15674" xr:uid="{C87AAD0D-FE62-4A3C-9ECD-82ABEB553F8F}"/>
    <cellStyle name="Normal 2 4 5 2 7 4" xfId="20757" xr:uid="{191A4598-0A08-4D2E-AC39-FD757A8D75A8}"/>
    <cellStyle name="Normal 2 4 5 2 7 5" xfId="29204" xr:uid="{2CBBC108-FE85-4220-BCB3-137F2851255E}"/>
    <cellStyle name="Normal 2 4 5 2 7 6" xfId="37651" xr:uid="{C8A920AC-A57B-4480-9E22-EDAE3574BA3C}"/>
    <cellStyle name="Normal 2 4 5 2 7 7" xfId="11457" xr:uid="{2EE6C517-5DAF-4414-8D40-F682FF9A864A}"/>
    <cellStyle name="Normal 2 4 5 2 8" xfId="2478" xr:uid="{00000000-0005-0000-0000-000083100000}"/>
    <cellStyle name="Normal 2 4 5 2 8 2" xfId="6761" xr:uid="{00000000-0005-0000-0000-000084100000}"/>
    <cellStyle name="Normal 2 4 5 2 8 2 2" xfId="25387" xr:uid="{0F86D2E2-289C-41CA-BDA3-F6AE408B7372}"/>
    <cellStyle name="Normal 2 4 5 2 8 2 3" xfId="33834" xr:uid="{480FB53C-5909-451E-BE74-7CEB9CF81F96}"/>
    <cellStyle name="Normal 2 4 5 2 8 2 4" xfId="42281" xr:uid="{2EC4D8CD-C393-447C-9E22-8C4AF609575D}"/>
    <cellStyle name="Normal 2 4 5 2 8 2 5" xfId="16087" xr:uid="{03D85FD5-6C8D-4929-885C-6DDADC37FFF7}"/>
    <cellStyle name="Normal 2 4 5 2 8 3" xfId="21170" xr:uid="{2CCAA517-3412-4D75-B837-98EA9E9FF176}"/>
    <cellStyle name="Normal 2 4 5 2 8 4" xfId="29617" xr:uid="{9963D24F-F85C-4AF5-8DAF-4DF755988C86}"/>
    <cellStyle name="Normal 2 4 5 2 8 5" xfId="38064" xr:uid="{97C94C8F-4BD5-4AEA-95B1-C4CE4CFA7E09}"/>
    <cellStyle name="Normal 2 4 5 2 8 6" xfId="11870" xr:uid="{9355FFBA-CF82-4B98-B364-F0205B8F7895}"/>
    <cellStyle name="Normal 2 4 5 2 9" xfId="4695" xr:uid="{00000000-0005-0000-0000-000085100000}"/>
    <cellStyle name="Normal 2 4 5 2 9 2" xfId="23321" xr:uid="{30884BCA-D5E1-4C3E-9303-31DB1EB90514}"/>
    <cellStyle name="Normal 2 4 5 2 9 3" xfId="31768" xr:uid="{FC3157BE-865C-464D-934A-038FDE2522C3}"/>
    <cellStyle name="Normal 2 4 5 2 9 4" xfId="40215" xr:uid="{CF8F7C97-A8DB-467E-B4CB-3E7536DBC6EE}"/>
    <cellStyle name="Normal 2 4 5 2 9 5" xfId="14021" xr:uid="{53A5EA00-DA0D-4046-947F-A1C8A773AF8D}"/>
    <cellStyle name="Normal 2 4 5 3" xfId="308" xr:uid="{00000000-0005-0000-0000-000086100000}"/>
    <cellStyle name="Normal 2 4 5 3 10" xfId="19108" xr:uid="{7D7D004D-2820-4E90-B24D-E3344513EBF4}"/>
    <cellStyle name="Normal 2 4 5 3 11" xfId="27555" xr:uid="{96B77AEC-5931-4EB6-9D58-A178FEF481CB}"/>
    <cellStyle name="Normal 2 4 5 3 12" xfId="36002" xr:uid="{FC932415-E2E0-4F9C-92A1-320C1DB120D9}"/>
    <cellStyle name="Normal 2 4 5 3 13" xfId="9808" xr:uid="{32D694CF-5BC2-4AC2-BE54-A258A2CD9C3A}"/>
    <cellStyle name="Normal 2 4 5 3 2" xfId="309" xr:uid="{00000000-0005-0000-0000-000087100000}"/>
    <cellStyle name="Normal 2 4 5 3 2 10" xfId="27556" xr:uid="{661E7283-9F02-436E-9D99-B31BC7665DDE}"/>
    <cellStyle name="Normal 2 4 5 3 2 11" xfId="36003" xr:uid="{ECA8AE43-70F9-47A1-8B2B-9606BCAB861C}"/>
    <cellStyle name="Normal 2 4 5 3 2 12" xfId="9809" xr:uid="{029BB4B9-BE06-4E8E-AE52-AEEE4D991273}"/>
    <cellStyle name="Normal 2 4 5 3 2 2" xfId="798" xr:uid="{00000000-0005-0000-0000-000088100000}"/>
    <cellStyle name="Normal 2 4 5 3 2 2 2" xfId="3037" xr:uid="{00000000-0005-0000-0000-000089100000}"/>
    <cellStyle name="Normal 2 4 5 3 2 2 2 2" xfId="7259" xr:uid="{00000000-0005-0000-0000-00008A100000}"/>
    <cellStyle name="Normal 2 4 5 3 2 2 2 2 2" xfId="25885" xr:uid="{A4DE2304-57E2-416C-8E9C-DC3ED23C363E}"/>
    <cellStyle name="Normal 2 4 5 3 2 2 2 2 3" xfId="34332" xr:uid="{15EEF247-05F1-48F0-A4A6-B53F87217557}"/>
    <cellStyle name="Normal 2 4 5 3 2 2 2 2 4" xfId="42779" xr:uid="{F9E6AF96-807B-4F6D-A19C-EFBED9CCF5D6}"/>
    <cellStyle name="Normal 2 4 5 3 2 2 2 2 5" xfId="16585" xr:uid="{CA1D3898-CFC1-4D17-9FFE-11FF7F927E28}"/>
    <cellStyle name="Normal 2 4 5 3 2 2 2 3" xfId="21668" xr:uid="{9BF47E7A-7205-44B0-8452-287EF759638E}"/>
    <cellStyle name="Normal 2 4 5 3 2 2 2 4" xfId="30115" xr:uid="{F3F32AAC-AFF0-4484-8F8C-172D0F17ED02}"/>
    <cellStyle name="Normal 2 4 5 3 2 2 2 5" xfId="38562" xr:uid="{02404101-617F-454F-9DEB-7DC9140B0F9C}"/>
    <cellStyle name="Normal 2 4 5 3 2 2 2 6" xfId="12368" xr:uid="{F4F0407B-EE6C-4989-B719-35D681CCB2FF}"/>
    <cellStyle name="Normal 2 4 5 3 2 2 3" xfId="5114" xr:uid="{00000000-0005-0000-0000-00008B100000}"/>
    <cellStyle name="Normal 2 4 5 3 2 2 3 2" xfId="23740" xr:uid="{5DAC08E3-5362-4857-98A5-261BD3C1413C}"/>
    <cellStyle name="Normal 2 4 5 3 2 2 3 3" xfId="32187" xr:uid="{C3E3A162-C342-4C26-A2CC-28C94062C86A}"/>
    <cellStyle name="Normal 2 4 5 3 2 2 3 4" xfId="40634" xr:uid="{0BEDA8DC-CFF2-4CB6-8CDD-B825F87C9C2B}"/>
    <cellStyle name="Normal 2 4 5 3 2 2 3 5" xfId="14440" xr:uid="{8136A821-C793-4D0D-962C-20D006B680F2}"/>
    <cellStyle name="Normal 2 4 5 3 2 2 4" xfId="9515" xr:uid="{A1D6949C-773D-44DB-B26F-4DD01D24FF00}"/>
    <cellStyle name="Normal 2 4 5 3 2 2 4 2" xfId="18831" xr:uid="{CE67EFFB-F77C-46F5-9557-DAE2449C7C37}"/>
    <cellStyle name="Normal 2 4 5 3 2 2 5" xfId="19523" xr:uid="{F34F9FFF-37EB-4C11-ACCF-357FFAB4C464}"/>
    <cellStyle name="Normal 2 4 5 3 2 2 6" xfId="27970" xr:uid="{D42E38E6-4587-4F09-81E5-54F7272CA250}"/>
    <cellStyle name="Normal 2 4 5 3 2 2 7" xfId="36417" xr:uid="{614794CF-B165-4705-B6EF-DA370D0C4732}"/>
    <cellStyle name="Normal 2 4 5 3 2 2 8" xfId="10223" xr:uid="{78D8725A-640F-4757-A7D3-DEEE8DBD0E48}"/>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2 2 2" xfId="26298" xr:uid="{D451366E-9B49-4DD9-B0A0-365B04419241}"/>
    <cellStyle name="Normal 2 4 5 3 2 3 2 2 3" xfId="34745" xr:uid="{12DE0799-4D4B-48C2-B0C5-392E9E62A692}"/>
    <cellStyle name="Normal 2 4 5 3 2 3 2 2 4" xfId="43192" xr:uid="{8ED9046C-250C-4A00-A947-ECCC4B866C17}"/>
    <cellStyle name="Normal 2 4 5 3 2 3 2 2 5" xfId="16998" xr:uid="{D7F18D43-061A-414A-BFB9-FA7AA1F1D972}"/>
    <cellStyle name="Normal 2 4 5 3 2 3 2 3" xfId="22081" xr:uid="{80479DE3-DDE7-480D-82D0-B1315376F0C1}"/>
    <cellStyle name="Normal 2 4 5 3 2 3 2 4" xfId="30528" xr:uid="{BA5BAA89-CB2A-4BE2-A067-E912781FE32E}"/>
    <cellStyle name="Normal 2 4 5 3 2 3 2 5" xfId="38975" xr:uid="{FD5AA994-D6E2-47CE-8128-E3FB8D275B88}"/>
    <cellStyle name="Normal 2 4 5 3 2 3 2 6" xfId="12781" xr:uid="{FC420549-DEA9-4924-AFA4-5623A3960DCD}"/>
    <cellStyle name="Normal 2 4 5 3 2 3 3" xfId="5527" xr:uid="{00000000-0005-0000-0000-00008F100000}"/>
    <cellStyle name="Normal 2 4 5 3 2 3 3 2" xfId="24153" xr:uid="{06BC0053-3FB3-4551-8E78-530F0B901119}"/>
    <cellStyle name="Normal 2 4 5 3 2 3 3 3" xfId="32600" xr:uid="{9DDEE320-91A9-4148-868D-A3AC321639D0}"/>
    <cellStyle name="Normal 2 4 5 3 2 3 3 4" xfId="41047" xr:uid="{2053E3BA-1CB8-4ECF-8809-45D72D352896}"/>
    <cellStyle name="Normal 2 4 5 3 2 3 3 5" xfId="14853" xr:uid="{0E822C46-4AD4-4BF4-9F50-6CF14C3E4BFD}"/>
    <cellStyle name="Normal 2 4 5 3 2 3 4" xfId="19936" xr:uid="{4C012BF6-178F-48F3-AAE7-8659083BA82D}"/>
    <cellStyle name="Normal 2 4 5 3 2 3 5" xfId="28383" xr:uid="{2BB750DA-8E38-4CD8-B353-4521CCD42AE9}"/>
    <cellStyle name="Normal 2 4 5 3 2 3 6" xfId="36830" xr:uid="{D46A259E-3A67-4F72-9AED-5D4DC34AF879}"/>
    <cellStyle name="Normal 2 4 5 3 2 3 7" xfId="10636" xr:uid="{400FB1C3-1239-4F20-AB10-5E206D6F3EAE}"/>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2 2 2" xfId="26711" xr:uid="{09D2E5EF-4FD8-4CB7-BF12-8B7FAEDD69BE}"/>
    <cellStyle name="Normal 2 4 5 3 2 4 2 2 3" xfId="35158" xr:uid="{CCF5BED8-7F94-47B7-B491-2E0D5E2C4450}"/>
    <cellStyle name="Normal 2 4 5 3 2 4 2 2 4" xfId="43605" xr:uid="{E2AFBC1A-A8CA-4BE6-A255-833BB3B3CBB1}"/>
    <cellStyle name="Normal 2 4 5 3 2 4 2 2 5" xfId="17411" xr:uid="{5EC9E588-BFD0-4F86-B073-150F26AD9EB9}"/>
    <cellStyle name="Normal 2 4 5 3 2 4 2 3" xfId="22494" xr:uid="{26BF15B6-6ADA-4FE5-99C9-6653D9ACCA25}"/>
    <cellStyle name="Normal 2 4 5 3 2 4 2 4" xfId="30941" xr:uid="{2709755B-326C-47D4-9FCB-2D5E98F76608}"/>
    <cellStyle name="Normal 2 4 5 3 2 4 2 5" xfId="39388" xr:uid="{B6840A1B-C0BB-4FB0-B328-ADEC1B4C7865}"/>
    <cellStyle name="Normal 2 4 5 3 2 4 2 6" xfId="13194" xr:uid="{7646491A-2AA2-4602-84EE-A15C7D745D13}"/>
    <cellStyle name="Normal 2 4 5 3 2 4 3" xfId="5940" xr:uid="{00000000-0005-0000-0000-000093100000}"/>
    <cellStyle name="Normal 2 4 5 3 2 4 3 2" xfId="24566" xr:uid="{09E0EA91-2EEE-4AC9-95D8-C613789D51E1}"/>
    <cellStyle name="Normal 2 4 5 3 2 4 3 3" xfId="33013" xr:uid="{AAD83BB4-DA63-4764-BF4A-CBE749AB0956}"/>
    <cellStyle name="Normal 2 4 5 3 2 4 3 4" xfId="41460" xr:uid="{5ECC6BB7-02D2-4481-BEE9-23081D8DE8FD}"/>
    <cellStyle name="Normal 2 4 5 3 2 4 3 5" xfId="15266" xr:uid="{9385F3B2-04C6-49AD-B868-C0A76AD41BA6}"/>
    <cellStyle name="Normal 2 4 5 3 2 4 4" xfId="20349" xr:uid="{C21B5C10-FC37-4CAD-BAB3-A82AB82FE72D}"/>
    <cellStyle name="Normal 2 4 5 3 2 4 5" xfId="28796" xr:uid="{FE719998-56CB-4F4F-A39D-AC27EAD61AE8}"/>
    <cellStyle name="Normal 2 4 5 3 2 4 6" xfId="37243" xr:uid="{B0C30FF7-B9C8-4D31-AE83-FF4CD92B79B5}"/>
    <cellStyle name="Normal 2 4 5 3 2 4 7" xfId="11049" xr:uid="{15DBE561-31B8-427C-AE1A-8B7BE1A5E9D5}"/>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2 2 2" xfId="27124" xr:uid="{8C12C272-DBF0-4CD6-AC24-830935AB773D}"/>
    <cellStyle name="Normal 2 4 5 3 2 5 2 2 3" xfId="35571" xr:uid="{CBBF5909-FF70-4F7E-A4C4-C2E12277FA6C}"/>
    <cellStyle name="Normal 2 4 5 3 2 5 2 2 4" xfId="44018" xr:uid="{00CB4E23-8CBD-4257-A2C3-48D6538D9FCE}"/>
    <cellStyle name="Normal 2 4 5 3 2 5 2 2 5" xfId="17824" xr:uid="{161E4276-2BD9-40BE-9C63-EFD7AD2CC747}"/>
    <cellStyle name="Normal 2 4 5 3 2 5 2 3" xfId="22907" xr:uid="{42870C57-49D8-4E46-88F6-8F2B80F0AD76}"/>
    <cellStyle name="Normal 2 4 5 3 2 5 2 4" xfId="31354" xr:uid="{EA0E6AE6-E27C-48C1-9BAD-82E68B82E3E5}"/>
    <cellStyle name="Normal 2 4 5 3 2 5 2 5" xfId="39801" xr:uid="{D7CE93ED-81E3-4D6B-8D60-A8785CB1BE13}"/>
    <cellStyle name="Normal 2 4 5 3 2 5 2 6" xfId="13607" xr:uid="{F4CFF45E-99D0-4DFF-BF12-7C57278E85A5}"/>
    <cellStyle name="Normal 2 4 5 3 2 5 3" xfId="6353" xr:uid="{00000000-0005-0000-0000-000097100000}"/>
    <cellStyle name="Normal 2 4 5 3 2 5 3 2" xfId="24979" xr:uid="{0FAAC042-1CAD-4A78-8C08-E9DCE0C007DA}"/>
    <cellStyle name="Normal 2 4 5 3 2 5 3 3" xfId="33426" xr:uid="{64DC7313-E482-43E8-A713-83178CFF9EFA}"/>
    <cellStyle name="Normal 2 4 5 3 2 5 3 4" xfId="41873" xr:uid="{D42D9E54-1F72-4E62-A2C1-2CFA81E98EC9}"/>
    <cellStyle name="Normal 2 4 5 3 2 5 3 5" xfId="15679" xr:uid="{E1EDC6A8-0353-493F-9D52-A5A21383C36C}"/>
    <cellStyle name="Normal 2 4 5 3 2 5 4" xfId="20762" xr:uid="{E56BD4DE-B1D1-4992-AEE7-F931342526D1}"/>
    <cellStyle name="Normal 2 4 5 3 2 5 5" xfId="29209" xr:uid="{DAAFB5E2-5FD9-4C53-8BB7-2D36146B24EB}"/>
    <cellStyle name="Normal 2 4 5 3 2 5 6" xfId="37656" xr:uid="{C2AF14F4-83FE-41AB-BE1C-23A5418315C6}"/>
    <cellStyle name="Normal 2 4 5 3 2 5 7" xfId="11462" xr:uid="{53F1F50D-93B2-4C23-81B0-3D03178F8274}"/>
    <cellStyle name="Normal 2 4 5 3 2 6" xfId="2483" xr:uid="{00000000-0005-0000-0000-000098100000}"/>
    <cellStyle name="Normal 2 4 5 3 2 6 2" xfId="6766" xr:uid="{00000000-0005-0000-0000-000099100000}"/>
    <cellStyle name="Normal 2 4 5 3 2 6 2 2" xfId="25392" xr:uid="{3966D801-C758-4E12-B80A-C5480C361174}"/>
    <cellStyle name="Normal 2 4 5 3 2 6 2 3" xfId="33839" xr:uid="{14074AF6-4795-4196-A259-73EC1F891D85}"/>
    <cellStyle name="Normal 2 4 5 3 2 6 2 4" xfId="42286" xr:uid="{649B2703-E6DA-4033-A9FF-18F7A3ABFFFB}"/>
    <cellStyle name="Normal 2 4 5 3 2 6 2 5" xfId="16092" xr:uid="{C185CBA3-0029-4F97-96C4-8FE78F27E748}"/>
    <cellStyle name="Normal 2 4 5 3 2 6 3" xfId="21175" xr:uid="{12EE405E-A300-40C5-AB02-2783C9F6C10D}"/>
    <cellStyle name="Normal 2 4 5 3 2 6 4" xfId="29622" xr:uid="{9129C04D-12BF-4CE4-AB09-E47A49FB3DF4}"/>
    <cellStyle name="Normal 2 4 5 3 2 6 5" xfId="38069" xr:uid="{AB5D8059-F232-4FAE-965A-6108156CD438}"/>
    <cellStyle name="Normal 2 4 5 3 2 6 6" xfId="11875" xr:uid="{0B02E895-C1FC-4237-98C5-86343C628477}"/>
    <cellStyle name="Normal 2 4 5 3 2 7" xfId="4700" xr:uid="{00000000-0005-0000-0000-00009A100000}"/>
    <cellStyle name="Normal 2 4 5 3 2 7 2" xfId="23326" xr:uid="{89535158-7C06-4704-8DDC-614A3BE24486}"/>
    <cellStyle name="Normal 2 4 5 3 2 7 3" xfId="31773" xr:uid="{B6DBAAC3-8479-4343-B6DD-6D97DA7086F9}"/>
    <cellStyle name="Normal 2 4 5 3 2 7 4" xfId="40220" xr:uid="{D03EE5DB-0565-44FC-91A1-F8995563FE7C}"/>
    <cellStyle name="Normal 2 4 5 3 2 7 5" xfId="14026" xr:uid="{931D808B-B16D-4DCC-9622-BC670D6A6010}"/>
    <cellStyle name="Normal 2 4 5 3 2 8" xfId="9090" xr:uid="{4B64C5F8-5AC3-43D3-B94A-46850BBF79A5}"/>
    <cellStyle name="Normal 2 4 5 3 2 8 2" xfId="18414" xr:uid="{FB0459F5-EF79-4274-9487-F9A58B07EF0B}"/>
    <cellStyle name="Normal 2 4 5 3 2 9" xfId="19109" xr:uid="{0F6B7C8E-528A-4BC5-835F-FE5B72BB42FF}"/>
    <cellStyle name="Normal 2 4 5 3 3" xfId="797" xr:uid="{00000000-0005-0000-0000-00009B100000}"/>
    <cellStyle name="Normal 2 4 5 3 3 2" xfId="3036" xr:uid="{00000000-0005-0000-0000-00009C100000}"/>
    <cellStyle name="Normal 2 4 5 3 3 2 2" xfId="7258" xr:uid="{00000000-0005-0000-0000-00009D100000}"/>
    <cellStyle name="Normal 2 4 5 3 3 2 2 2" xfId="25884" xr:uid="{B128E023-22AD-480B-9ED2-646F479CDD39}"/>
    <cellStyle name="Normal 2 4 5 3 3 2 2 3" xfId="34331" xr:uid="{BDF58920-66A4-42CF-9969-E2B62A6AC405}"/>
    <cellStyle name="Normal 2 4 5 3 3 2 2 4" xfId="42778" xr:uid="{712D1EFA-0BB1-4FDF-B12E-CF0FA42BA337}"/>
    <cellStyle name="Normal 2 4 5 3 3 2 2 5" xfId="16584" xr:uid="{B36CA796-A46F-4006-BA1E-4B34AE75DB5A}"/>
    <cellStyle name="Normal 2 4 5 3 3 2 3" xfId="21667" xr:uid="{2EBB5339-66F2-4B47-828C-12DA3E4360A5}"/>
    <cellStyle name="Normal 2 4 5 3 3 2 4" xfId="30114" xr:uid="{C753009C-3A12-421D-A8D8-260F09468DD0}"/>
    <cellStyle name="Normal 2 4 5 3 3 2 5" xfId="38561" xr:uid="{724EE114-095C-4A3A-BB46-960CA45D1B2B}"/>
    <cellStyle name="Normal 2 4 5 3 3 2 6" xfId="12367" xr:uid="{83C33045-4988-4FFA-92B0-1DF7D4A675C9}"/>
    <cellStyle name="Normal 2 4 5 3 3 3" xfId="5113" xr:uid="{00000000-0005-0000-0000-00009E100000}"/>
    <cellStyle name="Normal 2 4 5 3 3 3 2" xfId="23739" xr:uid="{D0E82626-DF1A-4A8A-AF09-C5C52AB9DCD9}"/>
    <cellStyle name="Normal 2 4 5 3 3 3 3" xfId="32186" xr:uid="{97EBCB24-E7D1-4062-97BC-645FF31F22AB}"/>
    <cellStyle name="Normal 2 4 5 3 3 3 4" xfId="40633" xr:uid="{F782155B-98A1-4B3B-86DC-C25DE0EB2553}"/>
    <cellStyle name="Normal 2 4 5 3 3 3 5" xfId="14439" xr:uid="{487A3492-32B8-4CC9-B6C0-E3777D518644}"/>
    <cellStyle name="Normal 2 4 5 3 3 4" xfId="9308" xr:uid="{40198FFA-4C90-42BE-90C8-42459F1A2A1C}"/>
    <cellStyle name="Normal 2 4 5 3 3 4 2" xfId="18624" xr:uid="{816DCBD7-8002-415C-8F00-F358A8D3DAF6}"/>
    <cellStyle name="Normal 2 4 5 3 3 5" xfId="19522" xr:uid="{EE0DCF78-4391-4D8A-8F3E-CCEA9DA21F14}"/>
    <cellStyle name="Normal 2 4 5 3 3 6" xfId="27969" xr:uid="{1203CA69-266C-459F-8EE8-6C0F6BFABB14}"/>
    <cellStyle name="Normal 2 4 5 3 3 7" xfId="36416" xr:uid="{A68A6616-6D50-45F4-B39C-4BF876F32496}"/>
    <cellStyle name="Normal 2 4 5 3 3 8" xfId="10222" xr:uid="{A7A871A2-759C-4329-9660-7BF235E6BE9A}"/>
    <cellStyle name="Normal 2 4 5 3 4" xfId="1219" xr:uid="{00000000-0005-0000-0000-00009F100000}"/>
    <cellStyle name="Normal 2 4 5 3 4 2" xfId="3449" xr:uid="{00000000-0005-0000-0000-0000A0100000}"/>
    <cellStyle name="Normal 2 4 5 3 4 2 2" xfId="7671" xr:uid="{00000000-0005-0000-0000-0000A1100000}"/>
    <cellStyle name="Normal 2 4 5 3 4 2 2 2" xfId="26297" xr:uid="{64163C55-4A19-44CA-B6B5-5D54C057C0F4}"/>
    <cellStyle name="Normal 2 4 5 3 4 2 2 3" xfId="34744" xr:uid="{EDE8BD2E-1C67-4D11-9326-675F0D446E5E}"/>
    <cellStyle name="Normal 2 4 5 3 4 2 2 4" xfId="43191" xr:uid="{B6D0FA84-223F-40BB-8A3A-36E38F1A551E}"/>
    <cellStyle name="Normal 2 4 5 3 4 2 2 5" xfId="16997" xr:uid="{2509641F-F889-4F76-8517-C82DCFB3D196}"/>
    <cellStyle name="Normal 2 4 5 3 4 2 3" xfId="22080" xr:uid="{14623B91-B2AB-40F4-98C7-9837447B9FE0}"/>
    <cellStyle name="Normal 2 4 5 3 4 2 4" xfId="30527" xr:uid="{DE1192D6-D264-4ED8-ACBA-418BF7B5FE4A}"/>
    <cellStyle name="Normal 2 4 5 3 4 2 5" xfId="38974" xr:uid="{97A738D3-A418-45EB-9C03-31FD5F251774}"/>
    <cellStyle name="Normal 2 4 5 3 4 2 6" xfId="12780" xr:uid="{75BCDA9C-FA10-47EC-B4E8-44D19220CB70}"/>
    <cellStyle name="Normal 2 4 5 3 4 3" xfId="5526" xr:uid="{00000000-0005-0000-0000-0000A2100000}"/>
    <cellStyle name="Normal 2 4 5 3 4 3 2" xfId="24152" xr:uid="{A279F0A3-1FF2-4C5F-89E5-2276435BE26B}"/>
    <cellStyle name="Normal 2 4 5 3 4 3 3" xfId="32599" xr:uid="{C1883D47-482F-475A-BED8-F648FD90C674}"/>
    <cellStyle name="Normal 2 4 5 3 4 3 4" xfId="41046" xr:uid="{F18C6BF1-1D8F-4D42-8C86-097722D58A57}"/>
    <cellStyle name="Normal 2 4 5 3 4 3 5" xfId="14852" xr:uid="{6C799126-2E3E-4E85-B586-976B45D51319}"/>
    <cellStyle name="Normal 2 4 5 3 4 4" xfId="19935" xr:uid="{80E7E581-4E5B-481B-9CEE-276DF4C3A570}"/>
    <cellStyle name="Normal 2 4 5 3 4 5" xfId="28382" xr:uid="{C9112F26-4A81-409C-8584-E24F47642A50}"/>
    <cellStyle name="Normal 2 4 5 3 4 6" xfId="36829" xr:uid="{E5E0195B-1666-46D7-AB97-7F6CFD5AD52B}"/>
    <cellStyle name="Normal 2 4 5 3 4 7" xfId="10635" xr:uid="{ED7FD86D-9CEC-4BAD-BE76-2F3F2A51D6F6}"/>
    <cellStyle name="Normal 2 4 5 3 5" xfId="1632" xr:uid="{00000000-0005-0000-0000-0000A3100000}"/>
    <cellStyle name="Normal 2 4 5 3 5 2" xfId="3862" xr:uid="{00000000-0005-0000-0000-0000A4100000}"/>
    <cellStyle name="Normal 2 4 5 3 5 2 2" xfId="8084" xr:uid="{00000000-0005-0000-0000-0000A5100000}"/>
    <cellStyle name="Normal 2 4 5 3 5 2 2 2" xfId="26710" xr:uid="{9152DCDB-DD69-4BAE-9800-0ACD43BBA67B}"/>
    <cellStyle name="Normal 2 4 5 3 5 2 2 3" xfId="35157" xr:uid="{6567213A-0265-48EB-A30A-1C3AD0B3569B}"/>
    <cellStyle name="Normal 2 4 5 3 5 2 2 4" xfId="43604" xr:uid="{BD538BF7-C197-42B4-9388-1A4B9C624884}"/>
    <cellStyle name="Normal 2 4 5 3 5 2 2 5" xfId="17410" xr:uid="{3042A2C9-B055-4291-9EAB-6B43C2B2222A}"/>
    <cellStyle name="Normal 2 4 5 3 5 2 3" xfId="22493" xr:uid="{88F4D0E7-004D-4319-BC91-E3B6B5036782}"/>
    <cellStyle name="Normal 2 4 5 3 5 2 4" xfId="30940" xr:uid="{EF26C952-918D-45CB-8027-F6E8967BB2CD}"/>
    <cellStyle name="Normal 2 4 5 3 5 2 5" xfId="39387" xr:uid="{69253614-FB1E-4D59-B374-C087F9BB052E}"/>
    <cellStyle name="Normal 2 4 5 3 5 2 6" xfId="13193" xr:uid="{E4013765-208F-46F1-B2C5-537AB6A20EC6}"/>
    <cellStyle name="Normal 2 4 5 3 5 3" xfId="5939" xr:uid="{00000000-0005-0000-0000-0000A6100000}"/>
    <cellStyle name="Normal 2 4 5 3 5 3 2" xfId="24565" xr:uid="{A6446C22-AC3C-45C7-93DB-FED964F78377}"/>
    <cellStyle name="Normal 2 4 5 3 5 3 3" xfId="33012" xr:uid="{00DACBFA-A993-4690-B8A3-8BFEBEFEC801}"/>
    <cellStyle name="Normal 2 4 5 3 5 3 4" xfId="41459" xr:uid="{4EA90399-E1DF-4B43-8019-B75FC0C1BFA1}"/>
    <cellStyle name="Normal 2 4 5 3 5 3 5" xfId="15265" xr:uid="{2E7A5672-3964-4B9B-8017-10D47D07EE19}"/>
    <cellStyle name="Normal 2 4 5 3 5 4" xfId="20348" xr:uid="{369EABDC-8279-434A-B711-29E9227CA941}"/>
    <cellStyle name="Normal 2 4 5 3 5 5" xfId="28795" xr:uid="{4D81B191-C456-4805-9480-C50ACF8B0E0F}"/>
    <cellStyle name="Normal 2 4 5 3 5 6" xfId="37242" xr:uid="{38F14C72-F678-4AFD-A8A5-3A69E3BD4893}"/>
    <cellStyle name="Normal 2 4 5 3 5 7" xfId="11048" xr:uid="{1049827D-809B-45AA-B6FA-36AD877A799E}"/>
    <cellStyle name="Normal 2 4 5 3 6" xfId="2046" xr:uid="{00000000-0005-0000-0000-0000A7100000}"/>
    <cellStyle name="Normal 2 4 5 3 6 2" xfId="4275" xr:uid="{00000000-0005-0000-0000-0000A8100000}"/>
    <cellStyle name="Normal 2 4 5 3 6 2 2" xfId="8497" xr:uid="{00000000-0005-0000-0000-0000A9100000}"/>
    <cellStyle name="Normal 2 4 5 3 6 2 2 2" xfId="27123" xr:uid="{837AA18C-5FC7-4405-9EDE-FED04D064EC9}"/>
    <cellStyle name="Normal 2 4 5 3 6 2 2 3" xfId="35570" xr:uid="{8CD9AB4E-9E99-4D97-8107-9E5314D1FAF9}"/>
    <cellStyle name="Normal 2 4 5 3 6 2 2 4" xfId="44017" xr:uid="{E8AA00F8-8D41-41E9-9789-DE3D6B66BED4}"/>
    <cellStyle name="Normal 2 4 5 3 6 2 2 5" xfId="17823" xr:uid="{BA146F48-D8F9-4EDB-8526-3F79AC9F43AA}"/>
    <cellStyle name="Normal 2 4 5 3 6 2 3" xfId="22906" xr:uid="{B49AE080-50C3-484B-AFE7-31BE718FCC32}"/>
    <cellStyle name="Normal 2 4 5 3 6 2 4" xfId="31353" xr:uid="{100828FC-0112-4418-A3EA-1A6F9C32F109}"/>
    <cellStyle name="Normal 2 4 5 3 6 2 5" xfId="39800" xr:uid="{D7A42D40-9AA8-486F-9694-B671693A52E6}"/>
    <cellStyle name="Normal 2 4 5 3 6 2 6" xfId="13606" xr:uid="{8CE51391-0B71-41D6-AAAB-D4609DB7B20F}"/>
    <cellStyle name="Normal 2 4 5 3 6 3" xfId="6352" xr:uid="{00000000-0005-0000-0000-0000AA100000}"/>
    <cellStyle name="Normal 2 4 5 3 6 3 2" xfId="24978" xr:uid="{0A3A8B95-9E0E-4285-B186-742D8B05F475}"/>
    <cellStyle name="Normal 2 4 5 3 6 3 3" xfId="33425" xr:uid="{957FC9B7-D787-4281-B244-B656D8673369}"/>
    <cellStyle name="Normal 2 4 5 3 6 3 4" xfId="41872" xr:uid="{EC3FCDD2-D16E-46FC-8CA4-8C453FCD2DE6}"/>
    <cellStyle name="Normal 2 4 5 3 6 3 5" xfId="15678" xr:uid="{00D26E0F-82CD-442D-9A98-C0E6F83B7B2C}"/>
    <cellStyle name="Normal 2 4 5 3 6 4" xfId="20761" xr:uid="{104612A1-D4A2-4E83-A91F-CDAC4323979D}"/>
    <cellStyle name="Normal 2 4 5 3 6 5" xfId="29208" xr:uid="{F793419F-6AF2-4E53-8EB0-EFB4A7EA5AE3}"/>
    <cellStyle name="Normal 2 4 5 3 6 6" xfId="37655" xr:uid="{F32C4C97-52DB-4A59-B886-16059F03134D}"/>
    <cellStyle name="Normal 2 4 5 3 6 7" xfId="11461" xr:uid="{C93CE4C2-5269-4535-BB25-C18CE6BE51C5}"/>
    <cellStyle name="Normal 2 4 5 3 7" xfId="2482" xr:uid="{00000000-0005-0000-0000-0000AB100000}"/>
    <cellStyle name="Normal 2 4 5 3 7 2" xfId="6765" xr:uid="{00000000-0005-0000-0000-0000AC100000}"/>
    <cellStyle name="Normal 2 4 5 3 7 2 2" xfId="25391" xr:uid="{CBDE020B-694D-4266-A67A-BB7B130509A0}"/>
    <cellStyle name="Normal 2 4 5 3 7 2 3" xfId="33838" xr:uid="{374C77AE-49AB-4CC6-8120-62594BC9FB76}"/>
    <cellStyle name="Normal 2 4 5 3 7 2 4" xfId="42285" xr:uid="{683095D0-39FF-44A9-B96A-107A0BDA446C}"/>
    <cellStyle name="Normal 2 4 5 3 7 2 5" xfId="16091" xr:uid="{69FA079F-39B8-4BA3-861A-81194CD25D21}"/>
    <cellStyle name="Normal 2 4 5 3 7 3" xfId="21174" xr:uid="{8D652191-DF2A-41DE-B72D-22B28CD0C670}"/>
    <cellStyle name="Normal 2 4 5 3 7 4" xfId="29621" xr:uid="{B920341A-1B96-4840-9AE4-55142338D01D}"/>
    <cellStyle name="Normal 2 4 5 3 7 5" xfId="38068" xr:uid="{C9BF561A-1337-4D64-AB72-0A06C0D2D47B}"/>
    <cellStyle name="Normal 2 4 5 3 7 6" xfId="11874" xr:uid="{EDB4BEF2-E03A-4A92-BCE7-8CD06208A1A5}"/>
    <cellStyle name="Normal 2 4 5 3 8" xfId="4699" xr:uid="{00000000-0005-0000-0000-0000AD100000}"/>
    <cellStyle name="Normal 2 4 5 3 8 2" xfId="23325" xr:uid="{DEF63F73-6108-4422-B6BF-8634A97C8BE9}"/>
    <cellStyle name="Normal 2 4 5 3 8 3" xfId="31772" xr:uid="{B32A653B-9C91-4831-B6F2-F46E12DBA351}"/>
    <cellStyle name="Normal 2 4 5 3 8 4" xfId="40219" xr:uid="{9E763D0B-5F4F-417C-B502-2D74C3EA19B8}"/>
    <cellStyle name="Normal 2 4 5 3 8 5" xfId="14025" xr:uid="{BCF744F6-09B1-4EBB-AE5F-EEEAA9FBEC00}"/>
    <cellStyle name="Normal 2 4 5 3 9" xfId="8883" xr:uid="{0A470B75-873E-4D74-A257-113E3E343E18}"/>
    <cellStyle name="Normal 2 4 5 3 9 2" xfId="18207" xr:uid="{564CC3D2-8491-4AEC-80D4-3AF46D007AC9}"/>
    <cellStyle name="Normal 2 4 5 4" xfId="310" xr:uid="{00000000-0005-0000-0000-0000AE100000}"/>
    <cellStyle name="Normal 2 4 5 4 10" xfId="27557" xr:uid="{0D744730-9D01-453B-A0DB-0A34996CECB0}"/>
    <cellStyle name="Normal 2 4 5 4 11" xfId="36004" xr:uid="{44029436-3178-4C8D-B83E-2BBACD6E4F8C}"/>
    <cellStyle name="Normal 2 4 5 4 12" xfId="9810" xr:uid="{E5B096D3-2C05-40D7-A8AB-D2002648FFDB}"/>
    <cellStyle name="Normal 2 4 5 4 2" xfId="799" xr:uid="{00000000-0005-0000-0000-0000AF100000}"/>
    <cellStyle name="Normal 2 4 5 4 2 2" xfId="3038" xr:uid="{00000000-0005-0000-0000-0000B0100000}"/>
    <cellStyle name="Normal 2 4 5 4 2 2 2" xfId="7260" xr:uid="{00000000-0005-0000-0000-0000B1100000}"/>
    <cellStyle name="Normal 2 4 5 4 2 2 2 2" xfId="25886" xr:uid="{2F41EDBC-8B94-4CAC-A5B1-3BC940CF754B}"/>
    <cellStyle name="Normal 2 4 5 4 2 2 2 3" xfId="34333" xr:uid="{C3DDEAB7-FD15-43E3-80D2-FD1535F42523}"/>
    <cellStyle name="Normal 2 4 5 4 2 2 2 4" xfId="42780" xr:uid="{35A6E08F-DB3E-4BDF-8B4E-63A613F2E6DA}"/>
    <cellStyle name="Normal 2 4 5 4 2 2 2 5" xfId="16586" xr:uid="{0C6631E5-BE19-4EA8-90EC-F64FCBF2A6C0}"/>
    <cellStyle name="Normal 2 4 5 4 2 2 3" xfId="21669" xr:uid="{07151ADD-D6D8-4019-94DE-2E31B62C5E6E}"/>
    <cellStyle name="Normal 2 4 5 4 2 2 4" xfId="30116" xr:uid="{CE47CFAA-EE39-4643-A856-0D7B5A4D1328}"/>
    <cellStyle name="Normal 2 4 5 4 2 2 5" xfId="38563" xr:uid="{4F1DA08B-43E7-47D5-B69E-3F83B238D648}"/>
    <cellStyle name="Normal 2 4 5 4 2 2 6" xfId="12369" xr:uid="{C5FDC912-C665-405C-B9D6-D1F847721AB6}"/>
    <cellStyle name="Normal 2 4 5 4 2 3" xfId="5115" xr:uid="{00000000-0005-0000-0000-0000B2100000}"/>
    <cellStyle name="Normal 2 4 5 4 2 3 2" xfId="23741" xr:uid="{6252893A-139A-4A61-B6F5-6B3011D87462}"/>
    <cellStyle name="Normal 2 4 5 4 2 3 3" xfId="32188" xr:uid="{BA0D05B6-C8F9-4FD1-96DB-1EA6809C0749}"/>
    <cellStyle name="Normal 2 4 5 4 2 3 4" xfId="40635" xr:uid="{6B15699B-7344-4E40-BFE1-E1EB9489C14E}"/>
    <cellStyle name="Normal 2 4 5 4 2 3 5" xfId="14441" xr:uid="{7E19914F-BC2F-41FA-9DEF-714EB7F62FD6}"/>
    <cellStyle name="Normal 2 4 5 4 2 4" xfId="9412" xr:uid="{0ECAC303-3EA0-4623-AA0F-854157CA32E5}"/>
    <cellStyle name="Normal 2 4 5 4 2 4 2" xfId="18728" xr:uid="{0E65E035-0F36-420E-9CB1-490618A53E3C}"/>
    <cellStyle name="Normal 2 4 5 4 2 5" xfId="19524" xr:uid="{2CBC0AFF-A8CD-4A39-B4D4-8AA5980FB484}"/>
    <cellStyle name="Normal 2 4 5 4 2 6" xfId="27971" xr:uid="{C245E1FE-7594-4758-BB70-8400247735BD}"/>
    <cellStyle name="Normal 2 4 5 4 2 7" xfId="36418" xr:uid="{006D1C40-53B4-4F51-977D-ACDD0B6A3B70}"/>
    <cellStyle name="Normal 2 4 5 4 2 8" xfId="10224" xr:uid="{8CC054AE-9089-4787-9F13-69D86C1296FF}"/>
    <cellStyle name="Normal 2 4 5 4 3" xfId="1221" xr:uid="{00000000-0005-0000-0000-0000B3100000}"/>
    <cellStyle name="Normal 2 4 5 4 3 2" xfId="3451" xr:uid="{00000000-0005-0000-0000-0000B4100000}"/>
    <cellStyle name="Normal 2 4 5 4 3 2 2" xfId="7673" xr:uid="{00000000-0005-0000-0000-0000B5100000}"/>
    <cellStyle name="Normal 2 4 5 4 3 2 2 2" xfId="26299" xr:uid="{966585EA-EBBF-4367-9ACA-03D037D22CAF}"/>
    <cellStyle name="Normal 2 4 5 4 3 2 2 3" xfId="34746" xr:uid="{537C6C3A-BCCE-4094-AE53-B4F677551652}"/>
    <cellStyle name="Normal 2 4 5 4 3 2 2 4" xfId="43193" xr:uid="{4B00605F-2D70-4DC1-B351-59FFE814BDD6}"/>
    <cellStyle name="Normal 2 4 5 4 3 2 2 5" xfId="16999" xr:uid="{89DCA831-7E33-4410-9A64-65651895F35B}"/>
    <cellStyle name="Normal 2 4 5 4 3 2 3" xfId="22082" xr:uid="{C7FAFA39-4A54-4D70-94D0-18441729796B}"/>
    <cellStyle name="Normal 2 4 5 4 3 2 4" xfId="30529" xr:uid="{B30154A0-E86E-4B80-B6A8-53896B3B641B}"/>
    <cellStyle name="Normal 2 4 5 4 3 2 5" xfId="38976" xr:uid="{02526375-1D05-443A-A026-39E4EC01E5A1}"/>
    <cellStyle name="Normal 2 4 5 4 3 2 6" xfId="12782" xr:uid="{C6E410B4-7AE9-41D3-A022-74FC61097117}"/>
    <cellStyle name="Normal 2 4 5 4 3 3" xfId="5528" xr:uid="{00000000-0005-0000-0000-0000B6100000}"/>
    <cellStyle name="Normal 2 4 5 4 3 3 2" xfId="24154" xr:uid="{C378831C-CB21-43F8-AC7D-4AAB37E4D79C}"/>
    <cellStyle name="Normal 2 4 5 4 3 3 3" xfId="32601" xr:uid="{5B13BE21-1E8B-4437-872D-ECEB431790D3}"/>
    <cellStyle name="Normal 2 4 5 4 3 3 4" xfId="41048" xr:uid="{C9266516-8618-458E-87E4-8F87B5C19B9E}"/>
    <cellStyle name="Normal 2 4 5 4 3 3 5" xfId="14854" xr:uid="{E0FCF6AC-F4E5-4161-9087-067229D5B2D0}"/>
    <cellStyle name="Normal 2 4 5 4 3 4" xfId="19937" xr:uid="{C764E687-D241-470E-9D61-3529DBA16B53}"/>
    <cellStyle name="Normal 2 4 5 4 3 5" xfId="28384" xr:uid="{F552730E-E212-4B9F-A860-2E558EFAECF8}"/>
    <cellStyle name="Normal 2 4 5 4 3 6" xfId="36831" xr:uid="{41BD479E-A08E-446B-889A-CE60AB021902}"/>
    <cellStyle name="Normal 2 4 5 4 3 7" xfId="10637" xr:uid="{A3AFE761-2C75-4EE5-9A76-1A990779B609}"/>
    <cellStyle name="Normal 2 4 5 4 4" xfId="1634" xr:uid="{00000000-0005-0000-0000-0000B7100000}"/>
    <cellStyle name="Normal 2 4 5 4 4 2" xfId="3864" xr:uid="{00000000-0005-0000-0000-0000B8100000}"/>
    <cellStyle name="Normal 2 4 5 4 4 2 2" xfId="8086" xr:uid="{00000000-0005-0000-0000-0000B9100000}"/>
    <cellStyle name="Normal 2 4 5 4 4 2 2 2" xfId="26712" xr:uid="{8943419B-E374-45BE-B7DA-0389A6BAD61B}"/>
    <cellStyle name="Normal 2 4 5 4 4 2 2 3" xfId="35159" xr:uid="{C6247EFA-1DB2-4A36-8B8E-A3B6AFD10D84}"/>
    <cellStyle name="Normal 2 4 5 4 4 2 2 4" xfId="43606" xr:uid="{F917B9F3-89D0-45C5-8788-5C79E7D8DA1C}"/>
    <cellStyle name="Normal 2 4 5 4 4 2 2 5" xfId="17412" xr:uid="{B57757ED-2BD1-4D9A-BA41-D8024D99F869}"/>
    <cellStyle name="Normal 2 4 5 4 4 2 3" xfId="22495" xr:uid="{ABBA5016-3DA4-4BEA-B91A-3BABA4EB5D72}"/>
    <cellStyle name="Normal 2 4 5 4 4 2 4" xfId="30942" xr:uid="{DC9238C7-369C-4E07-9F14-4FDEA239A6DB}"/>
    <cellStyle name="Normal 2 4 5 4 4 2 5" xfId="39389" xr:uid="{62ECDEDB-3615-46A5-A9BA-7DFFFFA83BD7}"/>
    <cellStyle name="Normal 2 4 5 4 4 2 6" xfId="13195" xr:uid="{FB8EE081-43FA-4532-9ACA-B08C61B29901}"/>
    <cellStyle name="Normal 2 4 5 4 4 3" xfId="5941" xr:uid="{00000000-0005-0000-0000-0000BA100000}"/>
    <cellStyle name="Normal 2 4 5 4 4 3 2" xfId="24567" xr:uid="{9D999467-63AE-4822-A986-55D8148657BB}"/>
    <cellStyle name="Normal 2 4 5 4 4 3 3" xfId="33014" xr:uid="{3F8301D7-179A-49DB-9E7C-20E79B08C983}"/>
    <cellStyle name="Normal 2 4 5 4 4 3 4" xfId="41461" xr:uid="{2F067E80-5F18-440D-953E-63653D5F08B4}"/>
    <cellStyle name="Normal 2 4 5 4 4 3 5" xfId="15267" xr:uid="{5354833A-0A82-43B0-A188-E43BB94D049F}"/>
    <cellStyle name="Normal 2 4 5 4 4 4" xfId="20350" xr:uid="{7D3F1D4F-A323-4816-A00D-D722933073B6}"/>
    <cellStyle name="Normal 2 4 5 4 4 5" xfId="28797" xr:uid="{33ABF1C1-F715-4AB6-8516-A72BADABE43C}"/>
    <cellStyle name="Normal 2 4 5 4 4 6" xfId="37244" xr:uid="{111556BE-2D64-4793-9095-83269BFAACAD}"/>
    <cellStyle name="Normal 2 4 5 4 4 7" xfId="11050" xr:uid="{889F3530-D0ED-4151-84E3-2EBF581B7BF8}"/>
    <cellStyle name="Normal 2 4 5 4 5" xfId="2048" xr:uid="{00000000-0005-0000-0000-0000BB100000}"/>
    <cellStyle name="Normal 2 4 5 4 5 2" xfId="4277" xr:uid="{00000000-0005-0000-0000-0000BC100000}"/>
    <cellStyle name="Normal 2 4 5 4 5 2 2" xfId="8499" xr:uid="{00000000-0005-0000-0000-0000BD100000}"/>
    <cellStyle name="Normal 2 4 5 4 5 2 2 2" xfId="27125" xr:uid="{0661F5C0-79D6-41ED-8C07-324EF7CF1678}"/>
    <cellStyle name="Normal 2 4 5 4 5 2 2 3" xfId="35572" xr:uid="{1AA3F0BD-426B-4145-AEB3-EEEEDF13A0BE}"/>
    <cellStyle name="Normal 2 4 5 4 5 2 2 4" xfId="44019" xr:uid="{620ED334-1574-422E-9F85-464D28A6286D}"/>
    <cellStyle name="Normal 2 4 5 4 5 2 2 5" xfId="17825" xr:uid="{C79E0B01-1987-46F5-9293-0FAAB297D2EA}"/>
    <cellStyle name="Normal 2 4 5 4 5 2 3" xfId="22908" xr:uid="{5FE7D331-D579-4125-B5A0-7D9FF0C892FA}"/>
    <cellStyle name="Normal 2 4 5 4 5 2 4" xfId="31355" xr:uid="{8C71BC3A-9FA4-4ADA-9A13-6EF4E7A508FE}"/>
    <cellStyle name="Normal 2 4 5 4 5 2 5" xfId="39802" xr:uid="{B03AE1C9-6785-46A8-B240-6DB083B3AF1B}"/>
    <cellStyle name="Normal 2 4 5 4 5 2 6" xfId="13608" xr:uid="{2F226D45-C216-42B7-ACD8-EC4D61252137}"/>
    <cellStyle name="Normal 2 4 5 4 5 3" xfId="6354" xr:uid="{00000000-0005-0000-0000-0000BE100000}"/>
    <cellStyle name="Normal 2 4 5 4 5 3 2" xfId="24980" xr:uid="{2DBA6673-6CCB-4DDC-BE3E-BC9BED30FE7C}"/>
    <cellStyle name="Normal 2 4 5 4 5 3 3" xfId="33427" xr:uid="{679359C6-7201-48BD-A7F7-4F7544CB6956}"/>
    <cellStyle name="Normal 2 4 5 4 5 3 4" xfId="41874" xr:uid="{86836E2D-DF8E-4F8E-9BB3-589D17D5C1E2}"/>
    <cellStyle name="Normal 2 4 5 4 5 3 5" xfId="15680" xr:uid="{79FD10B6-2421-4996-8A9E-EC611BAF5C84}"/>
    <cellStyle name="Normal 2 4 5 4 5 4" xfId="20763" xr:uid="{A5716CB9-E005-4406-8F73-7BCE9C35C25C}"/>
    <cellStyle name="Normal 2 4 5 4 5 5" xfId="29210" xr:uid="{1838CCE8-A682-4654-A2E2-6D4733F1DDD8}"/>
    <cellStyle name="Normal 2 4 5 4 5 6" xfId="37657" xr:uid="{4A13708E-9040-4E43-96EF-107647F23AED}"/>
    <cellStyle name="Normal 2 4 5 4 5 7" xfId="11463" xr:uid="{1FC13728-CA82-4C3B-A748-B8791BA0F90A}"/>
    <cellStyle name="Normal 2 4 5 4 6" xfId="2484" xr:uid="{00000000-0005-0000-0000-0000BF100000}"/>
    <cellStyle name="Normal 2 4 5 4 6 2" xfId="6767" xr:uid="{00000000-0005-0000-0000-0000C0100000}"/>
    <cellStyle name="Normal 2 4 5 4 6 2 2" xfId="25393" xr:uid="{0BB5561A-BEFD-4EDA-B9EF-9FD440AFA8D3}"/>
    <cellStyle name="Normal 2 4 5 4 6 2 3" xfId="33840" xr:uid="{531EF5E2-5EEA-4358-B8CA-D1E935937CFB}"/>
    <cellStyle name="Normal 2 4 5 4 6 2 4" xfId="42287" xr:uid="{B6D43997-BF55-464E-9BE1-13BE425C1AE8}"/>
    <cellStyle name="Normal 2 4 5 4 6 2 5" xfId="16093" xr:uid="{4089EC5F-7FCA-4A89-9139-ECD200DD14D9}"/>
    <cellStyle name="Normal 2 4 5 4 6 3" xfId="21176" xr:uid="{CB0F6569-7DB6-4BB9-8268-2819EEFD1754}"/>
    <cellStyle name="Normal 2 4 5 4 6 4" xfId="29623" xr:uid="{ED99F88A-6282-4EBF-9854-42DCBAB487C4}"/>
    <cellStyle name="Normal 2 4 5 4 6 5" xfId="38070" xr:uid="{627E1615-4F48-4911-BA8E-53D8E3D3539A}"/>
    <cellStyle name="Normal 2 4 5 4 6 6" xfId="11876" xr:uid="{F7850102-1E82-451E-9151-913A9EA65D1D}"/>
    <cellStyle name="Normal 2 4 5 4 7" xfId="4701" xr:uid="{00000000-0005-0000-0000-0000C1100000}"/>
    <cellStyle name="Normal 2 4 5 4 7 2" xfId="23327" xr:uid="{4DA84AF6-A5F9-486A-A412-56263027EC21}"/>
    <cellStyle name="Normal 2 4 5 4 7 3" xfId="31774" xr:uid="{4ED98E42-F864-4ED6-B832-1BD68346DFD3}"/>
    <cellStyle name="Normal 2 4 5 4 7 4" xfId="40221" xr:uid="{AE1A517C-0E7A-4ECA-9D8A-78ADA382647B}"/>
    <cellStyle name="Normal 2 4 5 4 7 5" xfId="14027" xr:uid="{16D6E735-707B-4E12-BFDF-818E04E17A00}"/>
    <cellStyle name="Normal 2 4 5 4 8" xfId="8987" xr:uid="{8DC2C01A-3078-41AD-BCFB-AA1CA8EE9C0A}"/>
    <cellStyle name="Normal 2 4 5 4 8 2" xfId="18311" xr:uid="{487A7645-6D59-42BB-B2FC-EC77EED08819}"/>
    <cellStyle name="Normal 2 4 5 4 9" xfId="19110" xr:uid="{497BE9F6-B903-48F1-AC11-461B44B22D24}"/>
    <cellStyle name="Normal 2 4 5 5" xfId="792" xr:uid="{00000000-0005-0000-0000-0000C2100000}"/>
    <cellStyle name="Normal 2 4 5 5 2" xfId="3031" xr:uid="{00000000-0005-0000-0000-0000C3100000}"/>
    <cellStyle name="Normal 2 4 5 5 2 2" xfId="7253" xr:uid="{00000000-0005-0000-0000-0000C4100000}"/>
    <cellStyle name="Normal 2 4 5 5 2 2 2" xfId="25879" xr:uid="{54F3FD1F-5737-4D01-BE6E-F879C0CA2934}"/>
    <cellStyle name="Normal 2 4 5 5 2 2 3" xfId="34326" xr:uid="{501F1C9E-7E9A-4BF5-A256-05AE05D1538A}"/>
    <cellStyle name="Normal 2 4 5 5 2 2 4" xfId="42773" xr:uid="{1632629E-7A5C-4A0F-AF18-7032D8B4EFE2}"/>
    <cellStyle name="Normal 2 4 5 5 2 2 5" xfId="16579" xr:uid="{DB7140DE-A5AA-4133-9965-93A2225C3A6E}"/>
    <cellStyle name="Normal 2 4 5 5 2 3" xfId="21662" xr:uid="{7C80C4C6-D225-46E7-95B6-894CAD3719CA}"/>
    <cellStyle name="Normal 2 4 5 5 2 4" xfId="30109" xr:uid="{C336D981-5D85-4937-9C88-0754F5E32EA9}"/>
    <cellStyle name="Normal 2 4 5 5 2 5" xfId="38556" xr:uid="{AEEF3ADC-FA8B-4027-9B08-E38E93DC214D}"/>
    <cellStyle name="Normal 2 4 5 5 2 6" xfId="12362" xr:uid="{BA2803B3-D8AD-4F50-BD96-E5F1CAA4C30A}"/>
    <cellStyle name="Normal 2 4 5 5 3" xfId="5108" xr:uid="{00000000-0005-0000-0000-0000C5100000}"/>
    <cellStyle name="Normal 2 4 5 5 3 2" xfId="23734" xr:uid="{B94CBB84-DC1C-4DB7-A8C7-EFC7D36F9B3C}"/>
    <cellStyle name="Normal 2 4 5 5 3 3" xfId="32181" xr:uid="{3E85A0C3-286D-4D40-8DC7-50EDE6866E12}"/>
    <cellStyle name="Normal 2 4 5 5 3 4" xfId="40628" xr:uid="{760D275B-0C3D-4B0B-80FF-22F6BCA5A7C6}"/>
    <cellStyle name="Normal 2 4 5 5 3 5" xfId="14434" xr:uid="{ED2CA47D-1B82-4E77-935D-AEECE68EDAC1}"/>
    <cellStyle name="Normal 2 4 5 5 4" xfId="9204" xr:uid="{BE34B337-03EE-47D8-9E35-2EE6FAB30236}"/>
    <cellStyle name="Normal 2 4 5 5 4 2" xfId="18521" xr:uid="{F12006E6-ED9B-487E-9785-A1E970E556C3}"/>
    <cellStyle name="Normal 2 4 5 5 5" xfId="19517" xr:uid="{48662081-504E-408F-BB61-A584BDE6572A}"/>
    <cellStyle name="Normal 2 4 5 5 6" xfId="27964" xr:uid="{6610A257-0C79-42D0-AD7B-7B47E1BFE34A}"/>
    <cellStyle name="Normal 2 4 5 5 7" xfId="36411" xr:uid="{2879715B-4060-4B05-BF06-CCE0607247BD}"/>
    <cellStyle name="Normal 2 4 5 5 8" xfId="10217" xr:uid="{C8D81944-39BE-4302-A782-9C8FF9E6AA04}"/>
    <cellStyle name="Normal 2 4 5 6" xfId="1214" xr:uid="{00000000-0005-0000-0000-0000C6100000}"/>
    <cellStyle name="Normal 2 4 5 6 2" xfId="3444" xr:uid="{00000000-0005-0000-0000-0000C7100000}"/>
    <cellStyle name="Normal 2 4 5 6 2 2" xfId="7666" xr:uid="{00000000-0005-0000-0000-0000C8100000}"/>
    <cellStyle name="Normal 2 4 5 6 2 2 2" xfId="26292" xr:uid="{88A64B4D-4FC1-444C-AF25-D9BF19D84FEE}"/>
    <cellStyle name="Normal 2 4 5 6 2 2 3" xfId="34739" xr:uid="{EA563CE2-449F-43C2-B333-31355468E385}"/>
    <cellStyle name="Normal 2 4 5 6 2 2 4" xfId="43186" xr:uid="{108E9430-8020-47F2-9E60-3BA3E1EEEC9F}"/>
    <cellStyle name="Normal 2 4 5 6 2 2 5" xfId="16992" xr:uid="{42CFCC36-665E-48A8-A475-B78F59CA2955}"/>
    <cellStyle name="Normal 2 4 5 6 2 3" xfId="22075" xr:uid="{4A4EE019-55AD-429A-AAD5-95D7ADA6A301}"/>
    <cellStyle name="Normal 2 4 5 6 2 4" xfId="30522" xr:uid="{1F11F098-1A3E-4A91-B48D-E0330884E586}"/>
    <cellStyle name="Normal 2 4 5 6 2 5" xfId="38969" xr:uid="{1BF5B8A2-BE2D-450C-886B-D3FD6DFE85E6}"/>
    <cellStyle name="Normal 2 4 5 6 2 6" xfId="12775" xr:uid="{73C5B0B2-7B34-4938-9A53-AA5B734359C1}"/>
    <cellStyle name="Normal 2 4 5 6 3" xfId="5521" xr:uid="{00000000-0005-0000-0000-0000C9100000}"/>
    <cellStyle name="Normal 2 4 5 6 3 2" xfId="24147" xr:uid="{37E1D435-8465-4828-933C-A248008936E3}"/>
    <cellStyle name="Normal 2 4 5 6 3 3" xfId="32594" xr:uid="{F0C66EB1-17F2-4A6F-B91F-0D6372B19B49}"/>
    <cellStyle name="Normal 2 4 5 6 3 4" xfId="41041" xr:uid="{5FB524B5-D166-4569-87CE-3A1CF480DAAB}"/>
    <cellStyle name="Normal 2 4 5 6 3 5" xfId="14847" xr:uid="{36D44A1E-E622-457B-BED4-30A0F613D6A4}"/>
    <cellStyle name="Normal 2 4 5 6 4" xfId="19930" xr:uid="{2A6FBF29-2E62-4BAE-B594-6DC587C2788E}"/>
    <cellStyle name="Normal 2 4 5 6 5" xfId="28377" xr:uid="{9FE62C25-C5C9-4AB9-AB8D-E541C413542A}"/>
    <cellStyle name="Normal 2 4 5 6 6" xfId="36824" xr:uid="{E1CD4B5F-9690-4878-BEE7-4CA55815FDAC}"/>
    <cellStyle name="Normal 2 4 5 6 7" xfId="10630" xr:uid="{7DFD5568-C054-4F65-BAEE-43FDB33CB236}"/>
    <cellStyle name="Normal 2 4 5 7" xfId="1627" xr:uid="{00000000-0005-0000-0000-0000CA100000}"/>
    <cellStyle name="Normal 2 4 5 7 2" xfId="3857" xr:uid="{00000000-0005-0000-0000-0000CB100000}"/>
    <cellStyle name="Normal 2 4 5 7 2 2" xfId="8079" xr:uid="{00000000-0005-0000-0000-0000CC100000}"/>
    <cellStyle name="Normal 2 4 5 7 2 2 2" xfId="26705" xr:uid="{E4E586B3-2482-4592-BDC0-F3654E06AB7D}"/>
    <cellStyle name="Normal 2 4 5 7 2 2 3" xfId="35152" xr:uid="{D2C6C9B6-5537-410F-A140-BC549F21D97F}"/>
    <cellStyle name="Normal 2 4 5 7 2 2 4" xfId="43599" xr:uid="{8BEF3508-4D62-4B78-8BFF-8CED4BD33522}"/>
    <cellStyle name="Normal 2 4 5 7 2 2 5" xfId="17405" xr:uid="{CC185B3B-022E-44AF-BC2E-F6A22DE96729}"/>
    <cellStyle name="Normal 2 4 5 7 2 3" xfId="22488" xr:uid="{D9FB3711-87B3-42CE-B080-00CBE69818C2}"/>
    <cellStyle name="Normal 2 4 5 7 2 4" xfId="30935" xr:uid="{175F88E0-1289-4B4B-B290-8D8CBE3E29D7}"/>
    <cellStyle name="Normal 2 4 5 7 2 5" xfId="39382" xr:uid="{C7086D25-6E5E-42EA-BC0B-587CEFB5C826}"/>
    <cellStyle name="Normal 2 4 5 7 2 6" xfId="13188" xr:uid="{F3768A60-F7E4-45A7-A58D-3B6CE524546E}"/>
    <cellStyle name="Normal 2 4 5 7 3" xfId="5934" xr:uid="{00000000-0005-0000-0000-0000CD100000}"/>
    <cellStyle name="Normal 2 4 5 7 3 2" xfId="24560" xr:uid="{AA1B261E-1484-4623-BB5D-C4858475C4C2}"/>
    <cellStyle name="Normal 2 4 5 7 3 3" xfId="33007" xr:uid="{616B347C-BB06-42D0-92E2-A5D16C829C70}"/>
    <cellStyle name="Normal 2 4 5 7 3 4" xfId="41454" xr:uid="{09CF180A-9E01-41A9-8AC2-1D2552CD76C4}"/>
    <cellStyle name="Normal 2 4 5 7 3 5" xfId="15260" xr:uid="{6F6F09FC-B4D4-41E5-B4D6-BACE5613510C}"/>
    <cellStyle name="Normal 2 4 5 7 4" xfId="20343" xr:uid="{9E70F879-286C-4BBA-ADC9-E08C2A31BCC7}"/>
    <cellStyle name="Normal 2 4 5 7 5" xfId="28790" xr:uid="{730BFD3F-A156-4B7F-97B9-7536F87DB2D3}"/>
    <cellStyle name="Normal 2 4 5 7 6" xfId="37237" xr:uid="{0A9F3330-F6B5-4ABB-83AC-3B8C597215B3}"/>
    <cellStyle name="Normal 2 4 5 7 7" xfId="11043" xr:uid="{3E9B2682-E090-41E7-A175-3AABA1347C54}"/>
    <cellStyle name="Normal 2 4 5 8" xfId="2041" xr:uid="{00000000-0005-0000-0000-0000CE100000}"/>
    <cellStyle name="Normal 2 4 5 8 2" xfId="4270" xr:uid="{00000000-0005-0000-0000-0000CF100000}"/>
    <cellStyle name="Normal 2 4 5 8 2 2" xfId="8492" xr:uid="{00000000-0005-0000-0000-0000D0100000}"/>
    <cellStyle name="Normal 2 4 5 8 2 2 2" xfId="27118" xr:uid="{F71E59C5-99EB-48F1-8E95-5652DE202E63}"/>
    <cellStyle name="Normal 2 4 5 8 2 2 3" xfId="35565" xr:uid="{82CC2DF9-A8C8-40A6-B76F-B049190586B0}"/>
    <cellStyle name="Normal 2 4 5 8 2 2 4" xfId="44012" xr:uid="{BE8B002B-3779-43E7-997C-9A3EE937E66F}"/>
    <cellStyle name="Normal 2 4 5 8 2 2 5" xfId="17818" xr:uid="{C2414590-0315-45B8-947A-52E56E58267A}"/>
    <cellStyle name="Normal 2 4 5 8 2 3" xfId="22901" xr:uid="{8BC6EECC-8664-46C6-9C9E-9800B6BA2F7B}"/>
    <cellStyle name="Normal 2 4 5 8 2 4" xfId="31348" xr:uid="{84347D9D-A7DE-4F71-BE52-786C4A1AD8AD}"/>
    <cellStyle name="Normal 2 4 5 8 2 5" xfId="39795" xr:uid="{057AECD4-89C3-496F-9545-32343E90444C}"/>
    <cellStyle name="Normal 2 4 5 8 2 6" xfId="13601" xr:uid="{1B29E4F1-8DBD-435F-80B6-55DB30EF5825}"/>
    <cellStyle name="Normal 2 4 5 8 3" xfId="6347" xr:uid="{00000000-0005-0000-0000-0000D1100000}"/>
    <cellStyle name="Normal 2 4 5 8 3 2" xfId="24973" xr:uid="{A802FBFA-9ACE-4245-8370-AF10331E19A7}"/>
    <cellStyle name="Normal 2 4 5 8 3 3" xfId="33420" xr:uid="{B7B36323-EC97-4EC1-AAD9-72E423DC472B}"/>
    <cellStyle name="Normal 2 4 5 8 3 4" xfId="41867" xr:uid="{59E52A01-9278-420E-B7EA-FE35ED345D68}"/>
    <cellStyle name="Normal 2 4 5 8 3 5" xfId="15673" xr:uid="{FD9E1E2F-122F-4901-BA31-663440F708EE}"/>
    <cellStyle name="Normal 2 4 5 8 4" xfId="20756" xr:uid="{1AA32346-0D8E-41FD-8582-4AD411A99C83}"/>
    <cellStyle name="Normal 2 4 5 8 5" xfId="29203" xr:uid="{A46EAD84-8FD8-4259-B619-4AAEED559A18}"/>
    <cellStyle name="Normal 2 4 5 8 6" xfId="37650" xr:uid="{2F676A82-E6CF-4603-9AF9-529D05773820}"/>
    <cellStyle name="Normal 2 4 5 8 7" xfId="11456" xr:uid="{6AFB9BFE-94D6-42D5-8021-BE0705023D4F}"/>
    <cellStyle name="Normal 2 4 5 9" xfId="2477" xr:uid="{00000000-0005-0000-0000-0000D2100000}"/>
    <cellStyle name="Normal 2 4 5 9 2" xfId="6760" xr:uid="{00000000-0005-0000-0000-0000D3100000}"/>
    <cellStyle name="Normal 2 4 5 9 2 2" xfId="25386" xr:uid="{28EF72AC-F0F7-4BC4-A6E6-1E8B435B9BEF}"/>
    <cellStyle name="Normal 2 4 5 9 2 3" xfId="33833" xr:uid="{40D849BC-8B86-42B2-95E8-F92B4EFCFD32}"/>
    <cellStyle name="Normal 2 4 5 9 2 4" xfId="42280" xr:uid="{655AD2CE-D951-4FBD-8A3C-B025DB5B626A}"/>
    <cellStyle name="Normal 2 4 5 9 2 5" xfId="16086" xr:uid="{B0CCA2BA-A543-4A9D-90FE-B38CBD76540C}"/>
    <cellStyle name="Normal 2 4 5 9 3" xfId="21169" xr:uid="{E9B2CF52-BA4F-4779-9087-EFD2EE164ADE}"/>
    <cellStyle name="Normal 2 4 5 9 4" xfId="29616" xr:uid="{713D8DE3-C79F-4448-8138-ACDB0796CBD8}"/>
    <cellStyle name="Normal 2 4 5 9 5" xfId="38063" xr:uid="{AC86B57F-FFBC-4759-9944-A1554900CEC7}"/>
    <cellStyle name="Normal 2 4 5 9 6" xfId="11869" xr:uid="{F67CA0EA-0C5F-4CD6-A2EA-B9CEEAD698D2}"/>
    <cellStyle name="Normal 2 4 6" xfId="311" xr:uid="{00000000-0005-0000-0000-0000D4100000}"/>
    <cellStyle name="Normal 2 4 7" xfId="312" xr:uid="{00000000-0005-0000-0000-0000D5100000}"/>
    <cellStyle name="Normal 2 4 7 10" xfId="19111" xr:uid="{01C5B8B7-10BB-4F58-9B95-F4C329D65896}"/>
    <cellStyle name="Normal 2 4 7 11" xfId="27558" xr:uid="{A45C3BB9-ADD8-44C2-A93B-AE5991CB3CAF}"/>
    <cellStyle name="Normal 2 4 7 12" xfId="36005" xr:uid="{B1CDB9F5-0870-4777-9E15-F01F9CE97507}"/>
    <cellStyle name="Normal 2 4 7 13" xfId="9811" xr:uid="{F81C62A3-A101-487B-B367-4D839BA74AAA}"/>
    <cellStyle name="Normal 2 4 7 2" xfId="313" xr:uid="{00000000-0005-0000-0000-0000D6100000}"/>
    <cellStyle name="Normal 2 4 7 2 10" xfId="27559" xr:uid="{1D0EC96E-E8A0-40A9-BF84-80532B4097FD}"/>
    <cellStyle name="Normal 2 4 7 2 11" xfId="36006" xr:uid="{28F69986-ECA0-4747-B845-26B8099F86EF}"/>
    <cellStyle name="Normal 2 4 7 2 12" xfId="9812" xr:uid="{92CC684A-9836-43FE-BF1B-73397CC6474D}"/>
    <cellStyle name="Normal 2 4 7 2 2" xfId="801" xr:uid="{00000000-0005-0000-0000-0000D7100000}"/>
    <cellStyle name="Normal 2 4 7 2 2 2" xfId="3040" xr:uid="{00000000-0005-0000-0000-0000D8100000}"/>
    <cellStyle name="Normal 2 4 7 2 2 2 2" xfId="7262" xr:uid="{00000000-0005-0000-0000-0000D9100000}"/>
    <cellStyle name="Normal 2 4 7 2 2 2 2 2" xfId="25888" xr:uid="{A0580BF0-E030-46FB-B939-B12C3ACE8A44}"/>
    <cellStyle name="Normal 2 4 7 2 2 2 2 3" xfId="34335" xr:uid="{48205E95-3FA9-40C7-A423-9A396566889E}"/>
    <cellStyle name="Normal 2 4 7 2 2 2 2 4" xfId="42782" xr:uid="{F3FBC211-C801-4E63-A20D-D8944836F800}"/>
    <cellStyle name="Normal 2 4 7 2 2 2 2 5" xfId="16588" xr:uid="{C3853E41-B60E-47A9-B27E-A24AFC0F01E1}"/>
    <cellStyle name="Normal 2 4 7 2 2 2 3" xfId="21671" xr:uid="{254E11FC-0C97-4128-956E-CECAB9E0D19E}"/>
    <cellStyle name="Normal 2 4 7 2 2 2 4" xfId="30118" xr:uid="{B6784FBF-E68B-45A8-BF24-49C733B3C955}"/>
    <cellStyle name="Normal 2 4 7 2 2 2 5" xfId="38565" xr:uid="{123D8DFA-0165-49CD-B132-A78C29D4B7D8}"/>
    <cellStyle name="Normal 2 4 7 2 2 2 6" xfId="12371" xr:uid="{76CF57A7-4CDE-471C-8CBC-2467728BB1ED}"/>
    <cellStyle name="Normal 2 4 7 2 2 3" xfId="5117" xr:uid="{00000000-0005-0000-0000-0000DA100000}"/>
    <cellStyle name="Normal 2 4 7 2 2 3 2" xfId="23743" xr:uid="{B0FDF095-FA73-406E-95DF-9171F0B7E0AD}"/>
    <cellStyle name="Normal 2 4 7 2 2 3 3" xfId="32190" xr:uid="{C0BAA11F-7948-4A50-BF72-B36C13E446DA}"/>
    <cellStyle name="Normal 2 4 7 2 2 3 4" xfId="40637" xr:uid="{85BE5824-E6BA-4092-8542-AFF6DFBD7FD3}"/>
    <cellStyle name="Normal 2 4 7 2 2 3 5" xfId="14443" xr:uid="{CF8B4E2B-B9C5-4B04-8A97-2A5E85E12B1F}"/>
    <cellStyle name="Normal 2 4 7 2 2 4" xfId="9483" xr:uid="{3D7EFF6F-050D-4214-91CB-DF2673F23584}"/>
    <cellStyle name="Normal 2 4 7 2 2 4 2" xfId="18799" xr:uid="{4317C64A-CBCA-4F5A-A45E-9EA4A4C27C03}"/>
    <cellStyle name="Normal 2 4 7 2 2 5" xfId="19526" xr:uid="{4AF53487-0D20-4E09-84B0-CB895D935912}"/>
    <cellStyle name="Normal 2 4 7 2 2 6" xfId="27973" xr:uid="{1003C866-6EDA-4145-84DD-EFEEF2E38D7F}"/>
    <cellStyle name="Normal 2 4 7 2 2 7" xfId="36420" xr:uid="{C797E5C8-B770-40BE-A64E-05C2854089B5}"/>
    <cellStyle name="Normal 2 4 7 2 2 8" xfId="10226" xr:uid="{DF7CAD27-7E8A-4836-9201-AD1491E4A771}"/>
    <cellStyle name="Normal 2 4 7 2 3" xfId="1223" xr:uid="{00000000-0005-0000-0000-0000DB100000}"/>
    <cellStyle name="Normal 2 4 7 2 3 2" xfId="3453" xr:uid="{00000000-0005-0000-0000-0000DC100000}"/>
    <cellStyle name="Normal 2 4 7 2 3 2 2" xfId="7675" xr:uid="{00000000-0005-0000-0000-0000DD100000}"/>
    <cellStyle name="Normal 2 4 7 2 3 2 2 2" xfId="26301" xr:uid="{E9BA5C8C-B4BD-4311-A690-049AD8A9B90F}"/>
    <cellStyle name="Normal 2 4 7 2 3 2 2 3" xfId="34748" xr:uid="{59E5BD4A-A14A-4965-98CD-B289C905CAEC}"/>
    <cellStyle name="Normal 2 4 7 2 3 2 2 4" xfId="43195" xr:uid="{AA881F23-8544-4B2C-BC72-81FA969ED5FC}"/>
    <cellStyle name="Normal 2 4 7 2 3 2 2 5" xfId="17001" xr:uid="{90CA50F6-0524-447D-88BF-095FFCDDCC62}"/>
    <cellStyle name="Normal 2 4 7 2 3 2 3" xfId="22084" xr:uid="{ABFC4D4D-C9FA-4D18-8F09-C265C6D477E8}"/>
    <cellStyle name="Normal 2 4 7 2 3 2 4" xfId="30531" xr:uid="{9370EE07-758B-4508-B203-CB02B56A0987}"/>
    <cellStyle name="Normal 2 4 7 2 3 2 5" xfId="38978" xr:uid="{09ED9FAA-90F9-41E2-8595-774A10DBD486}"/>
    <cellStyle name="Normal 2 4 7 2 3 2 6" xfId="12784" xr:uid="{D8AE7A69-EFE7-43B8-AD8F-17DABF36CC3D}"/>
    <cellStyle name="Normal 2 4 7 2 3 3" xfId="5530" xr:uid="{00000000-0005-0000-0000-0000DE100000}"/>
    <cellStyle name="Normal 2 4 7 2 3 3 2" xfId="24156" xr:uid="{16D40FA6-E48E-48C9-9A96-5E2C5FCD81F6}"/>
    <cellStyle name="Normal 2 4 7 2 3 3 3" xfId="32603" xr:uid="{F0ECC819-FFDA-46CC-8F41-557CB493140F}"/>
    <cellStyle name="Normal 2 4 7 2 3 3 4" xfId="41050" xr:uid="{4A94BBC8-5E75-44B7-8772-B1A053751FEA}"/>
    <cellStyle name="Normal 2 4 7 2 3 3 5" xfId="14856" xr:uid="{78565D2B-4F9D-40F4-9DC4-F859E2ADF637}"/>
    <cellStyle name="Normal 2 4 7 2 3 4" xfId="19939" xr:uid="{32DCCF0B-DEB5-48D9-B036-9E5FEEB62084}"/>
    <cellStyle name="Normal 2 4 7 2 3 5" xfId="28386" xr:uid="{C2243848-B759-46A0-8C23-867764E8F662}"/>
    <cellStyle name="Normal 2 4 7 2 3 6" xfId="36833" xr:uid="{2C0158F2-2D5F-4D68-AAE7-B16F4765442C}"/>
    <cellStyle name="Normal 2 4 7 2 3 7" xfId="10639" xr:uid="{2F79A521-18FC-425F-9854-B97CBBAA8944}"/>
    <cellStyle name="Normal 2 4 7 2 4" xfId="1636" xr:uid="{00000000-0005-0000-0000-0000DF100000}"/>
    <cellStyle name="Normal 2 4 7 2 4 2" xfId="3866" xr:uid="{00000000-0005-0000-0000-0000E0100000}"/>
    <cellStyle name="Normal 2 4 7 2 4 2 2" xfId="8088" xr:uid="{00000000-0005-0000-0000-0000E1100000}"/>
    <cellStyle name="Normal 2 4 7 2 4 2 2 2" xfId="26714" xr:uid="{2673ED25-9D25-4F6D-96BE-5ADBFC655930}"/>
    <cellStyle name="Normal 2 4 7 2 4 2 2 3" xfId="35161" xr:uid="{C0A9A2A4-33E4-427B-BF8A-96498841F24D}"/>
    <cellStyle name="Normal 2 4 7 2 4 2 2 4" xfId="43608" xr:uid="{EB187685-D37D-4D4E-96A8-BDEB70A54256}"/>
    <cellStyle name="Normal 2 4 7 2 4 2 2 5" xfId="17414" xr:uid="{AC6036AB-DDAE-4119-B594-F4FDEBD8848F}"/>
    <cellStyle name="Normal 2 4 7 2 4 2 3" xfId="22497" xr:uid="{E3E209D8-7C9A-4D1B-B9C5-62125B8D7A7A}"/>
    <cellStyle name="Normal 2 4 7 2 4 2 4" xfId="30944" xr:uid="{E88D8885-372E-4304-9EC0-BBD246E9139A}"/>
    <cellStyle name="Normal 2 4 7 2 4 2 5" xfId="39391" xr:uid="{E6B5E968-5817-44B0-81DC-5C088956ACFA}"/>
    <cellStyle name="Normal 2 4 7 2 4 2 6" xfId="13197" xr:uid="{2D1FFC13-C4A1-4AE9-8F0E-79383C8AB0F5}"/>
    <cellStyle name="Normal 2 4 7 2 4 3" xfId="5943" xr:uid="{00000000-0005-0000-0000-0000E2100000}"/>
    <cellStyle name="Normal 2 4 7 2 4 3 2" xfId="24569" xr:uid="{2BDF2E39-F4A4-4DA1-8C3B-2A0E6E353C6E}"/>
    <cellStyle name="Normal 2 4 7 2 4 3 3" xfId="33016" xr:uid="{B2A7388F-066A-4A25-A882-B40310D3E798}"/>
    <cellStyle name="Normal 2 4 7 2 4 3 4" xfId="41463" xr:uid="{7098A2C2-82F7-4379-B0E5-6401F10F5017}"/>
    <cellStyle name="Normal 2 4 7 2 4 3 5" xfId="15269" xr:uid="{C4A826C6-70F6-40D9-A424-838649B0FA80}"/>
    <cellStyle name="Normal 2 4 7 2 4 4" xfId="20352" xr:uid="{F5158F92-2475-4653-A505-61C9BE58D027}"/>
    <cellStyle name="Normal 2 4 7 2 4 5" xfId="28799" xr:uid="{03D03268-7A51-464F-B7C9-12EF9C4605E4}"/>
    <cellStyle name="Normal 2 4 7 2 4 6" xfId="37246" xr:uid="{6034EEF7-6544-49AA-B06B-C38E3F78595F}"/>
    <cellStyle name="Normal 2 4 7 2 4 7" xfId="11052" xr:uid="{68A2AD42-0A0E-4ACB-8369-CD68889E22AC}"/>
    <cellStyle name="Normal 2 4 7 2 5" xfId="2050" xr:uid="{00000000-0005-0000-0000-0000E3100000}"/>
    <cellStyle name="Normal 2 4 7 2 5 2" xfId="4279" xr:uid="{00000000-0005-0000-0000-0000E4100000}"/>
    <cellStyle name="Normal 2 4 7 2 5 2 2" xfId="8501" xr:uid="{00000000-0005-0000-0000-0000E5100000}"/>
    <cellStyle name="Normal 2 4 7 2 5 2 2 2" xfId="27127" xr:uid="{24E5CA72-6C5D-4C88-A849-ADD62FB45BAD}"/>
    <cellStyle name="Normal 2 4 7 2 5 2 2 3" xfId="35574" xr:uid="{316A87EE-8671-4063-99AE-BE391C43C86C}"/>
    <cellStyle name="Normal 2 4 7 2 5 2 2 4" xfId="44021" xr:uid="{C049346D-7E9E-46BE-B89A-8D9DE43E6FBE}"/>
    <cellStyle name="Normal 2 4 7 2 5 2 2 5" xfId="17827" xr:uid="{387914E2-9F06-4AAC-8C81-3F70B60536FE}"/>
    <cellStyle name="Normal 2 4 7 2 5 2 3" xfId="22910" xr:uid="{C4180EAB-7D4F-4FF2-8A8E-CBDEBC9A75D9}"/>
    <cellStyle name="Normal 2 4 7 2 5 2 4" xfId="31357" xr:uid="{2F42E7BA-7BCF-401B-B558-77483D3BF62A}"/>
    <cellStyle name="Normal 2 4 7 2 5 2 5" xfId="39804" xr:uid="{64AC9755-FD13-4543-A863-DC48EEA74EDF}"/>
    <cellStyle name="Normal 2 4 7 2 5 2 6" xfId="13610" xr:uid="{38EA36E2-5D30-4A8E-8A58-747AAD6DAF00}"/>
    <cellStyle name="Normal 2 4 7 2 5 3" xfId="6356" xr:uid="{00000000-0005-0000-0000-0000E6100000}"/>
    <cellStyle name="Normal 2 4 7 2 5 3 2" xfId="24982" xr:uid="{6827A827-946C-4CBF-9D41-04F32816DF8F}"/>
    <cellStyle name="Normal 2 4 7 2 5 3 3" xfId="33429" xr:uid="{7AF3CF1A-5A58-48C3-849E-772EFB39F291}"/>
    <cellStyle name="Normal 2 4 7 2 5 3 4" xfId="41876" xr:uid="{89BA2A02-3668-43D2-AEDF-3488C9EA5D7D}"/>
    <cellStyle name="Normal 2 4 7 2 5 3 5" xfId="15682" xr:uid="{67AD241F-142F-46FB-9EEF-AC0FCB5BB31C}"/>
    <cellStyle name="Normal 2 4 7 2 5 4" xfId="20765" xr:uid="{CB2D919B-71DC-4BBB-A07E-4E44F5A91096}"/>
    <cellStyle name="Normal 2 4 7 2 5 5" xfId="29212" xr:uid="{62EDE87B-812B-47AD-B57A-FD7E678FDFDC}"/>
    <cellStyle name="Normal 2 4 7 2 5 6" xfId="37659" xr:uid="{1E289216-B7AD-44DD-BD73-01F61D1E0C65}"/>
    <cellStyle name="Normal 2 4 7 2 5 7" xfId="11465" xr:uid="{36028932-5ACA-429C-B3F0-09D1F223FF7E}"/>
    <cellStyle name="Normal 2 4 7 2 6" xfId="2486" xr:uid="{00000000-0005-0000-0000-0000E7100000}"/>
    <cellStyle name="Normal 2 4 7 2 6 2" xfId="6769" xr:uid="{00000000-0005-0000-0000-0000E8100000}"/>
    <cellStyle name="Normal 2 4 7 2 6 2 2" xfId="25395" xr:uid="{89FCE0AB-6205-46CD-8883-9D56F4C24307}"/>
    <cellStyle name="Normal 2 4 7 2 6 2 3" xfId="33842" xr:uid="{9A25F8F7-4C6E-4A3B-9B15-7903FA4631CC}"/>
    <cellStyle name="Normal 2 4 7 2 6 2 4" xfId="42289" xr:uid="{F3004A1C-25C7-44AD-BD45-B8BD9206DECE}"/>
    <cellStyle name="Normal 2 4 7 2 6 2 5" xfId="16095" xr:uid="{2127FD2F-74BD-4E9F-A30A-6A3A05C822E8}"/>
    <cellStyle name="Normal 2 4 7 2 6 3" xfId="21178" xr:uid="{B5C96E6B-65E9-4E95-800C-C00A9BF0E2E4}"/>
    <cellStyle name="Normal 2 4 7 2 6 4" xfId="29625" xr:uid="{970E08DB-26C0-4907-A332-E6F9A4D2038F}"/>
    <cellStyle name="Normal 2 4 7 2 6 5" xfId="38072" xr:uid="{458B062B-F4E5-4BB2-982E-9F81AFA00A6E}"/>
    <cellStyle name="Normal 2 4 7 2 6 6" xfId="11878" xr:uid="{8702AC22-5D7D-4523-9A00-30E7B952200A}"/>
    <cellStyle name="Normal 2 4 7 2 7" xfId="4703" xr:uid="{00000000-0005-0000-0000-0000E9100000}"/>
    <cellStyle name="Normal 2 4 7 2 7 2" xfId="23329" xr:uid="{4D26954C-9B93-4435-B7DA-C5E468F63404}"/>
    <cellStyle name="Normal 2 4 7 2 7 3" xfId="31776" xr:uid="{8817C9DB-DBFE-4433-A5F1-ED456C607ADB}"/>
    <cellStyle name="Normal 2 4 7 2 7 4" xfId="40223" xr:uid="{5FC9C697-B0E4-4E44-B4E5-97F833E72B7D}"/>
    <cellStyle name="Normal 2 4 7 2 7 5" xfId="14029" xr:uid="{00F765D7-7328-454C-AF60-E68FB4DA55AE}"/>
    <cellStyle name="Normal 2 4 7 2 8" xfId="9058" xr:uid="{FCEC438E-EF6A-4A00-BFE3-0DA309169A82}"/>
    <cellStyle name="Normal 2 4 7 2 8 2" xfId="18382" xr:uid="{ECB20A19-3BF7-4239-9705-8E26E2ED9F9E}"/>
    <cellStyle name="Normal 2 4 7 2 9" xfId="19112" xr:uid="{CD5192C6-271E-4A84-9BC6-FC3F909775A7}"/>
    <cellStyle name="Normal 2 4 7 3" xfId="800" xr:uid="{00000000-0005-0000-0000-0000EA100000}"/>
    <cellStyle name="Normal 2 4 7 3 2" xfId="3039" xr:uid="{00000000-0005-0000-0000-0000EB100000}"/>
    <cellStyle name="Normal 2 4 7 3 2 2" xfId="7261" xr:uid="{00000000-0005-0000-0000-0000EC100000}"/>
    <cellStyle name="Normal 2 4 7 3 2 2 2" xfId="25887" xr:uid="{0D5DE132-3A65-457F-B677-6EBBDE32752A}"/>
    <cellStyle name="Normal 2 4 7 3 2 2 3" xfId="34334" xr:uid="{AE541B79-DC93-4AA4-B1B8-0BB89BDFAC06}"/>
    <cellStyle name="Normal 2 4 7 3 2 2 4" xfId="42781" xr:uid="{BFBD604B-36D6-4895-947F-5B583D36FAAF}"/>
    <cellStyle name="Normal 2 4 7 3 2 2 5" xfId="16587" xr:uid="{821E8E89-033D-40EA-8235-3970140ECFDD}"/>
    <cellStyle name="Normal 2 4 7 3 2 3" xfId="21670" xr:uid="{EBFDEF81-917A-4EE5-8B09-9F4254A74D55}"/>
    <cellStyle name="Normal 2 4 7 3 2 4" xfId="30117" xr:uid="{9A3BEB1E-5B29-4A41-BB2E-D6887C42160F}"/>
    <cellStyle name="Normal 2 4 7 3 2 5" xfId="38564" xr:uid="{C39CF3DC-A9B5-4313-8F17-3D749E1A8CC3}"/>
    <cellStyle name="Normal 2 4 7 3 2 6" xfId="12370" xr:uid="{D09C91D7-4DBB-4DAA-BC47-F8228D058E93}"/>
    <cellStyle name="Normal 2 4 7 3 3" xfId="5116" xr:uid="{00000000-0005-0000-0000-0000ED100000}"/>
    <cellStyle name="Normal 2 4 7 3 3 2" xfId="23742" xr:uid="{6D444068-CD4F-4D32-8459-2A908768915D}"/>
    <cellStyle name="Normal 2 4 7 3 3 3" xfId="32189" xr:uid="{00BCAA7C-19F4-4B03-8E2D-D5ED3D21C7A3}"/>
    <cellStyle name="Normal 2 4 7 3 3 4" xfId="40636" xr:uid="{AA096FEF-FB82-48F1-8956-A69B40098709}"/>
    <cellStyle name="Normal 2 4 7 3 3 5" xfId="14442" xr:uid="{8C91993A-AFFE-4F0F-9C53-FE50C239838F}"/>
    <cellStyle name="Normal 2 4 7 3 4" xfId="9276" xr:uid="{90A81E61-1719-41E4-8673-7681E805C2E0}"/>
    <cellStyle name="Normal 2 4 7 3 4 2" xfId="18592" xr:uid="{56DB890A-3F64-4793-963E-E9CB924ACF46}"/>
    <cellStyle name="Normal 2 4 7 3 5" xfId="19525" xr:uid="{CF8000C5-9B8A-4D28-BC93-F0835D917128}"/>
    <cellStyle name="Normal 2 4 7 3 6" xfId="27972" xr:uid="{36F47FA3-9515-4EE4-BDF5-8F0AA6B17B19}"/>
    <cellStyle name="Normal 2 4 7 3 7" xfId="36419" xr:uid="{3CF38C57-FF71-4896-88DA-D5235F4AA204}"/>
    <cellStyle name="Normal 2 4 7 3 8" xfId="10225" xr:uid="{80146B71-D609-409D-9094-2251E3665FD3}"/>
    <cellStyle name="Normal 2 4 7 4" xfId="1222" xr:uid="{00000000-0005-0000-0000-0000EE100000}"/>
    <cellStyle name="Normal 2 4 7 4 2" xfId="3452" xr:uid="{00000000-0005-0000-0000-0000EF100000}"/>
    <cellStyle name="Normal 2 4 7 4 2 2" xfId="7674" xr:uid="{00000000-0005-0000-0000-0000F0100000}"/>
    <cellStyle name="Normal 2 4 7 4 2 2 2" xfId="26300" xr:uid="{745B1AB2-5146-4A22-9F4A-8E64A76940B2}"/>
    <cellStyle name="Normal 2 4 7 4 2 2 3" xfId="34747" xr:uid="{BBD9A880-7B17-493A-93CD-C87E4340410F}"/>
    <cellStyle name="Normal 2 4 7 4 2 2 4" xfId="43194" xr:uid="{F23667F1-1C35-40CA-99C5-073C9AA26CA6}"/>
    <cellStyle name="Normal 2 4 7 4 2 2 5" xfId="17000" xr:uid="{DE32EEBD-A9D2-4155-8804-16EB59AB2A26}"/>
    <cellStyle name="Normal 2 4 7 4 2 3" xfId="22083" xr:uid="{7A8AAA57-F2B1-4084-AFDD-0C061136655C}"/>
    <cellStyle name="Normal 2 4 7 4 2 4" xfId="30530" xr:uid="{9730C5AB-1244-46D7-90E9-8E859CC88E61}"/>
    <cellStyle name="Normal 2 4 7 4 2 5" xfId="38977" xr:uid="{DA6CBC27-31B6-4373-A700-A5DC3A5DE2C8}"/>
    <cellStyle name="Normal 2 4 7 4 2 6" xfId="12783" xr:uid="{C24D0C79-107D-4320-96AF-F976E338126C}"/>
    <cellStyle name="Normal 2 4 7 4 3" xfId="5529" xr:uid="{00000000-0005-0000-0000-0000F1100000}"/>
    <cellStyle name="Normal 2 4 7 4 3 2" xfId="24155" xr:uid="{D1CACAAE-5203-4310-B32C-41C293D6704B}"/>
    <cellStyle name="Normal 2 4 7 4 3 3" xfId="32602" xr:uid="{8E7A2086-1449-4FB0-8294-0915FDCCF3B2}"/>
    <cellStyle name="Normal 2 4 7 4 3 4" xfId="41049" xr:uid="{4BD6E351-852A-4728-8368-80892B12F909}"/>
    <cellStyle name="Normal 2 4 7 4 3 5" xfId="14855" xr:uid="{463E1548-407C-4343-9945-A2EEA775F035}"/>
    <cellStyle name="Normal 2 4 7 4 4" xfId="19938" xr:uid="{4B4C9122-5153-44BD-A3C6-E1BF77359899}"/>
    <cellStyle name="Normal 2 4 7 4 5" xfId="28385" xr:uid="{C7441CAE-CC48-4D55-BF19-5D6AD6E1BDCE}"/>
    <cellStyle name="Normal 2 4 7 4 6" xfId="36832" xr:uid="{9273F0EE-7866-4E87-8D36-55579E5215BB}"/>
    <cellStyle name="Normal 2 4 7 4 7" xfId="10638" xr:uid="{68557F0A-2873-49E2-B481-874D06AEC187}"/>
    <cellStyle name="Normal 2 4 7 5" xfId="1635" xr:uid="{00000000-0005-0000-0000-0000F2100000}"/>
    <cellStyle name="Normal 2 4 7 5 2" xfId="3865" xr:uid="{00000000-0005-0000-0000-0000F3100000}"/>
    <cellStyle name="Normal 2 4 7 5 2 2" xfId="8087" xr:uid="{00000000-0005-0000-0000-0000F4100000}"/>
    <cellStyle name="Normal 2 4 7 5 2 2 2" xfId="26713" xr:uid="{3EE20CEF-A37A-4DCA-8895-4474848AC9F2}"/>
    <cellStyle name="Normal 2 4 7 5 2 2 3" xfId="35160" xr:uid="{6A7C446C-695E-42FF-970D-09C7B0F17A6D}"/>
    <cellStyle name="Normal 2 4 7 5 2 2 4" xfId="43607" xr:uid="{AC020F00-7E29-42B8-9244-CE02963FF456}"/>
    <cellStyle name="Normal 2 4 7 5 2 2 5" xfId="17413" xr:uid="{E18EAA4F-4E6B-43BA-832B-D4F982ED7523}"/>
    <cellStyle name="Normal 2 4 7 5 2 3" xfId="22496" xr:uid="{6CE035DD-7110-4FBD-B9FD-C141AB90BA12}"/>
    <cellStyle name="Normal 2 4 7 5 2 4" xfId="30943" xr:uid="{0D98751C-7B39-47B3-8BCD-D80C8DA498AB}"/>
    <cellStyle name="Normal 2 4 7 5 2 5" xfId="39390" xr:uid="{9C9FE344-876B-4049-B75E-FEC229B99205}"/>
    <cellStyle name="Normal 2 4 7 5 2 6" xfId="13196" xr:uid="{58907626-75D3-412E-8CD1-DE27E687A830}"/>
    <cellStyle name="Normal 2 4 7 5 3" xfId="5942" xr:uid="{00000000-0005-0000-0000-0000F5100000}"/>
    <cellStyle name="Normal 2 4 7 5 3 2" xfId="24568" xr:uid="{D2A1284A-126F-4726-AE04-52B7B3E58D0E}"/>
    <cellStyle name="Normal 2 4 7 5 3 3" xfId="33015" xr:uid="{DBA30A27-D87C-492A-AA1A-B70D0BB2A88D}"/>
    <cellStyle name="Normal 2 4 7 5 3 4" xfId="41462" xr:uid="{F09511E9-DA91-4F94-B46E-3A7A72FD0E3D}"/>
    <cellStyle name="Normal 2 4 7 5 3 5" xfId="15268" xr:uid="{8130D16F-649E-41FA-9F0E-681643D452B0}"/>
    <cellStyle name="Normal 2 4 7 5 4" xfId="20351" xr:uid="{AB5A3C4E-FBB2-41CB-B386-BFAAFF6573D3}"/>
    <cellStyle name="Normal 2 4 7 5 5" xfId="28798" xr:uid="{9BB3C10C-2520-4D63-92F3-BCEBE5BA9A34}"/>
    <cellStyle name="Normal 2 4 7 5 6" xfId="37245" xr:uid="{392F85B8-5AF8-4A17-A70B-790A44756DE1}"/>
    <cellStyle name="Normal 2 4 7 5 7" xfId="11051" xr:uid="{7B810893-0081-4C0C-9C92-7C8856CED3F7}"/>
    <cellStyle name="Normal 2 4 7 6" xfId="2049" xr:uid="{00000000-0005-0000-0000-0000F6100000}"/>
    <cellStyle name="Normal 2 4 7 6 2" xfId="4278" xr:uid="{00000000-0005-0000-0000-0000F7100000}"/>
    <cellStyle name="Normal 2 4 7 6 2 2" xfId="8500" xr:uid="{00000000-0005-0000-0000-0000F8100000}"/>
    <cellStyle name="Normal 2 4 7 6 2 2 2" xfId="27126" xr:uid="{61A970A6-97CA-4CFF-95E9-84DD96F0EED4}"/>
    <cellStyle name="Normal 2 4 7 6 2 2 3" xfId="35573" xr:uid="{C4EA8E85-99F3-4057-8ECA-626B1EE77D58}"/>
    <cellStyle name="Normal 2 4 7 6 2 2 4" xfId="44020" xr:uid="{7CB3199B-C5C0-4141-8CCE-BFBA30DC6D52}"/>
    <cellStyle name="Normal 2 4 7 6 2 2 5" xfId="17826" xr:uid="{FB8CB217-E095-4A25-9724-0DFDB30C4F30}"/>
    <cellStyle name="Normal 2 4 7 6 2 3" xfId="22909" xr:uid="{64B91784-6065-45C2-A526-D395CC96D554}"/>
    <cellStyle name="Normal 2 4 7 6 2 4" xfId="31356" xr:uid="{F4046656-FC54-4E0A-A9EE-BBEF47179D4B}"/>
    <cellStyle name="Normal 2 4 7 6 2 5" xfId="39803" xr:uid="{73264C28-32CC-4511-A8E6-79845CED4EA6}"/>
    <cellStyle name="Normal 2 4 7 6 2 6" xfId="13609" xr:uid="{A138CB3D-FA02-4173-9E2B-CC453B21CC85}"/>
    <cellStyle name="Normal 2 4 7 6 3" xfId="6355" xr:uid="{00000000-0005-0000-0000-0000F9100000}"/>
    <cellStyle name="Normal 2 4 7 6 3 2" xfId="24981" xr:uid="{6906C1B0-0D6F-4FDB-84B0-83C76D7A840B}"/>
    <cellStyle name="Normal 2 4 7 6 3 3" xfId="33428" xr:uid="{E350FE5E-C02A-4839-AE3D-7E3909A9B282}"/>
    <cellStyle name="Normal 2 4 7 6 3 4" xfId="41875" xr:uid="{C3C1879B-5467-4F31-99AE-11B0527CB319}"/>
    <cellStyle name="Normal 2 4 7 6 3 5" xfId="15681" xr:uid="{1F424441-8EDD-48F6-8544-1EF8CD070D6F}"/>
    <cellStyle name="Normal 2 4 7 6 4" xfId="20764" xr:uid="{43C1F859-D010-416A-904B-3FBBA456E177}"/>
    <cellStyle name="Normal 2 4 7 6 5" xfId="29211" xr:uid="{B42111DB-AF34-4093-8F3D-270D87398B19}"/>
    <cellStyle name="Normal 2 4 7 6 6" xfId="37658" xr:uid="{ED85A6F2-4146-47D4-9199-CC6A9DE555AA}"/>
    <cellStyle name="Normal 2 4 7 6 7" xfId="11464" xr:uid="{698DABB9-806C-4173-83B9-417EA6F2F077}"/>
    <cellStyle name="Normal 2 4 7 7" xfId="2485" xr:uid="{00000000-0005-0000-0000-0000FA100000}"/>
    <cellStyle name="Normal 2 4 7 7 2" xfId="6768" xr:uid="{00000000-0005-0000-0000-0000FB100000}"/>
    <cellStyle name="Normal 2 4 7 7 2 2" xfId="25394" xr:uid="{BD2351D4-2A40-4695-A23E-3AB17E3FD9B9}"/>
    <cellStyle name="Normal 2 4 7 7 2 3" xfId="33841" xr:uid="{8D8ED268-F754-484F-B570-2E5AFB949B01}"/>
    <cellStyle name="Normal 2 4 7 7 2 4" xfId="42288" xr:uid="{7AD9D6C3-CB56-45DB-89BB-34C0CD8629EC}"/>
    <cellStyle name="Normal 2 4 7 7 2 5" xfId="16094" xr:uid="{BFC8D5DB-7111-4DA3-8401-B0499F177CE2}"/>
    <cellStyle name="Normal 2 4 7 7 3" xfId="21177" xr:uid="{16AFB4BE-623C-407A-A1A3-66D4CB1F0DEC}"/>
    <cellStyle name="Normal 2 4 7 7 4" xfId="29624" xr:uid="{50183E90-A2E7-4DC0-A19D-1890B4643A0B}"/>
    <cellStyle name="Normal 2 4 7 7 5" xfId="38071" xr:uid="{1F784DCF-3240-473F-88E8-397FEBB556D8}"/>
    <cellStyle name="Normal 2 4 7 7 6" xfId="11877" xr:uid="{99493145-7583-4A72-8410-0FB3F4AE2FFE}"/>
    <cellStyle name="Normal 2 4 7 8" xfId="4702" xr:uid="{00000000-0005-0000-0000-0000FC100000}"/>
    <cellStyle name="Normal 2 4 7 8 2" xfId="23328" xr:uid="{2658165F-C844-4741-9B69-757DB299A31B}"/>
    <cellStyle name="Normal 2 4 7 8 3" xfId="31775" xr:uid="{780DFCB9-3F01-47E4-BB30-FA6647283E41}"/>
    <cellStyle name="Normal 2 4 7 8 4" xfId="40222" xr:uid="{F902AAFA-54F2-48E9-97CD-173D5F4E3713}"/>
    <cellStyle name="Normal 2 4 7 8 5" xfId="14028" xr:uid="{0F4FD528-9705-4288-9FCA-96616FFFC83B}"/>
    <cellStyle name="Normal 2 4 7 9" xfId="8851" xr:uid="{6946A6C1-9296-4D8F-B36F-8F7964FD7AC6}"/>
    <cellStyle name="Normal 2 4 7 9 2" xfId="18175" xr:uid="{BBCB5A4F-6071-4915-AA5E-DE0359A2BDA9}"/>
    <cellStyle name="Normal 2 4 8" xfId="314" xr:uid="{00000000-0005-0000-0000-0000FD100000}"/>
    <cellStyle name="Normal 2 4 8 10" xfId="27560" xr:uid="{E8DE575E-0E41-42F8-AB88-6B689BC6CD29}"/>
    <cellStyle name="Normal 2 4 8 11" xfId="36007" xr:uid="{E5EC73AD-F177-4A37-9C38-46E07871D87E}"/>
    <cellStyle name="Normal 2 4 8 12" xfId="9813" xr:uid="{79224E6A-EFCC-463B-A449-41278963A2A5}"/>
    <cellStyle name="Normal 2 4 8 2" xfId="802" xr:uid="{00000000-0005-0000-0000-0000FE100000}"/>
    <cellStyle name="Normal 2 4 8 2 2" xfId="3041" xr:uid="{00000000-0005-0000-0000-0000FF100000}"/>
    <cellStyle name="Normal 2 4 8 2 2 2" xfId="7263" xr:uid="{00000000-0005-0000-0000-000000110000}"/>
    <cellStyle name="Normal 2 4 8 2 2 2 2" xfId="25889" xr:uid="{D94B489F-5205-41D4-8F11-13394E90E9DA}"/>
    <cellStyle name="Normal 2 4 8 2 2 2 3" xfId="34336" xr:uid="{B0349A0F-9863-4786-9D8C-F13649BBB812}"/>
    <cellStyle name="Normal 2 4 8 2 2 2 4" xfId="42783" xr:uid="{D591779D-696A-499F-8CFB-1D13437BF82C}"/>
    <cellStyle name="Normal 2 4 8 2 2 2 5" xfId="16589" xr:uid="{AC7DFD9D-0869-4A50-95D3-17BD7011E25E}"/>
    <cellStyle name="Normal 2 4 8 2 2 3" xfId="21672" xr:uid="{19488908-45BF-43A9-AF8A-BDD51AF640B8}"/>
    <cellStyle name="Normal 2 4 8 2 2 4" xfId="30119" xr:uid="{0720A415-D290-488A-ABA3-C760212CA223}"/>
    <cellStyle name="Normal 2 4 8 2 2 5" xfId="38566" xr:uid="{067B4CFA-4143-4E94-B1E9-11311B1D045F}"/>
    <cellStyle name="Normal 2 4 8 2 2 6" xfId="12372" xr:uid="{EF17B33F-4E09-40FF-8C2B-629D82499708}"/>
    <cellStyle name="Normal 2 4 8 2 3" xfId="5118" xr:uid="{00000000-0005-0000-0000-000001110000}"/>
    <cellStyle name="Normal 2 4 8 2 3 2" xfId="23744" xr:uid="{C15CEF7A-A066-4F7A-AC47-5EFAFAD74385}"/>
    <cellStyle name="Normal 2 4 8 2 3 3" xfId="32191" xr:uid="{EB948E1D-ABF0-455F-8B13-4FBFBC4CA46E}"/>
    <cellStyle name="Normal 2 4 8 2 3 4" xfId="40638" xr:uid="{590950F5-AD02-40DF-A983-A86599246DA4}"/>
    <cellStyle name="Normal 2 4 8 2 3 5" xfId="14444" xr:uid="{C58F38A2-69C7-4FD5-9136-44AE61A38CE4}"/>
    <cellStyle name="Normal 2 4 8 2 4" xfId="9392" xr:uid="{812B973E-E5C9-43CD-85B0-C8CA30BD9BF3}"/>
    <cellStyle name="Normal 2 4 8 2 4 2" xfId="18708" xr:uid="{B251ED24-3847-4F7B-99F0-0E5623D7AEEA}"/>
    <cellStyle name="Normal 2 4 8 2 5" xfId="19527" xr:uid="{62DF819D-D933-4AD5-9459-C95275156878}"/>
    <cellStyle name="Normal 2 4 8 2 6" xfId="27974" xr:uid="{E2D5E5B3-C23D-4111-B836-C28D88C47C69}"/>
    <cellStyle name="Normal 2 4 8 2 7" xfId="36421" xr:uid="{7F0BA188-83B9-48D3-8240-AAA80100581A}"/>
    <cellStyle name="Normal 2 4 8 2 8" xfId="10227" xr:uid="{7B33E35C-EF5D-43F4-910D-544057917E44}"/>
    <cellStyle name="Normal 2 4 8 3" xfId="1224" xr:uid="{00000000-0005-0000-0000-000002110000}"/>
    <cellStyle name="Normal 2 4 8 3 2" xfId="3454" xr:uid="{00000000-0005-0000-0000-000003110000}"/>
    <cellStyle name="Normal 2 4 8 3 2 2" xfId="7676" xr:uid="{00000000-0005-0000-0000-000004110000}"/>
    <cellStyle name="Normal 2 4 8 3 2 2 2" xfId="26302" xr:uid="{ED4A7B32-62C2-4A14-B3A8-88CFFD16C635}"/>
    <cellStyle name="Normal 2 4 8 3 2 2 3" xfId="34749" xr:uid="{67E3A2B2-2B08-41CD-9F2A-54B7457A5251}"/>
    <cellStyle name="Normal 2 4 8 3 2 2 4" xfId="43196" xr:uid="{B6F8E888-BFED-49FB-8433-DFD321CFD306}"/>
    <cellStyle name="Normal 2 4 8 3 2 2 5" xfId="17002" xr:uid="{FC8AC745-C15C-420C-B71A-A6D6C9C347D8}"/>
    <cellStyle name="Normal 2 4 8 3 2 3" xfId="22085" xr:uid="{9FB74B8A-B5C4-4DD2-890C-C23E992D713C}"/>
    <cellStyle name="Normal 2 4 8 3 2 4" xfId="30532" xr:uid="{65984851-B930-4DEC-A0D3-F68C6C29AE4C}"/>
    <cellStyle name="Normal 2 4 8 3 2 5" xfId="38979" xr:uid="{B68F4EE9-E0FA-49FE-81AC-37C4CBBB8FB2}"/>
    <cellStyle name="Normal 2 4 8 3 2 6" xfId="12785" xr:uid="{8D069B1B-9E41-4DC8-BB49-1F778FDB80C4}"/>
    <cellStyle name="Normal 2 4 8 3 3" xfId="5531" xr:uid="{00000000-0005-0000-0000-000005110000}"/>
    <cellStyle name="Normal 2 4 8 3 3 2" xfId="24157" xr:uid="{885E1552-2D28-4199-BACA-87E27813608F}"/>
    <cellStyle name="Normal 2 4 8 3 3 3" xfId="32604" xr:uid="{D300DB37-CFFD-49CD-9989-A3CF56030139}"/>
    <cellStyle name="Normal 2 4 8 3 3 4" xfId="41051" xr:uid="{A9D7ACAD-8119-45DC-890A-56D1ED2B34C2}"/>
    <cellStyle name="Normal 2 4 8 3 3 5" xfId="14857" xr:uid="{EDAA83D4-E44D-4B4E-96A3-0B98FDFFC268}"/>
    <cellStyle name="Normal 2 4 8 3 4" xfId="19940" xr:uid="{4C956F74-A30F-4799-9E42-EE4F4C6FAA3A}"/>
    <cellStyle name="Normal 2 4 8 3 5" xfId="28387" xr:uid="{00675253-ED8C-4A17-8361-071363A05F17}"/>
    <cellStyle name="Normal 2 4 8 3 6" xfId="36834" xr:uid="{ED5F78DF-54F9-4923-9740-5C93B28DA3C2}"/>
    <cellStyle name="Normal 2 4 8 3 7" xfId="10640" xr:uid="{D1C30B15-15D5-43F8-8661-869919B13BE4}"/>
    <cellStyle name="Normal 2 4 8 4" xfId="1637" xr:uid="{00000000-0005-0000-0000-000006110000}"/>
    <cellStyle name="Normal 2 4 8 4 2" xfId="3867" xr:uid="{00000000-0005-0000-0000-000007110000}"/>
    <cellStyle name="Normal 2 4 8 4 2 2" xfId="8089" xr:uid="{00000000-0005-0000-0000-000008110000}"/>
    <cellStyle name="Normal 2 4 8 4 2 2 2" xfId="26715" xr:uid="{14CACA49-D13E-4B0C-91F2-AB6E0BAE09B3}"/>
    <cellStyle name="Normal 2 4 8 4 2 2 3" xfId="35162" xr:uid="{A2FCF3C0-9AC7-46D3-A0C3-0B7BF74BA288}"/>
    <cellStyle name="Normal 2 4 8 4 2 2 4" xfId="43609" xr:uid="{8645F866-91DE-4C55-B98C-DF905606E28B}"/>
    <cellStyle name="Normal 2 4 8 4 2 2 5" xfId="17415" xr:uid="{A379489F-4F7D-449F-823C-BA9A53A600CB}"/>
    <cellStyle name="Normal 2 4 8 4 2 3" xfId="22498" xr:uid="{5EF9932C-02F9-4422-92B9-D87295709765}"/>
    <cellStyle name="Normal 2 4 8 4 2 4" xfId="30945" xr:uid="{459D3EBF-BEFF-44FF-83C0-71DE65A01EC4}"/>
    <cellStyle name="Normal 2 4 8 4 2 5" xfId="39392" xr:uid="{CE8A2E62-5244-40DB-8B86-98E0B0D6D0B5}"/>
    <cellStyle name="Normal 2 4 8 4 2 6" xfId="13198" xr:uid="{3C727C5D-18C8-40B5-AEB7-33D796246ABB}"/>
    <cellStyle name="Normal 2 4 8 4 3" xfId="5944" xr:uid="{00000000-0005-0000-0000-000009110000}"/>
    <cellStyle name="Normal 2 4 8 4 3 2" xfId="24570" xr:uid="{7612C816-6AB5-40F3-932D-3D1B8ED4234C}"/>
    <cellStyle name="Normal 2 4 8 4 3 3" xfId="33017" xr:uid="{D1E05D2F-79F8-423F-B6CB-23401CCF3216}"/>
    <cellStyle name="Normal 2 4 8 4 3 4" xfId="41464" xr:uid="{A10130E2-0233-428B-B970-38393DE0A588}"/>
    <cellStyle name="Normal 2 4 8 4 3 5" xfId="15270" xr:uid="{BD4F04A9-4217-424F-9078-7FDC1D6098F9}"/>
    <cellStyle name="Normal 2 4 8 4 4" xfId="20353" xr:uid="{23C0965F-A633-41EB-BCC3-8B2DEC478838}"/>
    <cellStyle name="Normal 2 4 8 4 5" xfId="28800" xr:uid="{0BA488F9-4A3D-42AE-AE09-6AEBBC2671FC}"/>
    <cellStyle name="Normal 2 4 8 4 6" xfId="37247" xr:uid="{D3A8633E-68C3-4B65-98BF-BEA0AA719BD8}"/>
    <cellStyle name="Normal 2 4 8 4 7" xfId="11053" xr:uid="{628E4F32-227E-44C9-BAB4-FB218B953F41}"/>
    <cellStyle name="Normal 2 4 8 5" xfId="2051" xr:uid="{00000000-0005-0000-0000-00000A110000}"/>
    <cellStyle name="Normal 2 4 8 5 2" xfId="4280" xr:uid="{00000000-0005-0000-0000-00000B110000}"/>
    <cellStyle name="Normal 2 4 8 5 2 2" xfId="8502" xr:uid="{00000000-0005-0000-0000-00000C110000}"/>
    <cellStyle name="Normal 2 4 8 5 2 2 2" xfId="27128" xr:uid="{7B021DB8-B1E1-455B-9480-E83B6810F3A9}"/>
    <cellStyle name="Normal 2 4 8 5 2 2 3" xfId="35575" xr:uid="{32B6257B-D742-41FB-8FFC-ED7C78164713}"/>
    <cellStyle name="Normal 2 4 8 5 2 2 4" xfId="44022" xr:uid="{79C457E9-3D05-4930-B749-AE1B1289D2F1}"/>
    <cellStyle name="Normal 2 4 8 5 2 2 5" xfId="17828" xr:uid="{DB4DF9F5-F8CE-4A72-82F0-36787A0528D3}"/>
    <cellStyle name="Normal 2 4 8 5 2 3" xfId="22911" xr:uid="{BC9DAFBF-DD39-47B2-9081-8263FD3B0AAA}"/>
    <cellStyle name="Normal 2 4 8 5 2 4" xfId="31358" xr:uid="{F3C302B2-8B36-48C1-8617-87B8A652FDFC}"/>
    <cellStyle name="Normal 2 4 8 5 2 5" xfId="39805" xr:uid="{DE405207-1669-4692-94AF-D94347E595D3}"/>
    <cellStyle name="Normal 2 4 8 5 2 6" xfId="13611" xr:uid="{D711576F-E199-4978-BBCA-66A053AB56A3}"/>
    <cellStyle name="Normal 2 4 8 5 3" xfId="6357" xr:uid="{00000000-0005-0000-0000-00000D110000}"/>
    <cellStyle name="Normal 2 4 8 5 3 2" xfId="24983" xr:uid="{AD9F0CE0-6395-4F57-8FA6-EF6A825E6CF6}"/>
    <cellStyle name="Normal 2 4 8 5 3 3" xfId="33430" xr:uid="{C6D123AF-095D-41FD-A954-1F463AEEC9BD}"/>
    <cellStyle name="Normal 2 4 8 5 3 4" xfId="41877" xr:uid="{1EF804D8-53D9-423B-B1BA-C943B5D545AB}"/>
    <cellStyle name="Normal 2 4 8 5 3 5" xfId="15683" xr:uid="{B1B89C68-6F3E-467B-8158-B860E1C9957A}"/>
    <cellStyle name="Normal 2 4 8 5 4" xfId="20766" xr:uid="{B5DB1327-D59C-45C7-94DB-552E26CEA05A}"/>
    <cellStyle name="Normal 2 4 8 5 5" xfId="29213" xr:uid="{AA6BA555-98F5-4E85-B485-9A7F062E58AD}"/>
    <cellStyle name="Normal 2 4 8 5 6" xfId="37660" xr:uid="{29DFA38F-0CDF-4A84-8058-097BA7D0F33F}"/>
    <cellStyle name="Normal 2 4 8 5 7" xfId="11466" xr:uid="{8AA4A53C-706D-4686-8315-FF6C3B804DA9}"/>
    <cellStyle name="Normal 2 4 8 6" xfId="2487" xr:uid="{00000000-0005-0000-0000-00000E110000}"/>
    <cellStyle name="Normal 2 4 8 6 2" xfId="6770" xr:uid="{00000000-0005-0000-0000-00000F110000}"/>
    <cellStyle name="Normal 2 4 8 6 2 2" xfId="25396" xr:uid="{3A0E98F4-B011-4B0D-A31D-4F5D1CB3AE3D}"/>
    <cellStyle name="Normal 2 4 8 6 2 3" xfId="33843" xr:uid="{3E06A38B-430E-4717-8655-3E27BCFB5117}"/>
    <cellStyle name="Normal 2 4 8 6 2 4" xfId="42290" xr:uid="{C20943D6-287E-4B3D-8F1B-FD20D0272616}"/>
    <cellStyle name="Normal 2 4 8 6 2 5" xfId="16096" xr:uid="{B9F8A6B4-8217-40DC-BB09-A4888B04CEB4}"/>
    <cellStyle name="Normal 2 4 8 6 3" xfId="21179" xr:uid="{DF5EF723-B8F1-44CF-A684-238E6ADEB8F2}"/>
    <cellStyle name="Normal 2 4 8 6 4" xfId="29626" xr:uid="{FB80A47B-494F-4C9B-A853-5CF363A76CB7}"/>
    <cellStyle name="Normal 2 4 8 6 5" xfId="38073" xr:uid="{9C4C8248-247D-4E7A-B5B1-F14CCB4A39A5}"/>
    <cellStyle name="Normal 2 4 8 6 6" xfId="11879" xr:uid="{FFBE2B71-EEB3-4B34-8739-306AF3B1FA13}"/>
    <cellStyle name="Normal 2 4 8 7" xfId="4704" xr:uid="{00000000-0005-0000-0000-000010110000}"/>
    <cellStyle name="Normal 2 4 8 7 2" xfId="23330" xr:uid="{5CC398CB-8436-491B-A272-8A0BF9373E52}"/>
    <cellStyle name="Normal 2 4 8 7 3" xfId="31777" xr:uid="{3024403C-B03B-452C-AC9D-61ABA05DD701}"/>
    <cellStyle name="Normal 2 4 8 7 4" xfId="40224" xr:uid="{A42E9D67-16A3-45B2-8638-B483AB3E1AE1}"/>
    <cellStyle name="Normal 2 4 8 7 5" xfId="14030" xr:uid="{34747249-B990-46D6-8BE3-7100B0E14386}"/>
    <cellStyle name="Normal 2 4 8 8" xfId="8967" xr:uid="{32AC97CD-D3FD-4AE1-A8B2-07BEA9D5DE52}"/>
    <cellStyle name="Normal 2 4 8 8 2" xfId="18291" xr:uid="{C3D32C87-633C-4F34-95B8-94199AB94C93}"/>
    <cellStyle name="Normal 2 4 8 9" xfId="19113" xr:uid="{4823B8E6-69D9-47AC-AF76-03A07EF10E1E}"/>
    <cellStyle name="Normal 2 4 9" xfId="9170" xr:uid="{5569C060-E090-4551-A44D-517EC3FD1834}"/>
    <cellStyle name="Normal 2 4 9 2" xfId="18489" xr:uid="{710D5F0A-200A-43FE-8792-1269A4ED314C}"/>
    <cellStyle name="Normal 2 5" xfId="315" xr:uid="{00000000-0005-0000-0000-000011110000}"/>
    <cellStyle name="Normal 2 5 10" xfId="4705" xr:uid="{00000000-0005-0000-0000-000012110000}"/>
    <cellStyle name="Normal 2 5 10 2" xfId="23331" xr:uid="{50A32EE1-BC9F-4BDA-BF66-1FBFE47D9EE0}"/>
    <cellStyle name="Normal 2 5 10 3" xfId="31778" xr:uid="{59017BB1-AB5F-4F15-8D04-BBA123AF9665}"/>
    <cellStyle name="Normal 2 5 10 4" xfId="40225" xr:uid="{281BCAA4-D68B-4DC3-9F25-AB3D89233C5C}"/>
    <cellStyle name="Normal 2 5 10 5" xfId="14031" xr:uid="{5DCFE388-20CB-4704-A278-4190342AE3D1}"/>
    <cellStyle name="Normal 2 5 11" xfId="19114" xr:uid="{2D762787-923A-4562-BA95-AC9E9A4F8D55}"/>
    <cellStyle name="Normal 2 5 12" xfId="27561" xr:uid="{661F1682-6F3B-45A2-8B79-46C8BAC866D0}"/>
    <cellStyle name="Normal 2 5 13" xfId="36008" xr:uid="{059D9573-559F-491A-BF91-8BB0E06A5726}"/>
    <cellStyle name="Normal 2 5 14" xfId="9814" xr:uid="{AA476261-59E4-415F-A1F1-620109930693}"/>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10 2" xfId="18140" xr:uid="{3AD204FB-757B-4CDA-9D02-D010DBCC10E5}"/>
    <cellStyle name="Normal 2 5 4 11" xfId="19115" xr:uid="{73A15537-907C-43AE-AF38-3CE31B4C7228}"/>
    <cellStyle name="Normal 2 5 4 12" xfId="27562" xr:uid="{23AD6468-EBD1-40DF-A680-0C748DA85D48}"/>
    <cellStyle name="Normal 2 5 4 13" xfId="36009" xr:uid="{A7BE0671-0160-4319-AC50-CB422B748367}"/>
    <cellStyle name="Normal 2 5 4 14" xfId="9815" xr:uid="{FC54FD38-E9F0-49A6-809B-143C258FEA39}"/>
    <cellStyle name="Normal 2 5 4 2" xfId="319" xr:uid="{00000000-0005-0000-0000-000016110000}"/>
    <cellStyle name="Normal 2 5 4 2 10" xfId="19116" xr:uid="{2D42E184-7481-4963-B859-3B603F283478}"/>
    <cellStyle name="Normal 2 5 4 2 11" xfId="27563" xr:uid="{4F1BCB3E-CA1D-4230-8345-80028AA04493}"/>
    <cellStyle name="Normal 2 5 4 2 12" xfId="36010" xr:uid="{B00D7C69-DDD7-4777-8A3D-E264E16B7CC4}"/>
    <cellStyle name="Normal 2 5 4 2 13" xfId="9816" xr:uid="{14552781-75FF-4F18-B9EB-1A03D2082B6F}"/>
    <cellStyle name="Normal 2 5 4 2 2" xfId="320" xr:uid="{00000000-0005-0000-0000-000017110000}"/>
    <cellStyle name="Normal 2 5 4 2 2 10" xfId="27564" xr:uid="{B86B9262-55F3-49BD-947A-3AFCA068B37A}"/>
    <cellStyle name="Normal 2 5 4 2 2 11" xfId="36011" xr:uid="{3129E161-F393-4CE1-A328-717F48BC9BDB}"/>
    <cellStyle name="Normal 2 5 4 2 2 12" xfId="9817" xr:uid="{7B747282-65B0-4625-B829-D2A3219A8BF6}"/>
    <cellStyle name="Normal 2 5 4 2 2 2" xfId="806" xr:uid="{00000000-0005-0000-0000-000018110000}"/>
    <cellStyle name="Normal 2 5 4 2 2 2 2" xfId="3045" xr:uid="{00000000-0005-0000-0000-000019110000}"/>
    <cellStyle name="Normal 2 5 4 2 2 2 2 2" xfId="7267" xr:uid="{00000000-0005-0000-0000-00001A110000}"/>
    <cellStyle name="Normal 2 5 4 2 2 2 2 2 2" xfId="25893" xr:uid="{DC391EA2-9A20-4A55-8149-01A69D1B97CD}"/>
    <cellStyle name="Normal 2 5 4 2 2 2 2 2 3" xfId="34340" xr:uid="{70E07531-C66D-4462-BC4F-EB11CE0AF568}"/>
    <cellStyle name="Normal 2 5 4 2 2 2 2 2 4" xfId="42787" xr:uid="{964C9DF9-003D-4DF2-8B4B-136CB3A14BC2}"/>
    <cellStyle name="Normal 2 5 4 2 2 2 2 2 5" xfId="16593" xr:uid="{5E43BC6B-1FB7-426D-90B6-199E16EDF5F3}"/>
    <cellStyle name="Normal 2 5 4 2 2 2 2 3" xfId="21676" xr:uid="{34060EC3-1683-461A-BB8C-81366ADC2F7C}"/>
    <cellStyle name="Normal 2 5 4 2 2 2 2 4" xfId="30123" xr:uid="{F6F3D160-03B1-4118-8703-FF72D94E00E8}"/>
    <cellStyle name="Normal 2 5 4 2 2 2 2 5" xfId="38570" xr:uid="{3D80D34A-1F4E-467B-A8CE-6DF86A634F9B}"/>
    <cellStyle name="Normal 2 5 4 2 2 2 2 6" xfId="12376" xr:uid="{CD44DE00-E600-4F33-AE71-7F4F295A820D}"/>
    <cellStyle name="Normal 2 5 4 2 2 2 3" xfId="5122" xr:uid="{00000000-0005-0000-0000-00001B110000}"/>
    <cellStyle name="Normal 2 5 4 2 2 2 3 2" xfId="23748" xr:uid="{F9100E1D-92AE-4D2F-BB63-DDA0A68FFD1F}"/>
    <cellStyle name="Normal 2 5 4 2 2 2 3 3" xfId="32195" xr:uid="{1936F030-FF5C-4A29-8397-1A3894695E6E}"/>
    <cellStyle name="Normal 2 5 4 2 2 2 3 4" xfId="40642" xr:uid="{59044F9F-57D7-4894-A5CA-92E1F636A241}"/>
    <cellStyle name="Normal 2 5 4 2 2 2 3 5" xfId="14448" xr:uid="{4FC4ABD2-9B7E-4D44-8D4A-EF6F89E0ABBD}"/>
    <cellStyle name="Normal 2 5 4 2 2 2 4" xfId="9551" xr:uid="{392D7741-6781-4EA5-9C28-040053C1B05B}"/>
    <cellStyle name="Normal 2 5 4 2 2 2 4 2" xfId="18867" xr:uid="{A38667F4-8216-4FDB-84FB-AFDC2C050208}"/>
    <cellStyle name="Normal 2 5 4 2 2 2 5" xfId="19531" xr:uid="{34EF5697-1ACB-449B-B01A-73DAFB13A65B}"/>
    <cellStyle name="Normal 2 5 4 2 2 2 6" xfId="27978" xr:uid="{CF36EE77-B76B-465A-BE90-2F99B5E243A4}"/>
    <cellStyle name="Normal 2 5 4 2 2 2 7" xfId="36425" xr:uid="{D4B66710-796B-4740-A286-A3722AAE1C55}"/>
    <cellStyle name="Normal 2 5 4 2 2 2 8" xfId="10231" xr:uid="{9F69F4FD-6FDE-4E71-981F-48ADB0B239AA}"/>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2 2 2" xfId="26306" xr:uid="{E3E81481-5D18-4682-BD25-2F31A48CCC04}"/>
    <cellStyle name="Normal 2 5 4 2 2 3 2 2 3" xfId="34753" xr:uid="{103B2014-5974-4E49-BF1D-CE4C04B35203}"/>
    <cellStyle name="Normal 2 5 4 2 2 3 2 2 4" xfId="43200" xr:uid="{08747C96-7313-434D-AD79-5EFA4E5EE033}"/>
    <cellStyle name="Normal 2 5 4 2 2 3 2 2 5" xfId="17006" xr:uid="{FC4B6A92-15D1-4426-BEC6-E9EBF7046EF8}"/>
    <cellStyle name="Normal 2 5 4 2 2 3 2 3" xfId="22089" xr:uid="{0E57F814-0D7B-4896-A2DD-BC01FBEDBF83}"/>
    <cellStyle name="Normal 2 5 4 2 2 3 2 4" xfId="30536" xr:uid="{5DB845EE-29C8-4D09-8AFC-01CABE3E73FD}"/>
    <cellStyle name="Normal 2 5 4 2 2 3 2 5" xfId="38983" xr:uid="{DE194681-422A-4893-9E93-B5C9756C49E0}"/>
    <cellStyle name="Normal 2 5 4 2 2 3 2 6" xfId="12789" xr:uid="{1F93818D-1721-4812-8B9F-CE62871DB7A0}"/>
    <cellStyle name="Normal 2 5 4 2 2 3 3" xfId="5535" xr:uid="{00000000-0005-0000-0000-00001F110000}"/>
    <cellStyle name="Normal 2 5 4 2 2 3 3 2" xfId="24161" xr:uid="{2032FE8D-E4CF-4055-8FA3-5F7E276C6E65}"/>
    <cellStyle name="Normal 2 5 4 2 2 3 3 3" xfId="32608" xr:uid="{4CA621DC-2352-4814-AABB-07747A175A62}"/>
    <cellStyle name="Normal 2 5 4 2 2 3 3 4" xfId="41055" xr:uid="{7902578F-D324-47D0-93F7-92310052DCEE}"/>
    <cellStyle name="Normal 2 5 4 2 2 3 3 5" xfId="14861" xr:uid="{4A5BC5D9-9BF3-4086-83A0-70FB6FD98127}"/>
    <cellStyle name="Normal 2 5 4 2 2 3 4" xfId="19944" xr:uid="{403BFF93-1A6C-4DDD-8265-20111324630E}"/>
    <cellStyle name="Normal 2 5 4 2 2 3 5" xfId="28391" xr:uid="{7007B13C-4464-46E8-9E6E-97F93214785A}"/>
    <cellStyle name="Normal 2 5 4 2 2 3 6" xfId="36838" xr:uid="{9980E6B9-B1CB-4510-A413-CCB61B9E0B75}"/>
    <cellStyle name="Normal 2 5 4 2 2 3 7" xfId="10644" xr:uid="{5CCD0B57-6395-4E3E-A07D-27504B628BC9}"/>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2 2 2" xfId="26719" xr:uid="{7612FC6D-8071-4ABE-BFAA-5B2457510324}"/>
    <cellStyle name="Normal 2 5 4 2 2 4 2 2 3" xfId="35166" xr:uid="{64C668C9-BB42-46F1-803B-6AA1736E3E9A}"/>
    <cellStyle name="Normal 2 5 4 2 2 4 2 2 4" xfId="43613" xr:uid="{898DA4BB-7DC9-4EE6-B4A0-6F596A579E51}"/>
    <cellStyle name="Normal 2 5 4 2 2 4 2 2 5" xfId="17419" xr:uid="{A603A8AC-AD93-4E82-BD64-7DC4B81DABE9}"/>
    <cellStyle name="Normal 2 5 4 2 2 4 2 3" xfId="22502" xr:uid="{AC4906AA-B934-429A-ACD5-2267B20FBF46}"/>
    <cellStyle name="Normal 2 5 4 2 2 4 2 4" xfId="30949" xr:uid="{C62620DD-DD43-436F-9D26-2991490474B1}"/>
    <cellStyle name="Normal 2 5 4 2 2 4 2 5" xfId="39396" xr:uid="{EBA7290E-8CE8-4659-A665-4667A50EA81F}"/>
    <cellStyle name="Normal 2 5 4 2 2 4 2 6" xfId="13202" xr:uid="{97408025-9691-47BA-97BD-4D75CFC7D8A0}"/>
    <cellStyle name="Normal 2 5 4 2 2 4 3" xfId="5948" xr:uid="{00000000-0005-0000-0000-000023110000}"/>
    <cellStyle name="Normal 2 5 4 2 2 4 3 2" xfId="24574" xr:uid="{534D2A18-61BD-44A7-9E15-A3B43544CA9B}"/>
    <cellStyle name="Normal 2 5 4 2 2 4 3 3" xfId="33021" xr:uid="{E80DC3E5-78FF-4753-9E7A-AB3A95659E94}"/>
    <cellStyle name="Normal 2 5 4 2 2 4 3 4" xfId="41468" xr:uid="{C6C503CE-AB81-470E-B0E9-C20F3A907534}"/>
    <cellStyle name="Normal 2 5 4 2 2 4 3 5" xfId="15274" xr:uid="{FB09A602-C846-4DED-9412-08448AB027CE}"/>
    <cellStyle name="Normal 2 5 4 2 2 4 4" xfId="20357" xr:uid="{B5C3C00B-811D-47D2-B5AD-E5D699AC4A5F}"/>
    <cellStyle name="Normal 2 5 4 2 2 4 5" xfId="28804" xr:uid="{18DD156B-F4BF-4343-B26F-2719BB749DA7}"/>
    <cellStyle name="Normal 2 5 4 2 2 4 6" xfId="37251" xr:uid="{02754440-B607-41F5-912B-23BE5BF6F96E}"/>
    <cellStyle name="Normal 2 5 4 2 2 4 7" xfId="11057" xr:uid="{A7D8F9EB-2E49-4DF2-85C8-78BA9B36A1AB}"/>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2 2 2" xfId="27132" xr:uid="{338C4A13-B56A-495C-B4F0-3F7A6BB837F6}"/>
    <cellStyle name="Normal 2 5 4 2 2 5 2 2 3" xfId="35579" xr:uid="{9C111CD5-D48F-46AD-98D9-8C40DB5478FB}"/>
    <cellStyle name="Normal 2 5 4 2 2 5 2 2 4" xfId="44026" xr:uid="{E8D42E82-9B65-4E53-9732-9C676C1FE073}"/>
    <cellStyle name="Normal 2 5 4 2 2 5 2 2 5" xfId="17832" xr:uid="{0DE2B508-D223-48CC-B78A-2E3A03190654}"/>
    <cellStyle name="Normal 2 5 4 2 2 5 2 3" xfId="22915" xr:uid="{ABE83E6B-DBC0-47AC-8AF9-5EC061193F6C}"/>
    <cellStyle name="Normal 2 5 4 2 2 5 2 4" xfId="31362" xr:uid="{BAB90420-CBF3-4C90-83E4-79565DD7DBA7}"/>
    <cellStyle name="Normal 2 5 4 2 2 5 2 5" xfId="39809" xr:uid="{42DA604B-9844-433A-9F6B-EE95410B5099}"/>
    <cellStyle name="Normal 2 5 4 2 2 5 2 6" xfId="13615" xr:uid="{F5945A23-8019-403A-8E75-94EC5C19BF4D}"/>
    <cellStyle name="Normal 2 5 4 2 2 5 3" xfId="6361" xr:uid="{00000000-0005-0000-0000-000027110000}"/>
    <cellStyle name="Normal 2 5 4 2 2 5 3 2" xfId="24987" xr:uid="{41AFD904-B27F-4380-B152-7EA305778F3E}"/>
    <cellStyle name="Normal 2 5 4 2 2 5 3 3" xfId="33434" xr:uid="{AE2AE47D-9A28-4AC5-9569-CBE7C8F2ECB3}"/>
    <cellStyle name="Normal 2 5 4 2 2 5 3 4" xfId="41881" xr:uid="{20C18130-FA02-4FAA-A176-DF83549FA9D7}"/>
    <cellStyle name="Normal 2 5 4 2 2 5 3 5" xfId="15687" xr:uid="{A78DFEB9-75AC-4784-A2CF-E4DB4FEE3C85}"/>
    <cellStyle name="Normal 2 5 4 2 2 5 4" xfId="20770" xr:uid="{118CAF63-DF7A-4B37-848C-FAF7F447B882}"/>
    <cellStyle name="Normal 2 5 4 2 2 5 5" xfId="29217" xr:uid="{ACD067D3-0AC1-4BBE-923A-109AD412FD9C}"/>
    <cellStyle name="Normal 2 5 4 2 2 5 6" xfId="37664" xr:uid="{6F4754E1-1018-416D-A253-073979D09A39}"/>
    <cellStyle name="Normal 2 5 4 2 2 5 7" xfId="11470" xr:uid="{8732563F-86D2-4EAB-B2FE-375EBFDF3D0B}"/>
    <cellStyle name="Normal 2 5 4 2 2 6" xfId="2491" xr:uid="{00000000-0005-0000-0000-000028110000}"/>
    <cellStyle name="Normal 2 5 4 2 2 6 2" xfId="6774" xr:uid="{00000000-0005-0000-0000-000029110000}"/>
    <cellStyle name="Normal 2 5 4 2 2 6 2 2" xfId="25400" xr:uid="{050B9AC9-8437-43A4-9020-3519EB345374}"/>
    <cellStyle name="Normal 2 5 4 2 2 6 2 3" xfId="33847" xr:uid="{82225455-B217-4204-992A-4EE03FACBDA1}"/>
    <cellStyle name="Normal 2 5 4 2 2 6 2 4" xfId="42294" xr:uid="{A98EC410-B471-4BDE-8EC0-3FA1189B7C58}"/>
    <cellStyle name="Normal 2 5 4 2 2 6 2 5" xfId="16100" xr:uid="{7007CEAC-9E92-400A-9162-7812458AE591}"/>
    <cellStyle name="Normal 2 5 4 2 2 6 3" xfId="21183" xr:uid="{A0094CE6-9F52-4D93-97CA-F0A0A886E587}"/>
    <cellStyle name="Normal 2 5 4 2 2 6 4" xfId="29630" xr:uid="{3D3269EA-5296-48D8-A88E-FC74B0E39B5E}"/>
    <cellStyle name="Normal 2 5 4 2 2 6 5" xfId="38077" xr:uid="{5094DDA2-F344-4B0A-BEAA-BB5519537B5B}"/>
    <cellStyle name="Normal 2 5 4 2 2 6 6" xfId="11883" xr:uid="{CF3B3587-1AC4-49B1-99BE-0E75B8AAD600}"/>
    <cellStyle name="Normal 2 5 4 2 2 7" xfId="4708" xr:uid="{00000000-0005-0000-0000-00002A110000}"/>
    <cellStyle name="Normal 2 5 4 2 2 7 2" xfId="23334" xr:uid="{32EB0A15-8885-475B-85E4-18DC58F031D7}"/>
    <cellStyle name="Normal 2 5 4 2 2 7 3" xfId="31781" xr:uid="{EA63ECB5-B593-4380-8BC6-03C5AD1BC798}"/>
    <cellStyle name="Normal 2 5 4 2 2 7 4" xfId="40228" xr:uid="{732D826F-AA8D-4703-ACBE-BD91E0B24C52}"/>
    <cellStyle name="Normal 2 5 4 2 2 7 5" xfId="14034" xr:uid="{B0EBFAED-43FF-4E59-9525-60E477458D5B}"/>
    <cellStyle name="Normal 2 5 4 2 2 8" xfId="9126" xr:uid="{C2CF4AFD-4082-4555-941B-6E9759C32D63}"/>
    <cellStyle name="Normal 2 5 4 2 2 8 2" xfId="18450" xr:uid="{DEE7083D-CCF4-4764-8FFE-3290C1F5AB11}"/>
    <cellStyle name="Normal 2 5 4 2 2 9" xfId="19117" xr:uid="{E09E11AB-676C-4BDE-BCCC-6F5A0BA69A51}"/>
    <cellStyle name="Normal 2 5 4 2 3" xfId="805" xr:uid="{00000000-0005-0000-0000-00002B110000}"/>
    <cellStyle name="Normal 2 5 4 2 3 2" xfId="3044" xr:uid="{00000000-0005-0000-0000-00002C110000}"/>
    <cellStyle name="Normal 2 5 4 2 3 2 2" xfId="7266" xr:uid="{00000000-0005-0000-0000-00002D110000}"/>
    <cellStyle name="Normal 2 5 4 2 3 2 2 2" xfId="25892" xr:uid="{1AF08972-9CDD-4AB6-BE94-8A5024A683F4}"/>
    <cellStyle name="Normal 2 5 4 2 3 2 2 3" xfId="34339" xr:uid="{6A8A0104-28A0-452A-9E34-649A9B7C3D51}"/>
    <cellStyle name="Normal 2 5 4 2 3 2 2 4" xfId="42786" xr:uid="{601D7039-07B0-4921-B578-C4B9DEB5A40B}"/>
    <cellStyle name="Normal 2 5 4 2 3 2 2 5" xfId="16592" xr:uid="{01B1BFE6-16B0-467C-9C3E-734680E52265}"/>
    <cellStyle name="Normal 2 5 4 2 3 2 3" xfId="21675" xr:uid="{66B2DF08-50A1-4AC6-9F56-CA2B76123EC4}"/>
    <cellStyle name="Normal 2 5 4 2 3 2 4" xfId="30122" xr:uid="{1F5C632E-D0BD-4ADA-A817-6776C66A2A40}"/>
    <cellStyle name="Normal 2 5 4 2 3 2 5" xfId="38569" xr:uid="{B70744C1-537C-44E7-9E00-29DD960B3474}"/>
    <cellStyle name="Normal 2 5 4 2 3 2 6" xfId="12375" xr:uid="{F031A898-C6AC-4EC2-A3A0-9B171763B9FE}"/>
    <cellStyle name="Normal 2 5 4 2 3 3" xfId="5121" xr:uid="{00000000-0005-0000-0000-00002E110000}"/>
    <cellStyle name="Normal 2 5 4 2 3 3 2" xfId="23747" xr:uid="{6E792E64-38AB-4582-B282-73AF9A65600A}"/>
    <cellStyle name="Normal 2 5 4 2 3 3 3" xfId="32194" xr:uid="{BC1966B4-C62B-4857-9C84-436C7294F2D1}"/>
    <cellStyle name="Normal 2 5 4 2 3 3 4" xfId="40641" xr:uid="{153EB683-D656-4C3B-B15F-857D0F65E320}"/>
    <cellStyle name="Normal 2 5 4 2 3 3 5" xfId="14447" xr:uid="{2744CBDD-4CA8-428C-AEC5-4457E3142CBF}"/>
    <cellStyle name="Normal 2 5 4 2 3 4" xfId="9344" xr:uid="{207B8A34-09D9-4349-A9C7-5A5A998C6B6F}"/>
    <cellStyle name="Normal 2 5 4 2 3 4 2" xfId="18660" xr:uid="{F67925E2-8378-45BE-92C3-241F678E99E2}"/>
    <cellStyle name="Normal 2 5 4 2 3 5" xfId="19530" xr:uid="{A8DC3BDB-275F-4166-B5DB-0116F10CFD33}"/>
    <cellStyle name="Normal 2 5 4 2 3 6" xfId="27977" xr:uid="{F972D86B-BB39-43F8-8D01-E8D56181235A}"/>
    <cellStyle name="Normal 2 5 4 2 3 7" xfId="36424" xr:uid="{D079CB20-EEDD-4846-89F5-40FDBA522544}"/>
    <cellStyle name="Normal 2 5 4 2 3 8" xfId="10230" xr:uid="{E53D845E-8CF6-42C0-9C1F-5D71C6C10C34}"/>
    <cellStyle name="Normal 2 5 4 2 4" xfId="1227" xr:uid="{00000000-0005-0000-0000-00002F110000}"/>
    <cellStyle name="Normal 2 5 4 2 4 2" xfId="3457" xr:uid="{00000000-0005-0000-0000-000030110000}"/>
    <cellStyle name="Normal 2 5 4 2 4 2 2" xfId="7679" xr:uid="{00000000-0005-0000-0000-000031110000}"/>
    <cellStyle name="Normal 2 5 4 2 4 2 2 2" xfId="26305" xr:uid="{E9FFFF63-9E5C-46B8-8E60-B6145D75F31F}"/>
    <cellStyle name="Normal 2 5 4 2 4 2 2 3" xfId="34752" xr:uid="{40F2246F-F5BE-435A-9494-51FED70A931C}"/>
    <cellStyle name="Normal 2 5 4 2 4 2 2 4" xfId="43199" xr:uid="{3C199650-235D-448E-82CD-3EE9E7C2DB77}"/>
    <cellStyle name="Normal 2 5 4 2 4 2 2 5" xfId="17005" xr:uid="{F2D65927-63DC-49C3-BEE0-52BEB054B386}"/>
    <cellStyle name="Normal 2 5 4 2 4 2 3" xfId="22088" xr:uid="{5EAE4F96-AFD4-41BA-A2F0-80C1C01B6C9B}"/>
    <cellStyle name="Normal 2 5 4 2 4 2 4" xfId="30535" xr:uid="{D4AE3FF9-B102-495E-BAD1-3ADB0638AFAD}"/>
    <cellStyle name="Normal 2 5 4 2 4 2 5" xfId="38982" xr:uid="{60BC1950-F7E6-48F4-AA7A-9192A6487D4D}"/>
    <cellStyle name="Normal 2 5 4 2 4 2 6" xfId="12788" xr:uid="{D82FE46B-ABC9-4B8D-97AC-6AA4CFBB95DC}"/>
    <cellStyle name="Normal 2 5 4 2 4 3" xfId="5534" xr:uid="{00000000-0005-0000-0000-000032110000}"/>
    <cellStyle name="Normal 2 5 4 2 4 3 2" xfId="24160" xr:uid="{775F829F-65EC-41AF-9A11-CF7E99088A00}"/>
    <cellStyle name="Normal 2 5 4 2 4 3 3" xfId="32607" xr:uid="{5FAD80A4-5F73-4675-8217-A92AB4F52D83}"/>
    <cellStyle name="Normal 2 5 4 2 4 3 4" xfId="41054" xr:uid="{23BF5273-4563-4314-A91E-41B4726FD5EB}"/>
    <cellStyle name="Normal 2 5 4 2 4 3 5" xfId="14860" xr:uid="{3E6DF835-7CD7-461E-B824-069A6F6ABDB6}"/>
    <cellStyle name="Normal 2 5 4 2 4 4" xfId="19943" xr:uid="{EF6A2CE5-54AE-4E52-9A8E-F65393901A3C}"/>
    <cellStyle name="Normal 2 5 4 2 4 5" xfId="28390" xr:uid="{D09964C8-22E2-45CC-8ADB-DCBF6B35B9D6}"/>
    <cellStyle name="Normal 2 5 4 2 4 6" xfId="36837" xr:uid="{EED3536F-D7DC-4280-B07C-535723570DE7}"/>
    <cellStyle name="Normal 2 5 4 2 4 7" xfId="10643" xr:uid="{8A4A76F9-C147-434C-B9CC-FACF35362ABD}"/>
    <cellStyle name="Normal 2 5 4 2 5" xfId="1640" xr:uid="{00000000-0005-0000-0000-000033110000}"/>
    <cellStyle name="Normal 2 5 4 2 5 2" xfId="3870" xr:uid="{00000000-0005-0000-0000-000034110000}"/>
    <cellStyle name="Normal 2 5 4 2 5 2 2" xfId="8092" xr:uid="{00000000-0005-0000-0000-000035110000}"/>
    <cellStyle name="Normal 2 5 4 2 5 2 2 2" xfId="26718" xr:uid="{DE27151D-1310-419E-A7F6-A5F74109C429}"/>
    <cellStyle name="Normal 2 5 4 2 5 2 2 3" xfId="35165" xr:uid="{513C89AF-C366-45CD-8211-F2B07A8F1D68}"/>
    <cellStyle name="Normal 2 5 4 2 5 2 2 4" xfId="43612" xr:uid="{0B5FCC9F-A780-449C-B7AE-CC232C787900}"/>
    <cellStyle name="Normal 2 5 4 2 5 2 2 5" xfId="17418" xr:uid="{0E050B46-A21B-4E5C-B31D-A205696B4EBB}"/>
    <cellStyle name="Normal 2 5 4 2 5 2 3" xfId="22501" xr:uid="{45025E2E-6E1F-4A2D-8A22-B72B174B5A44}"/>
    <cellStyle name="Normal 2 5 4 2 5 2 4" xfId="30948" xr:uid="{EC8382A6-81DC-49B1-85F9-861B07931B82}"/>
    <cellStyle name="Normal 2 5 4 2 5 2 5" xfId="39395" xr:uid="{30A9A664-03B8-4027-9805-3DDB8BF2951B}"/>
    <cellStyle name="Normal 2 5 4 2 5 2 6" xfId="13201" xr:uid="{C1412166-C598-44CF-B0C6-5DCA1E2EFC50}"/>
    <cellStyle name="Normal 2 5 4 2 5 3" xfId="5947" xr:uid="{00000000-0005-0000-0000-000036110000}"/>
    <cellStyle name="Normal 2 5 4 2 5 3 2" xfId="24573" xr:uid="{5B7356A2-28AF-4F8D-BC65-25A39E295DBA}"/>
    <cellStyle name="Normal 2 5 4 2 5 3 3" xfId="33020" xr:uid="{E92B2082-477B-4FDA-84B8-DE1BBD90031A}"/>
    <cellStyle name="Normal 2 5 4 2 5 3 4" xfId="41467" xr:uid="{D80A9493-2398-4582-A869-18D772132B0B}"/>
    <cellStyle name="Normal 2 5 4 2 5 3 5" xfId="15273" xr:uid="{20CCC587-ACB6-4ECF-AA36-C7039AAF23F3}"/>
    <cellStyle name="Normal 2 5 4 2 5 4" xfId="20356" xr:uid="{7B610B36-C1E0-4494-8656-2F682D6BB50D}"/>
    <cellStyle name="Normal 2 5 4 2 5 5" xfId="28803" xr:uid="{E6F99EF6-8570-41D5-9275-32570A9B8B6E}"/>
    <cellStyle name="Normal 2 5 4 2 5 6" xfId="37250" xr:uid="{46A9902B-3661-42CA-BF0E-D2C8CECA2226}"/>
    <cellStyle name="Normal 2 5 4 2 5 7" xfId="11056" xr:uid="{3924A952-8B4E-43CF-8696-660688B6A205}"/>
    <cellStyle name="Normal 2 5 4 2 6" xfId="2054" xr:uid="{00000000-0005-0000-0000-000037110000}"/>
    <cellStyle name="Normal 2 5 4 2 6 2" xfId="4283" xr:uid="{00000000-0005-0000-0000-000038110000}"/>
    <cellStyle name="Normal 2 5 4 2 6 2 2" xfId="8505" xr:uid="{00000000-0005-0000-0000-000039110000}"/>
    <cellStyle name="Normal 2 5 4 2 6 2 2 2" xfId="27131" xr:uid="{241E1792-6724-4C9E-9157-C4FB7347D4E9}"/>
    <cellStyle name="Normal 2 5 4 2 6 2 2 3" xfId="35578" xr:uid="{EA6BC442-7110-4903-B4E2-2C3DAAF00639}"/>
    <cellStyle name="Normal 2 5 4 2 6 2 2 4" xfId="44025" xr:uid="{D9093FF7-2A12-4AF7-9250-9AE56DB37758}"/>
    <cellStyle name="Normal 2 5 4 2 6 2 2 5" xfId="17831" xr:uid="{9879B98E-5A03-4483-A720-48848DF6B481}"/>
    <cellStyle name="Normal 2 5 4 2 6 2 3" xfId="22914" xr:uid="{77D3C2A9-25CF-484A-95F4-16C9FA9A9A83}"/>
    <cellStyle name="Normal 2 5 4 2 6 2 4" xfId="31361" xr:uid="{E0ECDCF0-72AE-4ACD-9AA6-378A2B24D498}"/>
    <cellStyle name="Normal 2 5 4 2 6 2 5" xfId="39808" xr:uid="{02B8E870-C6F0-4235-B6A9-1A6E00A84290}"/>
    <cellStyle name="Normal 2 5 4 2 6 2 6" xfId="13614" xr:uid="{2A7E0BDF-D12B-4FA3-9DDF-366AB4F7567E}"/>
    <cellStyle name="Normal 2 5 4 2 6 3" xfId="6360" xr:uid="{00000000-0005-0000-0000-00003A110000}"/>
    <cellStyle name="Normal 2 5 4 2 6 3 2" xfId="24986" xr:uid="{BFCF1C28-67B9-4F56-B9CC-42765B1CC690}"/>
    <cellStyle name="Normal 2 5 4 2 6 3 3" xfId="33433" xr:uid="{362DB75E-220D-4EA0-92F6-C9E15AE7F712}"/>
    <cellStyle name="Normal 2 5 4 2 6 3 4" xfId="41880" xr:uid="{68F3F7A1-2364-42E3-954E-7D4A9AAE2077}"/>
    <cellStyle name="Normal 2 5 4 2 6 3 5" xfId="15686" xr:uid="{95D08FC7-FB73-44DE-8F7E-280D51AE5BF3}"/>
    <cellStyle name="Normal 2 5 4 2 6 4" xfId="20769" xr:uid="{A01B1C9E-1ECC-46D8-903E-F54083BE591B}"/>
    <cellStyle name="Normal 2 5 4 2 6 5" xfId="29216" xr:uid="{5E7A7B82-7DBF-4DBF-9464-6380369B8FBF}"/>
    <cellStyle name="Normal 2 5 4 2 6 6" xfId="37663" xr:uid="{49CEBFC9-EB4B-4E58-8BBB-02F7C0DD8390}"/>
    <cellStyle name="Normal 2 5 4 2 6 7" xfId="11469" xr:uid="{3F75F541-052A-4455-B37B-7610D110F496}"/>
    <cellStyle name="Normal 2 5 4 2 7" xfId="2490" xr:uid="{00000000-0005-0000-0000-00003B110000}"/>
    <cellStyle name="Normal 2 5 4 2 7 2" xfId="6773" xr:uid="{00000000-0005-0000-0000-00003C110000}"/>
    <cellStyle name="Normal 2 5 4 2 7 2 2" xfId="25399" xr:uid="{9FBCAAE3-D5D9-4B6D-9E93-830E83169458}"/>
    <cellStyle name="Normal 2 5 4 2 7 2 3" xfId="33846" xr:uid="{7CB80089-027D-4FE4-AFD2-0E8A43496FB6}"/>
    <cellStyle name="Normal 2 5 4 2 7 2 4" xfId="42293" xr:uid="{AEEF6576-7121-4221-A356-190C55647192}"/>
    <cellStyle name="Normal 2 5 4 2 7 2 5" xfId="16099" xr:uid="{EB61721B-9C71-46A2-B1D8-CA1C7D96F0C2}"/>
    <cellStyle name="Normal 2 5 4 2 7 3" xfId="21182" xr:uid="{AC1EF09E-7A0B-490B-A30A-A091E8A94F8C}"/>
    <cellStyle name="Normal 2 5 4 2 7 4" xfId="29629" xr:uid="{484EC4CE-8E3E-46A5-A37F-3F0189B0DD1A}"/>
    <cellStyle name="Normal 2 5 4 2 7 5" xfId="38076" xr:uid="{7110EA9C-76B6-40A6-B8B6-23019A1F53AA}"/>
    <cellStyle name="Normal 2 5 4 2 7 6" xfId="11882" xr:uid="{C326D1E8-9766-4332-8E3D-638A6A101C8E}"/>
    <cellStyle name="Normal 2 5 4 2 8" xfId="4707" xr:uid="{00000000-0005-0000-0000-00003D110000}"/>
    <cellStyle name="Normal 2 5 4 2 8 2" xfId="23333" xr:uid="{3FB60102-792A-4C19-B2D0-DB0470D52FB8}"/>
    <cellStyle name="Normal 2 5 4 2 8 3" xfId="31780" xr:uid="{CE6CA7E7-A777-41F7-A580-3427DBD8C94D}"/>
    <cellStyle name="Normal 2 5 4 2 8 4" xfId="40227" xr:uid="{9B810F80-8D7D-474D-BA69-B5B0F5EABF93}"/>
    <cellStyle name="Normal 2 5 4 2 8 5" xfId="14033" xr:uid="{A5157698-02FA-4A1F-8A5F-BE39A3EA0F12}"/>
    <cellStyle name="Normal 2 5 4 2 9" xfId="8919" xr:uid="{2A8C96F6-0F22-4271-BCA3-7E5B2E35A54F}"/>
    <cellStyle name="Normal 2 5 4 2 9 2" xfId="18243" xr:uid="{06081239-9F21-4125-A273-65A058EE8679}"/>
    <cellStyle name="Normal 2 5 4 3" xfId="321" xr:uid="{00000000-0005-0000-0000-00003E110000}"/>
    <cellStyle name="Normal 2 5 4 3 10" xfId="27565" xr:uid="{CF6EC356-2A17-4D83-8CD9-F00764867399}"/>
    <cellStyle name="Normal 2 5 4 3 11" xfId="36012" xr:uid="{78D97906-47E2-4F57-B79F-886A5C47277B}"/>
    <cellStyle name="Normal 2 5 4 3 12" xfId="9818" xr:uid="{9A36D62F-77F3-47DD-9BC6-2B505E89BAEB}"/>
    <cellStyle name="Normal 2 5 4 3 2" xfId="807" xr:uid="{00000000-0005-0000-0000-00003F110000}"/>
    <cellStyle name="Normal 2 5 4 3 2 2" xfId="3046" xr:uid="{00000000-0005-0000-0000-000040110000}"/>
    <cellStyle name="Normal 2 5 4 3 2 2 2" xfId="7268" xr:uid="{00000000-0005-0000-0000-000041110000}"/>
    <cellStyle name="Normal 2 5 4 3 2 2 2 2" xfId="25894" xr:uid="{77F063D1-40E4-4AE9-B6E0-E8634A7C6BED}"/>
    <cellStyle name="Normal 2 5 4 3 2 2 2 3" xfId="34341" xr:uid="{72EB3840-198A-4FE9-9F1D-EE6D9955FC34}"/>
    <cellStyle name="Normal 2 5 4 3 2 2 2 4" xfId="42788" xr:uid="{3AF0973B-4142-436C-8B4E-ABFE8D914AA5}"/>
    <cellStyle name="Normal 2 5 4 3 2 2 2 5" xfId="16594" xr:uid="{D2A2DCBE-783E-434C-A06A-BEE2AE4D4716}"/>
    <cellStyle name="Normal 2 5 4 3 2 2 3" xfId="21677" xr:uid="{B10A908D-F7E6-4B17-8499-D90E4A1B526E}"/>
    <cellStyle name="Normal 2 5 4 3 2 2 4" xfId="30124" xr:uid="{F694D424-9A00-49E2-B1F6-CA6FF553192A}"/>
    <cellStyle name="Normal 2 5 4 3 2 2 5" xfId="38571" xr:uid="{BFF839C1-CB1A-45D0-B26E-DA32B4FC2F18}"/>
    <cellStyle name="Normal 2 5 4 3 2 2 6" xfId="12377" xr:uid="{3B38E08B-3F23-43F1-AA24-C039C564490C}"/>
    <cellStyle name="Normal 2 5 4 3 2 3" xfId="5123" xr:uid="{00000000-0005-0000-0000-000042110000}"/>
    <cellStyle name="Normal 2 5 4 3 2 3 2" xfId="23749" xr:uid="{E17B9E79-4EF1-4317-A7D1-45554D13ABE5}"/>
    <cellStyle name="Normal 2 5 4 3 2 3 3" xfId="32196" xr:uid="{684E6D70-A0B7-4534-A486-5CD8500B722E}"/>
    <cellStyle name="Normal 2 5 4 3 2 3 4" xfId="40643" xr:uid="{2AF884FF-2FF7-4B7B-A652-8C6B1019A395}"/>
    <cellStyle name="Normal 2 5 4 3 2 3 5" xfId="14449" xr:uid="{7FC9F655-C8E6-47E7-9A7C-64FEBDA847DD}"/>
    <cellStyle name="Normal 2 5 4 3 2 4" xfId="9448" xr:uid="{0C1738F2-697E-4430-8A3F-E67747B3EDB0}"/>
    <cellStyle name="Normal 2 5 4 3 2 4 2" xfId="18764" xr:uid="{5CCD3F57-FBC6-4FC1-A4BC-0E6784EA598E}"/>
    <cellStyle name="Normal 2 5 4 3 2 5" xfId="19532" xr:uid="{A7B0FB5C-5EF8-4498-A272-246628825FC3}"/>
    <cellStyle name="Normal 2 5 4 3 2 6" xfId="27979" xr:uid="{4E1A0200-B148-43FC-BDA9-C961631FCCE6}"/>
    <cellStyle name="Normal 2 5 4 3 2 7" xfId="36426" xr:uid="{FA380033-E55D-4278-9CD2-2EDF7EF36366}"/>
    <cellStyle name="Normal 2 5 4 3 2 8" xfId="10232" xr:uid="{752B051A-A224-4DC8-8BA5-6EFEA0A6CEFC}"/>
    <cellStyle name="Normal 2 5 4 3 3" xfId="1229" xr:uid="{00000000-0005-0000-0000-000043110000}"/>
    <cellStyle name="Normal 2 5 4 3 3 2" xfId="3459" xr:uid="{00000000-0005-0000-0000-000044110000}"/>
    <cellStyle name="Normal 2 5 4 3 3 2 2" xfId="7681" xr:uid="{00000000-0005-0000-0000-000045110000}"/>
    <cellStyle name="Normal 2 5 4 3 3 2 2 2" xfId="26307" xr:uid="{F5933955-D669-4A89-A6CC-E75E63D5517D}"/>
    <cellStyle name="Normal 2 5 4 3 3 2 2 3" xfId="34754" xr:uid="{CA528345-C00D-48E2-85E7-C9C4B096FC61}"/>
    <cellStyle name="Normal 2 5 4 3 3 2 2 4" xfId="43201" xr:uid="{0773497A-F268-4E9C-9CF1-11002F54FB62}"/>
    <cellStyle name="Normal 2 5 4 3 3 2 2 5" xfId="17007" xr:uid="{152DF138-8BE0-4411-8B80-1F901CA6EBDE}"/>
    <cellStyle name="Normal 2 5 4 3 3 2 3" xfId="22090" xr:uid="{3331F3DE-4337-4024-8B88-90897BB082AB}"/>
    <cellStyle name="Normal 2 5 4 3 3 2 4" xfId="30537" xr:uid="{515152DE-F63E-4A76-99C1-729C8DF1543B}"/>
    <cellStyle name="Normal 2 5 4 3 3 2 5" xfId="38984" xr:uid="{D597F0AE-8DB9-4026-9021-44077351E9CF}"/>
    <cellStyle name="Normal 2 5 4 3 3 2 6" xfId="12790" xr:uid="{C55F566F-1038-4560-BCEB-FD43D068E7EE}"/>
    <cellStyle name="Normal 2 5 4 3 3 3" xfId="5536" xr:uid="{00000000-0005-0000-0000-000046110000}"/>
    <cellStyle name="Normal 2 5 4 3 3 3 2" xfId="24162" xr:uid="{210AA9FB-58A7-4F0A-A1F5-C5F00625AE54}"/>
    <cellStyle name="Normal 2 5 4 3 3 3 3" xfId="32609" xr:uid="{BB2A963E-AA58-4E25-ACB1-7E4B057EACDF}"/>
    <cellStyle name="Normal 2 5 4 3 3 3 4" xfId="41056" xr:uid="{383EEF76-603E-4650-BA52-D1B1678CC799}"/>
    <cellStyle name="Normal 2 5 4 3 3 3 5" xfId="14862" xr:uid="{55A56F70-0CCC-4052-A044-A8EFF392E461}"/>
    <cellStyle name="Normal 2 5 4 3 3 4" xfId="19945" xr:uid="{B9AA1EF9-1A93-44BD-A002-9696EC9604E5}"/>
    <cellStyle name="Normal 2 5 4 3 3 5" xfId="28392" xr:uid="{2E650EB7-4B6A-48AD-9FF2-916ACD234128}"/>
    <cellStyle name="Normal 2 5 4 3 3 6" xfId="36839" xr:uid="{E309FA29-1308-437C-9934-A818C9971632}"/>
    <cellStyle name="Normal 2 5 4 3 3 7" xfId="10645" xr:uid="{C90DDF29-4643-449C-AA92-DC2E795CDD8F}"/>
    <cellStyle name="Normal 2 5 4 3 4" xfId="1642" xr:uid="{00000000-0005-0000-0000-000047110000}"/>
    <cellStyle name="Normal 2 5 4 3 4 2" xfId="3872" xr:uid="{00000000-0005-0000-0000-000048110000}"/>
    <cellStyle name="Normal 2 5 4 3 4 2 2" xfId="8094" xr:uid="{00000000-0005-0000-0000-000049110000}"/>
    <cellStyle name="Normal 2 5 4 3 4 2 2 2" xfId="26720" xr:uid="{0427D9ED-A702-4D10-B3D4-E188247D7F86}"/>
    <cellStyle name="Normal 2 5 4 3 4 2 2 3" xfId="35167" xr:uid="{A8CDE809-669C-48BF-A6CC-4596A22071A3}"/>
    <cellStyle name="Normal 2 5 4 3 4 2 2 4" xfId="43614" xr:uid="{C99CB068-D4C0-4C92-884A-E4D5DE933239}"/>
    <cellStyle name="Normal 2 5 4 3 4 2 2 5" xfId="17420" xr:uid="{47F11F20-FF09-4B0A-A739-7ABB29D21F46}"/>
    <cellStyle name="Normal 2 5 4 3 4 2 3" xfId="22503" xr:uid="{070C4087-9050-4B6A-81CA-7B5592668A03}"/>
    <cellStyle name="Normal 2 5 4 3 4 2 4" xfId="30950" xr:uid="{CF71C3DE-FC39-46AA-B7EC-053C1C94C07F}"/>
    <cellStyle name="Normal 2 5 4 3 4 2 5" xfId="39397" xr:uid="{D9A42C3A-03ED-4148-B288-6BEF438AADFF}"/>
    <cellStyle name="Normal 2 5 4 3 4 2 6" xfId="13203" xr:uid="{6ED21994-E52B-4B69-91D9-1DAE27AA7863}"/>
    <cellStyle name="Normal 2 5 4 3 4 3" xfId="5949" xr:uid="{00000000-0005-0000-0000-00004A110000}"/>
    <cellStyle name="Normal 2 5 4 3 4 3 2" xfId="24575" xr:uid="{AF69EFEB-5BDE-46D5-8942-ED42BA5DC62B}"/>
    <cellStyle name="Normal 2 5 4 3 4 3 3" xfId="33022" xr:uid="{1761EA05-EDE5-40DA-99FC-715EBE01B454}"/>
    <cellStyle name="Normal 2 5 4 3 4 3 4" xfId="41469" xr:uid="{8FE8D7AE-1192-46F1-BB8B-26FBE533FFFE}"/>
    <cellStyle name="Normal 2 5 4 3 4 3 5" xfId="15275" xr:uid="{34A605F7-EFCA-4222-B47E-71336E3C1788}"/>
    <cellStyle name="Normal 2 5 4 3 4 4" xfId="20358" xr:uid="{837F4D55-4284-43EF-B02E-60D5FD4B958D}"/>
    <cellStyle name="Normal 2 5 4 3 4 5" xfId="28805" xr:uid="{E857852A-3759-4D42-82CF-EDCD13E33239}"/>
    <cellStyle name="Normal 2 5 4 3 4 6" xfId="37252" xr:uid="{8D30298B-BD0C-4F66-9C43-60FDBF14BB45}"/>
    <cellStyle name="Normal 2 5 4 3 4 7" xfId="11058" xr:uid="{0369E2F2-C9F0-4BAA-9863-98BA11B7C01A}"/>
    <cellStyle name="Normal 2 5 4 3 5" xfId="2056" xr:uid="{00000000-0005-0000-0000-00004B110000}"/>
    <cellStyle name="Normal 2 5 4 3 5 2" xfId="4285" xr:uid="{00000000-0005-0000-0000-00004C110000}"/>
    <cellStyle name="Normal 2 5 4 3 5 2 2" xfId="8507" xr:uid="{00000000-0005-0000-0000-00004D110000}"/>
    <cellStyle name="Normal 2 5 4 3 5 2 2 2" xfId="27133" xr:uid="{E171EB89-D863-4B2F-B8A7-EF13EE4CB505}"/>
    <cellStyle name="Normal 2 5 4 3 5 2 2 3" xfId="35580" xr:uid="{BB6153B4-C944-4BFB-B5C8-21537ACCE8C0}"/>
    <cellStyle name="Normal 2 5 4 3 5 2 2 4" xfId="44027" xr:uid="{1910A8B3-A329-443A-99D3-FEC7D926172F}"/>
    <cellStyle name="Normal 2 5 4 3 5 2 2 5" xfId="17833" xr:uid="{D662314C-10BB-4F75-992A-BCEC76C7BBC8}"/>
    <cellStyle name="Normal 2 5 4 3 5 2 3" xfId="22916" xr:uid="{44108627-2D7E-496B-AB35-F85C024C3B85}"/>
    <cellStyle name="Normal 2 5 4 3 5 2 4" xfId="31363" xr:uid="{76EA465D-E5F6-4904-97A4-95F828172D69}"/>
    <cellStyle name="Normal 2 5 4 3 5 2 5" xfId="39810" xr:uid="{EA216FD7-757A-4C82-98A1-F6FBDC516DAE}"/>
    <cellStyle name="Normal 2 5 4 3 5 2 6" xfId="13616" xr:uid="{0BD20459-E1E2-4A5A-B108-EBE01C07BBE7}"/>
    <cellStyle name="Normal 2 5 4 3 5 3" xfId="6362" xr:uid="{00000000-0005-0000-0000-00004E110000}"/>
    <cellStyle name="Normal 2 5 4 3 5 3 2" xfId="24988" xr:uid="{7654BCFF-8789-4D8B-871D-643B2898EAF8}"/>
    <cellStyle name="Normal 2 5 4 3 5 3 3" xfId="33435" xr:uid="{C93D11F6-4843-44C9-888A-ADFFDA7FB71B}"/>
    <cellStyle name="Normal 2 5 4 3 5 3 4" xfId="41882" xr:uid="{A43E31D7-7E87-4B2B-8B18-39E56D63E54F}"/>
    <cellStyle name="Normal 2 5 4 3 5 3 5" xfId="15688" xr:uid="{C6056C09-DEC5-41B6-A5DB-4B611E12DF12}"/>
    <cellStyle name="Normal 2 5 4 3 5 4" xfId="20771" xr:uid="{FB86A9EE-538F-4D5A-AE50-8F4AEB646D58}"/>
    <cellStyle name="Normal 2 5 4 3 5 5" xfId="29218" xr:uid="{9822C523-F176-4A5A-96EF-606F234BD104}"/>
    <cellStyle name="Normal 2 5 4 3 5 6" xfId="37665" xr:uid="{2DFA7A1E-1C8B-4147-80C0-3B6E32509F8C}"/>
    <cellStyle name="Normal 2 5 4 3 5 7" xfId="11471" xr:uid="{DD663C9D-53E0-47A5-A6A2-CF4C4C2F1C66}"/>
    <cellStyle name="Normal 2 5 4 3 6" xfId="2492" xr:uid="{00000000-0005-0000-0000-00004F110000}"/>
    <cellStyle name="Normal 2 5 4 3 6 2" xfId="6775" xr:uid="{00000000-0005-0000-0000-000050110000}"/>
    <cellStyle name="Normal 2 5 4 3 6 2 2" xfId="25401" xr:uid="{C6E99B35-F035-4CC5-8B6E-0DD011B637D2}"/>
    <cellStyle name="Normal 2 5 4 3 6 2 3" xfId="33848" xr:uid="{DE7B872B-0E32-40A0-9630-4C0F73D24ECE}"/>
    <cellStyle name="Normal 2 5 4 3 6 2 4" xfId="42295" xr:uid="{13B2AE40-C7E2-4CA3-A69B-0FFFEF3E5669}"/>
    <cellStyle name="Normal 2 5 4 3 6 2 5" xfId="16101" xr:uid="{215E24E1-70D6-49E2-80F7-07216C01CA64}"/>
    <cellStyle name="Normal 2 5 4 3 6 3" xfId="21184" xr:uid="{1DE41CFC-D2AD-4CF3-B09C-E8DC3517C4DF}"/>
    <cellStyle name="Normal 2 5 4 3 6 4" xfId="29631" xr:uid="{C0D90655-F695-46F6-BC24-8EEFD444DC1E}"/>
    <cellStyle name="Normal 2 5 4 3 6 5" xfId="38078" xr:uid="{98E74C2C-F883-4CE5-860A-E55D2B3EBC22}"/>
    <cellStyle name="Normal 2 5 4 3 6 6" xfId="11884" xr:uid="{7BDF7F1B-8ECF-4F4D-9F97-12B3AE399E77}"/>
    <cellStyle name="Normal 2 5 4 3 7" xfId="4709" xr:uid="{00000000-0005-0000-0000-000051110000}"/>
    <cellStyle name="Normal 2 5 4 3 7 2" xfId="23335" xr:uid="{BCFA8694-50EA-418B-A7A8-7C0DA961459F}"/>
    <cellStyle name="Normal 2 5 4 3 7 3" xfId="31782" xr:uid="{87B577DE-FB49-4C6A-84D5-53470A45E7D3}"/>
    <cellStyle name="Normal 2 5 4 3 7 4" xfId="40229" xr:uid="{36EBF8A2-3327-484C-8237-7370BA3346F8}"/>
    <cellStyle name="Normal 2 5 4 3 7 5" xfId="14035" xr:uid="{DC7F0681-03B5-4C7F-A26D-290DAF3BA404}"/>
    <cellStyle name="Normal 2 5 4 3 8" xfId="9023" xr:uid="{9B869639-3DD4-4511-AD70-D5125D34938F}"/>
    <cellStyle name="Normal 2 5 4 3 8 2" xfId="18347" xr:uid="{F11156BA-9C39-4229-9A61-5E8FB175BB8B}"/>
    <cellStyle name="Normal 2 5 4 3 9" xfId="19118" xr:uid="{EA848739-9F65-431F-BB2F-9D275A3B7BDD}"/>
    <cellStyle name="Normal 2 5 4 4" xfId="804" xr:uid="{00000000-0005-0000-0000-000052110000}"/>
    <cellStyle name="Normal 2 5 4 4 2" xfId="3043" xr:uid="{00000000-0005-0000-0000-000053110000}"/>
    <cellStyle name="Normal 2 5 4 4 2 2" xfId="7265" xr:uid="{00000000-0005-0000-0000-000054110000}"/>
    <cellStyle name="Normal 2 5 4 4 2 2 2" xfId="25891" xr:uid="{6FB02F1D-565F-4FCC-8142-2B678F5E3729}"/>
    <cellStyle name="Normal 2 5 4 4 2 2 3" xfId="34338" xr:uid="{8862A0D9-B42D-43BB-9A9D-EE47E7794194}"/>
    <cellStyle name="Normal 2 5 4 4 2 2 4" xfId="42785" xr:uid="{0CF13A34-9E2F-4E8A-8A1E-F1B9EF8F22D6}"/>
    <cellStyle name="Normal 2 5 4 4 2 2 5" xfId="16591" xr:uid="{05C60081-51F9-4718-9934-B334E6A999AE}"/>
    <cellStyle name="Normal 2 5 4 4 2 3" xfId="21674" xr:uid="{C4775316-FA2C-40A0-A440-CFCC4CFEA928}"/>
    <cellStyle name="Normal 2 5 4 4 2 4" xfId="30121" xr:uid="{31D21BFE-29BE-42C6-B60A-7659C9B13B4A}"/>
    <cellStyle name="Normal 2 5 4 4 2 5" xfId="38568" xr:uid="{2BE77E41-FFE2-4E93-8D64-78D04822069B}"/>
    <cellStyle name="Normal 2 5 4 4 2 6" xfId="12374" xr:uid="{BDEE50FA-693D-4FF7-B372-FC0A48B17B9F}"/>
    <cellStyle name="Normal 2 5 4 4 3" xfId="5120" xr:uid="{00000000-0005-0000-0000-000055110000}"/>
    <cellStyle name="Normal 2 5 4 4 3 2" xfId="23746" xr:uid="{C6E02A8A-7DD1-4B5B-8CB8-F987F0AF1E06}"/>
    <cellStyle name="Normal 2 5 4 4 3 3" xfId="32193" xr:uid="{B38F29C0-0BDB-4F58-BED3-EE272A3FF250}"/>
    <cellStyle name="Normal 2 5 4 4 3 4" xfId="40640" xr:uid="{ACE3059A-111B-452C-9FBB-26C09335D76A}"/>
    <cellStyle name="Normal 2 5 4 4 3 5" xfId="14446" xr:uid="{FDE387C6-CDB1-4E04-A157-B014A46CE1CB}"/>
    <cellStyle name="Normal 2 5 4 4 4" xfId="9241" xr:uid="{2BD2F05F-E4C9-46B4-B3C9-F0D081C1F38F}"/>
    <cellStyle name="Normal 2 5 4 4 4 2" xfId="18557" xr:uid="{C71D354B-EED3-4F5D-9284-96B8B6C76DFF}"/>
    <cellStyle name="Normal 2 5 4 4 5" xfId="19529" xr:uid="{7C0A5636-87D9-482E-949E-CAB4D2690E40}"/>
    <cellStyle name="Normal 2 5 4 4 6" xfId="27976" xr:uid="{42DC5E71-0BAE-4FAF-BF67-E57718A54CDC}"/>
    <cellStyle name="Normal 2 5 4 4 7" xfId="36423" xr:uid="{E7236F56-3FCE-4884-B847-4AA02C12F7BD}"/>
    <cellStyle name="Normal 2 5 4 4 8" xfId="10229" xr:uid="{EBDC5256-38EA-440A-8543-C12247A7B156}"/>
    <cellStyle name="Normal 2 5 4 5" xfId="1226" xr:uid="{00000000-0005-0000-0000-000056110000}"/>
    <cellStyle name="Normal 2 5 4 5 2" xfId="3456" xr:uid="{00000000-0005-0000-0000-000057110000}"/>
    <cellStyle name="Normal 2 5 4 5 2 2" xfId="7678" xr:uid="{00000000-0005-0000-0000-000058110000}"/>
    <cellStyle name="Normal 2 5 4 5 2 2 2" xfId="26304" xr:uid="{28FD7E54-B1D1-40E4-9B82-677699006FE0}"/>
    <cellStyle name="Normal 2 5 4 5 2 2 3" xfId="34751" xr:uid="{78695AF4-82AC-4D4F-9B78-56D9C145A0E4}"/>
    <cellStyle name="Normal 2 5 4 5 2 2 4" xfId="43198" xr:uid="{0F999D0A-8AB1-4EF0-83EA-B42CB77E544C}"/>
    <cellStyle name="Normal 2 5 4 5 2 2 5" xfId="17004" xr:uid="{6889FA7C-7A96-4470-B5EC-949F4EA468C5}"/>
    <cellStyle name="Normal 2 5 4 5 2 3" xfId="22087" xr:uid="{0F77B4E3-966B-4CBC-9AAF-168351DBE614}"/>
    <cellStyle name="Normal 2 5 4 5 2 4" xfId="30534" xr:uid="{8EC31770-FB10-41EB-9222-8AC1541179AB}"/>
    <cellStyle name="Normal 2 5 4 5 2 5" xfId="38981" xr:uid="{53026E7A-0DA5-4B26-8B6A-652C1E5B1680}"/>
    <cellStyle name="Normal 2 5 4 5 2 6" xfId="12787" xr:uid="{102FA163-129E-45A0-B821-939E1706FC08}"/>
    <cellStyle name="Normal 2 5 4 5 3" xfId="5533" xr:uid="{00000000-0005-0000-0000-000059110000}"/>
    <cellStyle name="Normal 2 5 4 5 3 2" xfId="24159" xr:uid="{9C56906D-B46F-4543-9EF1-856CC3FCBC10}"/>
    <cellStyle name="Normal 2 5 4 5 3 3" xfId="32606" xr:uid="{645B6DE5-27AF-4E8A-8F61-147C40EF101E}"/>
    <cellStyle name="Normal 2 5 4 5 3 4" xfId="41053" xr:uid="{54349680-106B-4FA7-889A-F4967918A210}"/>
    <cellStyle name="Normal 2 5 4 5 3 5" xfId="14859" xr:uid="{9977F0DB-5BB3-4C66-9E71-B106D898F6CF}"/>
    <cellStyle name="Normal 2 5 4 5 4" xfId="19942" xr:uid="{49766DDB-1CE3-4182-A055-E1F98B4B30F6}"/>
    <cellStyle name="Normal 2 5 4 5 5" xfId="28389" xr:uid="{F728C875-66A2-405C-9EE4-1B4282FD5184}"/>
    <cellStyle name="Normal 2 5 4 5 6" xfId="36836" xr:uid="{710DDD8B-F669-4D6A-80F0-DE9E3834EA2A}"/>
    <cellStyle name="Normal 2 5 4 5 7" xfId="10642" xr:uid="{5B89A4F4-114C-45A8-A34E-1E7B0F3F66A7}"/>
    <cellStyle name="Normal 2 5 4 6" xfId="1639" xr:uid="{00000000-0005-0000-0000-00005A110000}"/>
    <cellStyle name="Normal 2 5 4 6 2" xfId="3869" xr:uid="{00000000-0005-0000-0000-00005B110000}"/>
    <cellStyle name="Normal 2 5 4 6 2 2" xfId="8091" xr:uid="{00000000-0005-0000-0000-00005C110000}"/>
    <cellStyle name="Normal 2 5 4 6 2 2 2" xfId="26717" xr:uid="{AADA6CFF-F400-45A7-B315-248AF76EF3C0}"/>
    <cellStyle name="Normal 2 5 4 6 2 2 3" xfId="35164" xr:uid="{E0515747-DD1E-47BE-9E22-37BA58EF449C}"/>
    <cellStyle name="Normal 2 5 4 6 2 2 4" xfId="43611" xr:uid="{E7F31C51-C49C-4616-9DAE-89090F4D66F9}"/>
    <cellStyle name="Normal 2 5 4 6 2 2 5" xfId="17417" xr:uid="{4E9FCB55-45B9-4CB2-8B8E-B5D096924C4A}"/>
    <cellStyle name="Normal 2 5 4 6 2 3" xfId="22500" xr:uid="{85412E00-4F77-481C-AE49-DECCA4C39470}"/>
    <cellStyle name="Normal 2 5 4 6 2 4" xfId="30947" xr:uid="{CA8388CE-8F7C-4F99-BF2A-40C51C6B87D4}"/>
    <cellStyle name="Normal 2 5 4 6 2 5" xfId="39394" xr:uid="{D3F8E15D-9D7A-43DD-83A1-BD395E0ADC73}"/>
    <cellStyle name="Normal 2 5 4 6 2 6" xfId="13200" xr:uid="{21591101-3679-4BEA-BEAF-74B3470209B0}"/>
    <cellStyle name="Normal 2 5 4 6 3" xfId="5946" xr:uid="{00000000-0005-0000-0000-00005D110000}"/>
    <cellStyle name="Normal 2 5 4 6 3 2" xfId="24572" xr:uid="{B5E62E8A-3503-43B1-9ACF-62C3341B0018}"/>
    <cellStyle name="Normal 2 5 4 6 3 3" xfId="33019" xr:uid="{C3D8ABA0-DAE9-4BAD-92E8-86CD8214EB51}"/>
    <cellStyle name="Normal 2 5 4 6 3 4" xfId="41466" xr:uid="{9ED3ED17-0AB7-4EC6-8B1B-E77585D3AB3D}"/>
    <cellStyle name="Normal 2 5 4 6 3 5" xfId="15272" xr:uid="{0DE0AA0D-EC4B-4CAC-BF98-7A7C167D6A5C}"/>
    <cellStyle name="Normal 2 5 4 6 4" xfId="20355" xr:uid="{BDA607C6-589F-4A91-93D9-F1BA8EB4D829}"/>
    <cellStyle name="Normal 2 5 4 6 5" xfId="28802" xr:uid="{CAE5BB57-133D-47E7-A4E8-54A59E28A9BF}"/>
    <cellStyle name="Normal 2 5 4 6 6" xfId="37249" xr:uid="{6562759D-45C6-4EFE-987A-5784980BA003}"/>
    <cellStyle name="Normal 2 5 4 6 7" xfId="11055" xr:uid="{7B8D5E24-2CAE-4674-A4BD-5250B174B888}"/>
    <cellStyle name="Normal 2 5 4 7" xfId="2053" xr:uid="{00000000-0005-0000-0000-00005E110000}"/>
    <cellStyle name="Normal 2 5 4 7 2" xfId="4282" xr:uid="{00000000-0005-0000-0000-00005F110000}"/>
    <cellStyle name="Normal 2 5 4 7 2 2" xfId="8504" xr:uid="{00000000-0005-0000-0000-000060110000}"/>
    <cellStyle name="Normal 2 5 4 7 2 2 2" xfId="27130" xr:uid="{6FC292B8-2306-4615-A757-3F33FABE11ED}"/>
    <cellStyle name="Normal 2 5 4 7 2 2 3" xfId="35577" xr:uid="{28DEE4A0-C2EE-4A14-9152-DEBB0025A49C}"/>
    <cellStyle name="Normal 2 5 4 7 2 2 4" xfId="44024" xr:uid="{71F05F63-BFA9-4BD6-B41B-337B531014E7}"/>
    <cellStyle name="Normal 2 5 4 7 2 2 5" xfId="17830" xr:uid="{F0CC4901-736C-440F-9557-1FB813BEA489}"/>
    <cellStyle name="Normal 2 5 4 7 2 3" xfId="22913" xr:uid="{D0E6394D-3F21-46E1-8043-4788B572C7D8}"/>
    <cellStyle name="Normal 2 5 4 7 2 4" xfId="31360" xr:uid="{39F6CB97-79A6-4252-88F2-4A07E38FEEE8}"/>
    <cellStyle name="Normal 2 5 4 7 2 5" xfId="39807" xr:uid="{DA99EE85-9643-41E5-B465-7F4379277144}"/>
    <cellStyle name="Normal 2 5 4 7 2 6" xfId="13613" xr:uid="{2E79BCDB-C21A-40FC-AD61-096A611C1F12}"/>
    <cellStyle name="Normal 2 5 4 7 3" xfId="6359" xr:uid="{00000000-0005-0000-0000-000061110000}"/>
    <cellStyle name="Normal 2 5 4 7 3 2" xfId="24985" xr:uid="{9D534385-DDBE-4779-859A-1DA8FA133652}"/>
    <cellStyle name="Normal 2 5 4 7 3 3" xfId="33432" xr:uid="{53B1736B-7615-4068-81FE-93BA6414BB41}"/>
    <cellStyle name="Normal 2 5 4 7 3 4" xfId="41879" xr:uid="{1CEDD4E9-E7C6-47D6-9713-60679A5DF639}"/>
    <cellStyle name="Normal 2 5 4 7 3 5" xfId="15685" xr:uid="{A13633B4-C84C-4207-82E2-F295B5D02C6B}"/>
    <cellStyle name="Normal 2 5 4 7 4" xfId="20768" xr:uid="{8C4212AA-80AC-4512-A959-30B1136FFE18}"/>
    <cellStyle name="Normal 2 5 4 7 5" xfId="29215" xr:uid="{9FDA9194-DD28-4D43-8D66-C957F76329F7}"/>
    <cellStyle name="Normal 2 5 4 7 6" xfId="37662" xr:uid="{D0453224-DADD-4FF1-B091-18C217190445}"/>
    <cellStyle name="Normal 2 5 4 7 7" xfId="11468" xr:uid="{7BEB46C8-9000-4CD9-99A7-D12B7A146178}"/>
    <cellStyle name="Normal 2 5 4 8" xfId="2489" xr:uid="{00000000-0005-0000-0000-000062110000}"/>
    <cellStyle name="Normal 2 5 4 8 2" xfId="6772" xr:uid="{00000000-0005-0000-0000-000063110000}"/>
    <cellStyle name="Normal 2 5 4 8 2 2" xfId="25398" xr:uid="{0D5BD096-2893-4D79-890A-7486B0E927E9}"/>
    <cellStyle name="Normal 2 5 4 8 2 3" xfId="33845" xr:uid="{670F6887-B90D-4ACE-B506-06ADA099C37C}"/>
    <cellStyle name="Normal 2 5 4 8 2 4" xfId="42292" xr:uid="{8E01B4FA-5C2A-4061-95A1-EE4C15F5719E}"/>
    <cellStyle name="Normal 2 5 4 8 2 5" xfId="16098" xr:uid="{1F654345-A5B2-4A65-AA05-88FFC9DD2C2F}"/>
    <cellStyle name="Normal 2 5 4 8 3" xfId="21181" xr:uid="{C2F7081F-9F84-4007-B1F2-4CA46A43F469}"/>
    <cellStyle name="Normal 2 5 4 8 4" xfId="29628" xr:uid="{55D203AB-9AF0-4458-A9F5-204D610200F7}"/>
    <cellStyle name="Normal 2 5 4 8 5" xfId="38075" xr:uid="{01B7F1FB-E862-408B-B912-ECFBF2A10522}"/>
    <cellStyle name="Normal 2 5 4 8 6" xfId="11881" xr:uid="{4A49BBF1-E317-4992-9035-43A7EE2D052B}"/>
    <cellStyle name="Normal 2 5 4 9" xfId="4706" xr:uid="{00000000-0005-0000-0000-000064110000}"/>
    <cellStyle name="Normal 2 5 4 9 2" xfId="23332" xr:uid="{FBF847B2-EC15-4D9C-AEB1-011F43B1F8F1}"/>
    <cellStyle name="Normal 2 5 4 9 3" xfId="31779" xr:uid="{2ADF02AF-13B2-48BE-A344-31705A059691}"/>
    <cellStyle name="Normal 2 5 4 9 4" xfId="40226" xr:uid="{19AB4078-91C1-488E-B6B0-A660F03FE542}"/>
    <cellStyle name="Normal 2 5 4 9 5" xfId="14032" xr:uid="{DF131347-C081-4713-A20B-95A1069F16BB}"/>
    <cellStyle name="Normal 2 5 5" xfId="803" xr:uid="{00000000-0005-0000-0000-000065110000}"/>
    <cellStyle name="Normal 2 5 5 2" xfId="3042" xr:uid="{00000000-0005-0000-0000-000066110000}"/>
    <cellStyle name="Normal 2 5 5 2 2" xfId="7264" xr:uid="{00000000-0005-0000-0000-000067110000}"/>
    <cellStyle name="Normal 2 5 5 2 2 2" xfId="25890" xr:uid="{30D1F3F1-795B-4930-AC57-184146D79635}"/>
    <cellStyle name="Normal 2 5 5 2 2 3" xfId="34337" xr:uid="{C742D507-9049-4C60-92B5-3E07D18AD149}"/>
    <cellStyle name="Normal 2 5 5 2 2 4" xfId="42784" xr:uid="{A726B575-7DC4-4F56-8C7A-864865ADA06C}"/>
    <cellStyle name="Normal 2 5 5 2 2 5" xfId="16590" xr:uid="{889488F4-AE2A-48BA-A306-8FC41BDDB7CD}"/>
    <cellStyle name="Normal 2 5 5 2 3" xfId="21673" xr:uid="{C483E353-30E0-4583-80EA-DC5EF9C36C4D}"/>
    <cellStyle name="Normal 2 5 5 2 4" xfId="30120" xr:uid="{EBA2DFB7-4683-43D3-AFD3-AE8100873A1A}"/>
    <cellStyle name="Normal 2 5 5 2 5" xfId="38567" xr:uid="{91D826D7-30BB-45B4-ADAF-B49B7D92227B}"/>
    <cellStyle name="Normal 2 5 5 2 6" xfId="12373" xr:uid="{6F2E0ED0-36F2-4C7E-BE53-1A0C3C4BD55A}"/>
    <cellStyle name="Normal 2 5 5 3" xfId="5119" xr:uid="{00000000-0005-0000-0000-000068110000}"/>
    <cellStyle name="Normal 2 5 5 3 2" xfId="23745" xr:uid="{31A59B40-0ED1-4437-95E0-42A4A43004C3}"/>
    <cellStyle name="Normal 2 5 5 3 3" xfId="32192" xr:uid="{CA646DAE-13F0-4C45-975C-C3191E78CC50}"/>
    <cellStyle name="Normal 2 5 5 3 4" xfId="40639" xr:uid="{374E92B3-F511-4E9D-89E2-596384923FD3}"/>
    <cellStyle name="Normal 2 5 5 3 5" xfId="14445" xr:uid="{930C4A20-802B-4119-8C92-5247241B5A91}"/>
    <cellStyle name="Normal 2 5 5 4" xfId="9606" xr:uid="{3AE4D77A-44EE-40C2-9F71-05FBDE2746B2}"/>
    <cellStyle name="Normal 2 5 5 4 2" xfId="18908" xr:uid="{3D7F7211-331E-4E2A-A0E3-DD68D5215326}"/>
    <cellStyle name="Normal 2 5 5 5" xfId="19528" xr:uid="{B4BC8BBC-91A4-4F1C-BD1A-2B70C0CDA132}"/>
    <cellStyle name="Normal 2 5 5 6" xfId="27975" xr:uid="{A2F5258D-4580-444B-847E-4CC07AFA2CD1}"/>
    <cellStyle name="Normal 2 5 5 7" xfId="36422" xr:uid="{CD6C5737-FF37-4F3C-A27B-D301A6DEE211}"/>
    <cellStyle name="Normal 2 5 5 8" xfId="10228" xr:uid="{E4C6F1A9-3B39-4E31-95B3-D370D11A018C}"/>
    <cellStyle name="Normal 2 5 6" xfId="1225" xr:uid="{00000000-0005-0000-0000-000069110000}"/>
    <cellStyle name="Normal 2 5 6 2" xfId="3455" xr:uid="{00000000-0005-0000-0000-00006A110000}"/>
    <cellStyle name="Normal 2 5 6 2 2" xfId="7677" xr:uid="{00000000-0005-0000-0000-00006B110000}"/>
    <cellStyle name="Normal 2 5 6 2 2 2" xfId="26303" xr:uid="{E41C0FE6-762F-430F-8F70-E6E63E60BCDC}"/>
    <cellStyle name="Normal 2 5 6 2 2 3" xfId="34750" xr:uid="{3A2F7443-4483-4E61-864E-B4669AAA6314}"/>
    <cellStyle name="Normal 2 5 6 2 2 4" xfId="43197" xr:uid="{A2E6AE52-023A-4C20-A8DF-E1A03660CAA1}"/>
    <cellStyle name="Normal 2 5 6 2 2 5" xfId="17003" xr:uid="{C184BBC2-2D74-4D99-AC30-A18811D78492}"/>
    <cellStyle name="Normal 2 5 6 2 3" xfId="22086" xr:uid="{A3590F4E-6BFE-433D-9C56-AC4814DFD87D}"/>
    <cellStyle name="Normal 2 5 6 2 4" xfId="30533" xr:uid="{298AEB1D-852A-411F-A055-7669BC195895}"/>
    <cellStyle name="Normal 2 5 6 2 5" xfId="38980" xr:uid="{5136DBDA-B347-455E-8374-AB68B16F5491}"/>
    <cellStyle name="Normal 2 5 6 2 6" xfId="12786" xr:uid="{776C579A-9808-4A3F-9CE7-FEA64411D9A9}"/>
    <cellStyle name="Normal 2 5 6 3" xfId="5532" xr:uid="{00000000-0005-0000-0000-00006C110000}"/>
    <cellStyle name="Normal 2 5 6 3 2" xfId="24158" xr:uid="{20C75243-A78C-4237-89F7-FFE9508A8651}"/>
    <cellStyle name="Normal 2 5 6 3 3" xfId="32605" xr:uid="{803CBB63-E105-4EAC-B2C3-A1B647B60F6B}"/>
    <cellStyle name="Normal 2 5 6 3 4" xfId="41052" xr:uid="{BA3A9F71-C2E0-45CC-B754-C58288D4AEF1}"/>
    <cellStyle name="Normal 2 5 6 3 5" xfId="14858" xr:uid="{C82CE0C4-A3E2-4807-B22D-20B83A11F098}"/>
    <cellStyle name="Normal 2 5 6 4" xfId="19941" xr:uid="{3D4873EB-8D09-4C16-8A0E-F2402276305D}"/>
    <cellStyle name="Normal 2 5 6 5" xfId="28388" xr:uid="{4896994A-02AC-4A7B-A4E8-FC0F08096C42}"/>
    <cellStyle name="Normal 2 5 6 6" xfId="36835" xr:uid="{0974DFAA-24DF-41A1-B027-ACC8B563878B}"/>
    <cellStyle name="Normal 2 5 6 7" xfId="10641" xr:uid="{5C2912FD-74C9-469F-9EF9-DB60F5A98DD4}"/>
    <cellStyle name="Normal 2 5 7" xfId="1638" xr:uid="{00000000-0005-0000-0000-00006D110000}"/>
    <cellStyle name="Normal 2 5 7 2" xfId="3868" xr:uid="{00000000-0005-0000-0000-00006E110000}"/>
    <cellStyle name="Normal 2 5 7 2 2" xfId="8090" xr:uid="{00000000-0005-0000-0000-00006F110000}"/>
    <cellStyle name="Normal 2 5 7 2 2 2" xfId="26716" xr:uid="{317E6955-33FE-454B-B50C-B3B5CF6E58EC}"/>
    <cellStyle name="Normal 2 5 7 2 2 3" xfId="35163" xr:uid="{9300EDDC-8ECE-49E4-B96E-2735999F239E}"/>
    <cellStyle name="Normal 2 5 7 2 2 4" xfId="43610" xr:uid="{579FFD2F-8884-4023-ACFE-ED94DC01F85C}"/>
    <cellStyle name="Normal 2 5 7 2 2 5" xfId="17416" xr:uid="{BA21A361-F462-496D-B42C-C357242BB34F}"/>
    <cellStyle name="Normal 2 5 7 2 3" xfId="22499" xr:uid="{A13175DA-DBCA-4FF5-A720-C3C1586E37CC}"/>
    <cellStyle name="Normal 2 5 7 2 4" xfId="30946" xr:uid="{32CE65E8-4675-486A-8116-B2F6CC6C8209}"/>
    <cellStyle name="Normal 2 5 7 2 5" xfId="39393" xr:uid="{DD0440AC-F102-494B-BB95-132720B8296B}"/>
    <cellStyle name="Normal 2 5 7 2 6" xfId="13199" xr:uid="{C0C1D49C-DECA-48EF-BCFC-2CBD24BAAA21}"/>
    <cellStyle name="Normal 2 5 7 3" xfId="5945" xr:uid="{00000000-0005-0000-0000-000070110000}"/>
    <cellStyle name="Normal 2 5 7 3 2" xfId="24571" xr:uid="{955123DD-3DFA-4BCD-B747-E73254050374}"/>
    <cellStyle name="Normal 2 5 7 3 3" xfId="33018" xr:uid="{E83128B7-B463-4E39-AB88-BBD83B810435}"/>
    <cellStyle name="Normal 2 5 7 3 4" xfId="41465" xr:uid="{C0238006-9B04-4AF1-BC82-82770DFCBC2A}"/>
    <cellStyle name="Normal 2 5 7 3 5" xfId="15271" xr:uid="{E9742FF7-370E-4A12-A762-79257AD035ED}"/>
    <cellStyle name="Normal 2 5 7 4" xfId="20354" xr:uid="{F562F32F-0BA9-4219-A5AC-F71A3BDF3ED1}"/>
    <cellStyle name="Normal 2 5 7 5" xfId="28801" xr:uid="{2DAD5DB7-8DFC-43A3-8C83-8400490696B1}"/>
    <cellStyle name="Normal 2 5 7 6" xfId="37248" xr:uid="{B22C5C41-01E2-4060-AEAB-3FFC5083277B}"/>
    <cellStyle name="Normal 2 5 7 7" xfId="11054" xr:uid="{1A85CF2C-5655-4C21-9A4A-EC04C4298F65}"/>
    <cellStyle name="Normal 2 5 8" xfId="2052" xr:uid="{00000000-0005-0000-0000-000071110000}"/>
    <cellStyle name="Normal 2 5 8 2" xfId="4281" xr:uid="{00000000-0005-0000-0000-000072110000}"/>
    <cellStyle name="Normal 2 5 8 2 2" xfId="8503" xr:uid="{00000000-0005-0000-0000-000073110000}"/>
    <cellStyle name="Normal 2 5 8 2 2 2" xfId="27129" xr:uid="{DA59CF5C-1908-4B1D-A484-4AEE0BB209FA}"/>
    <cellStyle name="Normal 2 5 8 2 2 3" xfId="35576" xr:uid="{705846B0-DE40-4F2E-8487-9606A8559D72}"/>
    <cellStyle name="Normal 2 5 8 2 2 4" xfId="44023" xr:uid="{648059F8-D6D6-4379-B5E5-5A92E8C085C5}"/>
    <cellStyle name="Normal 2 5 8 2 2 5" xfId="17829" xr:uid="{E006EF8B-6CB5-4825-B923-065BAB755293}"/>
    <cellStyle name="Normal 2 5 8 2 3" xfId="22912" xr:uid="{0F8B1175-B1D5-45D4-B05B-3CB0067C0CCE}"/>
    <cellStyle name="Normal 2 5 8 2 4" xfId="31359" xr:uid="{11C9D6B2-87F6-430C-8F31-72BDBC8CF219}"/>
    <cellStyle name="Normal 2 5 8 2 5" xfId="39806" xr:uid="{3895C105-BC98-4D88-AC03-5A77BC8A3012}"/>
    <cellStyle name="Normal 2 5 8 2 6" xfId="13612" xr:uid="{48ABB24F-C699-4774-9C4D-63EC7E9B2A40}"/>
    <cellStyle name="Normal 2 5 8 3" xfId="6358" xr:uid="{00000000-0005-0000-0000-000074110000}"/>
    <cellStyle name="Normal 2 5 8 3 2" xfId="24984" xr:uid="{3B70E891-3994-469F-9AE1-2001D93F31FC}"/>
    <cellStyle name="Normal 2 5 8 3 3" xfId="33431" xr:uid="{86B0235C-7B73-4D3D-8978-D99E4572EDB0}"/>
    <cellStyle name="Normal 2 5 8 3 4" xfId="41878" xr:uid="{3A0819E9-282C-43D6-85D1-AAF33E444009}"/>
    <cellStyle name="Normal 2 5 8 3 5" xfId="15684" xr:uid="{61308004-ECB7-44D8-AEE0-5DA2F3D34886}"/>
    <cellStyle name="Normal 2 5 8 4" xfId="20767" xr:uid="{D99A631F-B78C-4E75-AFED-B52E4F0AF243}"/>
    <cellStyle name="Normal 2 5 8 5" xfId="29214" xr:uid="{899D4D64-74A3-4FB4-8F3A-889004556990}"/>
    <cellStyle name="Normal 2 5 8 6" xfId="37661" xr:uid="{FA62BD82-A8E8-49A5-BCD3-F91D8CB65F6A}"/>
    <cellStyle name="Normal 2 5 8 7" xfId="11467" xr:uid="{47D85DCE-31E8-47AF-B2BE-C4FCC0E7DB76}"/>
    <cellStyle name="Normal 2 5 9" xfId="2488" xr:uid="{00000000-0005-0000-0000-000075110000}"/>
    <cellStyle name="Normal 2 5 9 2" xfId="6771" xr:uid="{00000000-0005-0000-0000-000076110000}"/>
    <cellStyle name="Normal 2 5 9 2 2" xfId="25397" xr:uid="{B5CF7500-23D9-44B7-9A64-6555F142A6A6}"/>
    <cellStyle name="Normal 2 5 9 2 3" xfId="33844" xr:uid="{9867882F-5FCA-4483-A5A4-4AD0B1F13F1D}"/>
    <cellStyle name="Normal 2 5 9 2 4" xfId="42291" xr:uid="{0FA52E0C-4EC7-4E75-9553-4EDA55FC7727}"/>
    <cellStyle name="Normal 2 5 9 2 5" xfId="16097" xr:uid="{806DBD33-0781-487B-817B-F30E456F9D8E}"/>
    <cellStyle name="Normal 2 5 9 3" xfId="21180" xr:uid="{68B21837-97AB-46DF-BBFD-8B0B73D66FC8}"/>
    <cellStyle name="Normal 2 5 9 4" xfId="29627" xr:uid="{46D14F92-D9CD-45CC-91D9-FD2248E50B8A}"/>
    <cellStyle name="Normal 2 5 9 5" xfId="38074" xr:uid="{35516C28-7795-45EB-94A0-52D04DDDFAE1}"/>
    <cellStyle name="Normal 2 5 9 6" xfId="11880" xr:uid="{D83AA1D7-3E31-480B-8BF8-2CFD5B41B8E5}"/>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7 3 2" xfId="18479" xr:uid="{2E61A34C-FDD3-4F4D-AF12-AEC926BF0278}"/>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25 3 3" xfId="18480" xr:uid="{A00605BB-294E-4E46-A65B-B5698FE56F40}"/>
    <cellStyle name="Normal 3" xfId="323" xr:uid="{00000000-0005-0000-0000-00007A110000}"/>
    <cellStyle name="Normal 3 2" xfId="324" xr:uid="{00000000-0005-0000-0000-00007B110000}"/>
    <cellStyle name="Normal 3 2 10" xfId="19119" xr:uid="{DD97ACCB-F1E7-419B-BC05-C5828A9E6CD9}"/>
    <cellStyle name="Normal 3 2 11" xfId="27566" xr:uid="{1D0488E7-6BFF-425A-A787-69D731A34D05}"/>
    <cellStyle name="Normal 3 2 12" xfId="36013" xr:uid="{9EA55BFE-C95C-40C5-B244-68EE6DCC7837}"/>
    <cellStyle name="Normal 3 2 13" xfId="9819" xr:uid="{5C8A0075-C134-49B4-935E-8960AE46BA35}"/>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10 2" xfId="18141" xr:uid="{9623403C-81AC-4A31-9E54-77C96D42C8A6}"/>
    <cellStyle name="Normal 3 2 3 11" xfId="19120" xr:uid="{C1C7DC93-71B8-47E0-A41B-9C1678F71580}"/>
    <cellStyle name="Normal 3 2 3 12" xfId="27567" xr:uid="{3718D2FB-1684-4FAB-86B0-30D630440EB2}"/>
    <cellStyle name="Normal 3 2 3 13" xfId="36014" xr:uid="{BFC9C4D1-4351-4559-8957-87DC30AEB343}"/>
    <cellStyle name="Normal 3 2 3 14" xfId="9820" xr:uid="{FC9939E8-5354-43C0-9BB2-F7D8B6364652}"/>
    <cellStyle name="Normal 3 2 3 2" xfId="327" xr:uid="{00000000-0005-0000-0000-00007F110000}"/>
    <cellStyle name="Normal 3 2 3 2 10" xfId="19121" xr:uid="{AE4D3D75-C24F-49D2-A872-F13DBA479A70}"/>
    <cellStyle name="Normal 3 2 3 2 11" xfId="27568" xr:uid="{7B8F3785-D6F3-4FB6-9F71-8631BB8491F5}"/>
    <cellStyle name="Normal 3 2 3 2 12" xfId="36015" xr:uid="{B4A3865D-6AFD-4F7B-B4AF-B7284BEE6B1C}"/>
    <cellStyle name="Normal 3 2 3 2 13" xfId="9821" xr:uid="{416345D4-08FC-43B8-900E-1A82F5465FED}"/>
    <cellStyle name="Normal 3 2 3 2 2" xfId="328" xr:uid="{00000000-0005-0000-0000-000080110000}"/>
    <cellStyle name="Normal 3 2 3 2 2 10" xfId="27569" xr:uid="{E91A8C0B-AD80-434D-8F47-CFB5AEE9E580}"/>
    <cellStyle name="Normal 3 2 3 2 2 11" xfId="36016" xr:uid="{986A510C-7AFF-459F-B91D-1939C9044E08}"/>
    <cellStyle name="Normal 3 2 3 2 2 12" xfId="9822" xr:uid="{33849850-EF0C-4734-8F16-6164C308FAD9}"/>
    <cellStyle name="Normal 3 2 3 2 2 2" xfId="813" xr:uid="{00000000-0005-0000-0000-000081110000}"/>
    <cellStyle name="Normal 3 2 3 2 2 2 2" xfId="3050" xr:uid="{00000000-0005-0000-0000-000082110000}"/>
    <cellStyle name="Normal 3 2 3 2 2 2 2 2" xfId="7272" xr:uid="{00000000-0005-0000-0000-000083110000}"/>
    <cellStyle name="Normal 3 2 3 2 2 2 2 2 2" xfId="25898" xr:uid="{72216842-0A62-4026-B067-4594809D7C03}"/>
    <cellStyle name="Normal 3 2 3 2 2 2 2 2 3" xfId="34345" xr:uid="{C15E64F1-D7E7-4892-BC64-87CCEE76B255}"/>
    <cellStyle name="Normal 3 2 3 2 2 2 2 2 4" xfId="42792" xr:uid="{CC23C55A-8C51-486F-8252-3F9CB201276F}"/>
    <cellStyle name="Normal 3 2 3 2 2 2 2 2 5" xfId="16598" xr:uid="{1093BB07-A77D-4CA4-8DE0-1030CC6E6175}"/>
    <cellStyle name="Normal 3 2 3 2 2 2 2 3" xfId="21681" xr:uid="{8D9D760F-0736-498F-A67C-87E27A655D25}"/>
    <cellStyle name="Normal 3 2 3 2 2 2 2 4" xfId="30128" xr:uid="{ECA494E3-55BB-4F07-95D2-1DE791961F01}"/>
    <cellStyle name="Normal 3 2 3 2 2 2 2 5" xfId="38575" xr:uid="{BD49EFAB-7C0E-44D3-AA54-A39AC76BC724}"/>
    <cellStyle name="Normal 3 2 3 2 2 2 2 6" xfId="12381" xr:uid="{D4791CB3-93A9-4DBB-8804-76A08B5E8D49}"/>
    <cellStyle name="Normal 3 2 3 2 2 2 3" xfId="5127" xr:uid="{00000000-0005-0000-0000-000084110000}"/>
    <cellStyle name="Normal 3 2 3 2 2 2 3 2" xfId="23753" xr:uid="{9E48341B-8E3F-46AC-90A4-D1936550BAB0}"/>
    <cellStyle name="Normal 3 2 3 2 2 2 3 3" xfId="32200" xr:uid="{5215FC61-A938-4EA1-BB0C-42FFFF94745C}"/>
    <cellStyle name="Normal 3 2 3 2 2 2 3 4" xfId="40647" xr:uid="{18381275-FE4E-43D2-ACD2-E9D44C8082D9}"/>
    <cellStyle name="Normal 3 2 3 2 2 2 3 5" xfId="14453" xr:uid="{41566FD7-2C1E-4423-9A12-5CC3AEB30D00}"/>
    <cellStyle name="Normal 3 2 3 2 2 2 4" xfId="9552" xr:uid="{54198C1B-8B77-4C07-BFED-28C4D4E00A0C}"/>
    <cellStyle name="Normal 3 2 3 2 2 2 4 2" xfId="18868" xr:uid="{9164473E-D5B6-4FBF-95E8-D3423668AE98}"/>
    <cellStyle name="Normal 3 2 3 2 2 2 5" xfId="19536" xr:uid="{3C17A0C5-C244-4779-BA31-02100F01BC62}"/>
    <cellStyle name="Normal 3 2 3 2 2 2 6" xfId="27983" xr:uid="{81462F52-B3F7-4976-ACD8-45DDBF7489D4}"/>
    <cellStyle name="Normal 3 2 3 2 2 2 7" xfId="36430" xr:uid="{0901888C-EC0C-4187-807E-2DF81113F2F1}"/>
    <cellStyle name="Normal 3 2 3 2 2 2 8" xfId="10236" xr:uid="{00D2AA75-AD5B-44DA-B5F7-33C8BD7D5D75}"/>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2 2 2" xfId="26311" xr:uid="{E418EA7B-BBA7-4711-8FB4-455C204707F4}"/>
    <cellStyle name="Normal 3 2 3 2 2 3 2 2 3" xfId="34758" xr:uid="{953458CF-03C5-48CA-8DB4-C9CB95CC6E5F}"/>
    <cellStyle name="Normal 3 2 3 2 2 3 2 2 4" xfId="43205" xr:uid="{9D96B78C-BCE1-4D44-88A8-A4B7C88EE075}"/>
    <cellStyle name="Normal 3 2 3 2 2 3 2 2 5" xfId="17011" xr:uid="{F884F881-CC43-4078-99E7-FA1E3B70D50A}"/>
    <cellStyle name="Normal 3 2 3 2 2 3 2 3" xfId="22094" xr:uid="{2072F01E-406A-47CC-A9BE-68B535200DC9}"/>
    <cellStyle name="Normal 3 2 3 2 2 3 2 4" xfId="30541" xr:uid="{40AED403-04FE-44C3-B20F-DB4B954D4FEE}"/>
    <cellStyle name="Normal 3 2 3 2 2 3 2 5" xfId="38988" xr:uid="{59E96D19-2E7C-4F2A-96AF-BF8E7654B614}"/>
    <cellStyle name="Normal 3 2 3 2 2 3 2 6" xfId="12794" xr:uid="{D8D0D497-61B9-4151-BE10-CFA920DC79DA}"/>
    <cellStyle name="Normal 3 2 3 2 2 3 3" xfId="5540" xr:uid="{00000000-0005-0000-0000-000088110000}"/>
    <cellStyle name="Normal 3 2 3 2 2 3 3 2" xfId="24166" xr:uid="{DF17E211-415B-45AE-BC01-9B5132FD3DF7}"/>
    <cellStyle name="Normal 3 2 3 2 2 3 3 3" xfId="32613" xr:uid="{B92A2ED2-ADE1-4618-A5F1-C19A73E9F024}"/>
    <cellStyle name="Normal 3 2 3 2 2 3 3 4" xfId="41060" xr:uid="{2CA90443-956E-4E4F-A770-210311EEC77D}"/>
    <cellStyle name="Normal 3 2 3 2 2 3 3 5" xfId="14866" xr:uid="{7A14D12B-F835-4658-B7F0-4352C1E2B9B6}"/>
    <cellStyle name="Normal 3 2 3 2 2 3 4" xfId="19949" xr:uid="{5B08A66B-6FBA-470B-9406-91FF7DC44350}"/>
    <cellStyle name="Normal 3 2 3 2 2 3 5" xfId="28396" xr:uid="{01D3D0E6-8EB2-40AE-8279-176BC29634F1}"/>
    <cellStyle name="Normal 3 2 3 2 2 3 6" xfId="36843" xr:uid="{AFAF32B7-A0C6-4A97-AD67-DB93A696B269}"/>
    <cellStyle name="Normal 3 2 3 2 2 3 7" xfId="10649" xr:uid="{4020E256-C369-4AE5-A2F6-4E141A5F3EE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2 2 2" xfId="26724" xr:uid="{849FFEF6-7402-4C26-99FC-5FBD0859E6EA}"/>
    <cellStyle name="Normal 3 2 3 2 2 4 2 2 3" xfId="35171" xr:uid="{9F292D51-A2C3-442B-B29E-3F4289F04BA0}"/>
    <cellStyle name="Normal 3 2 3 2 2 4 2 2 4" xfId="43618" xr:uid="{D629CD6F-0B14-4AA7-A897-8A988FC4BEB6}"/>
    <cellStyle name="Normal 3 2 3 2 2 4 2 2 5" xfId="17424" xr:uid="{0A68381E-A3D3-4C4F-A0D2-D71EB81D9489}"/>
    <cellStyle name="Normal 3 2 3 2 2 4 2 3" xfId="22507" xr:uid="{0B7D4A48-4715-46A3-8530-DC3285EF5BBC}"/>
    <cellStyle name="Normal 3 2 3 2 2 4 2 4" xfId="30954" xr:uid="{F93B7780-DF7C-4133-B966-AE3F9BAEEB7C}"/>
    <cellStyle name="Normal 3 2 3 2 2 4 2 5" xfId="39401" xr:uid="{2D5B44AE-B5CF-4C45-BA62-C91D73D582CD}"/>
    <cellStyle name="Normal 3 2 3 2 2 4 2 6" xfId="13207" xr:uid="{4ADB75C1-9484-4A97-ABE5-6ACA9CFB0EBB}"/>
    <cellStyle name="Normal 3 2 3 2 2 4 3" xfId="5953" xr:uid="{00000000-0005-0000-0000-00008C110000}"/>
    <cellStyle name="Normal 3 2 3 2 2 4 3 2" xfId="24579" xr:uid="{FC15E456-D0D8-428C-884D-456A5039410D}"/>
    <cellStyle name="Normal 3 2 3 2 2 4 3 3" xfId="33026" xr:uid="{81A090C6-3CE8-4AE5-8E18-88F40FF3C6C2}"/>
    <cellStyle name="Normal 3 2 3 2 2 4 3 4" xfId="41473" xr:uid="{6B7E53D9-487A-47C5-99D2-4347AB81B333}"/>
    <cellStyle name="Normal 3 2 3 2 2 4 3 5" xfId="15279" xr:uid="{E7B09811-AA06-41AC-8EB7-06071D2DDD6B}"/>
    <cellStyle name="Normal 3 2 3 2 2 4 4" xfId="20362" xr:uid="{05825A46-0D0B-41A3-91D5-68E20F0E7DA0}"/>
    <cellStyle name="Normal 3 2 3 2 2 4 5" xfId="28809" xr:uid="{ED5B6769-AEC3-42F1-8C2B-0C333591C903}"/>
    <cellStyle name="Normal 3 2 3 2 2 4 6" xfId="37256" xr:uid="{5ED1E0AE-96C6-45F5-9BDA-72D27930D70A}"/>
    <cellStyle name="Normal 3 2 3 2 2 4 7" xfId="11062" xr:uid="{4B4FE10C-8286-4596-8C79-DD7F5DE4C19C}"/>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2 2 2" xfId="27137" xr:uid="{E293352C-4B43-406B-9DBD-CDB9D900483D}"/>
    <cellStyle name="Normal 3 2 3 2 2 5 2 2 3" xfId="35584" xr:uid="{3539D91F-DA52-4594-A3E5-2989EFDB5268}"/>
    <cellStyle name="Normal 3 2 3 2 2 5 2 2 4" xfId="44031" xr:uid="{EB081F0C-5720-405A-AA05-844174D09D74}"/>
    <cellStyle name="Normal 3 2 3 2 2 5 2 2 5" xfId="17837" xr:uid="{A5D4DCFF-C863-4676-A40F-C7236CF70940}"/>
    <cellStyle name="Normal 3 2 3 2 2 5 2 3" xfId="22920" xr:uid="{89B75FE2-9124-4F70-8B3D-4D886B383354}"/>
    <cellStyle name="Normal 3 2 3 2 2 5 2 4" xfId="31367" xr:uid="{BECAAEB5-0EB8-4B78-BF69-70926D2E883E}"/>
    <cellStyle name="Normal 3 2 3 2 2 5 2 5" xfId="39814" xr:uid="{A7B03CD5-E12F-40A0-9F12-5B227C820B00}"/>
    <cellStyle name="Normal 3 2 3 2 2 5 2 6" xfId="13620" xr:uid="{D56519AF-B696-482E-A076-9EAE9CF59002}"/>
    <cellStyle name="Normal 3 2 3 2 2 5 3" xfId="6366" xr:uid="{00000000-0005-0000-0000-000090110000}"/>
    <cellStyle name="Normal 3 2 3 2 2 5 3 2" xfId="24992" xr:uid="{ED6531A4-5A29-4DD8-A814-C92EAA29D1DB}"/>
    <cellStyle name="Normal 3 2 3 2 2 5 3 3" xfId="33439" xr:uid="{C22C2998-2E9C-4968-9968-556288B80705}"/>
    <cellStyle name="Normal 3 2 3 2 2 5 3 4" xfId="41886" xr:uid="{546CA849-4884-49D7-970E-5574A7D9E18B}"/>
    <cellStyle name="Normal 3 2 3 2 2 5 3 5" xfId="15692" xr:uid="{495FE247-987B-4ABA-BA76-469D239FE2B8}"/>
    <cellStyle name="Normal 3 2 3 2 2 5 4" xfId="20775" xr:uid="{A545B0E4-3EF0-4453-86D1-DC4C4870807D}"/>
    <cellStyle name="Normal 3 2 3 2 2 5 5" xfId="29222" xr:uid="{6DE2C010-374F-4BFF-A59C-C26377634005}"/>
    <cellStyle name="Normal 3 2 3 2 2 5 6" xfId="37669" xr:uid="{2DA03469-2DBE-4F3C-BB08-0991E74295FD}"/>
    <cellStyle name="Normal 3 2 3 2 2 5 7" xfId="11475" xr:uid="{795F9EE7-F18D-4FE8-AD7B-A2E59089FE2E}"/>
    <cellStyle name="Normal 3 2 3 2 2 6" xfId="2496" xr:uid="{00000000-0005-0000-0000-000091110000}"/>
    <cellStyle name="Normal 3 2 3 2 2 6 2" xfId="6779" xr:uid="{00000000-0005-0000-0000-000092110000}"/>
    <cellStyle name="Normal 3 2 3 2 2 6 2 2" xfId="25405" xr:uid="{82F58338-8FEA-4226-B17B-1732072D6250}"/>
    <cellStyle name="Normal 3 2 3 2 2 6 2 3" xfId="33852" xr:uid="{18AA5200-B0C6-4752-A1DD-62444577B8A7}"/>
    <cellStyle name="Normal 3 2 3 2 2 6 2 4" xfId="42299" xr:uid="{29339736-00DE-4BD2-8DEC-05EF9D09C371}"/>
    <cellStyle name="Normal 3 2 3 2 2 6 2 5" xfId="16105" xr:uid="{B3217726-2D12-4F9D-9E4B-6469417EE0AA}"/>
    <cellStyle name="Normal 3 2 3 2 2 6 3" xfId="21188" xr:uid="{627F23D2-49BF-4A3B-A3B7-695BE6D3D56D}"/>
    <cellStyle name="Normal 3 2 3 2 2 6 4" xfId="29635" xr:uid="{8ED8B244-5CC0-4F5D-A14A-17904052F051}"/>
    <cellStyle name="Normal 3 2 3 2 2 6 5" xfId="38082" xr:uid="{AD24C05D-0593-4BE2-9063-389530D11648}"/>
    <cellStyle name="Normal 3 2 3 2 2 6 6" xfId="11888" xr:uid="{D2052619-8EDD-4A75-9EBA-AF11ECA74E62}"/>
    <cellStyle name="Normal 3 2 3 2 2 7" xfId="4713" xr:uid="{00000000-0005-0000-0000-000093110000}"/>
    <cellStyle name="Normal 3 2 3 2 2 7 2" xfId="23339" xr:uid="{BA4F8852-6C99-417A-A79B-F48DD2996F24}"/>
    <cellStyle name="Normal 3 2 3 2 2 7 3" xfId="31786" xr:uid="{2391A25D-BD0B-4E3A-9B5B-3E5BC576CB25}"/>
    <cellStyle name="Normal 3 2 3 2 2 7 4" xfId="40233" xr:uid="{98F90E55-A264-4FE1-AF1F-E4698EF3ED6E}"/>
    <cellStyle name="Normal 3 2 3 2 2 7 5" xfId="14039" xr:uid="{728FEA1C-52DA-4C72-A9CD-59F1926B5490}"/>
    <cellStyle name="Normal 3 2 3 2 2 8" xfId="9127" xr:uid="{0583B12A-AAD6-4358-9C0C-42D6EBC3DFD8}"/>
    <cellStyle name="Normal 3 2 3 2 2 8 2" xfId="18451" xr:uid="{3708E388-CBFA-4EF8-816D-94C8050EF973}"/>
    <cellStyle name="Normal 3 2 3 2 2 9" xfId="19122" xr:uid="{7621A998-CC1B-40B2-BC60-14DC6E95BB86}"/>
    <cellStyle name="Normal 3 2 3 2 3" xfId="812" xr:uid="{00000000-0005-0000-0000-000094110000}"/>
    <cellStyle name="Normal 3 2 3 2 3 2" xfId="3049" xr:uid="{00000000-0005-0000-0000-000095110000}"/>
    <cellStyle name="Normal 3 2 3 2 3 2 2" xfId="7271" xr:uid="{00000000-0005-0000-0000-000096110000}"/>
    <cellStyle name="Normal 3 2 3 2 3 2 2 2" xfId="25897" xr:uid="{84437DBE-88C7-4421-A6F1-809EFE7ECB6F}"/>
    <cellStyle name="Normal 3 2 3 2 3 2 2 3" xfId="34344" xr:uid="{91069410-49B5-4D96-A47D-BD8A1CBA8D94}"/>
    <cellStyle name="Normal 3 2 3 2 3 2 2 4" xfId="42791" xr:uid="{165DAEB5-2579-4DA5-A882-C1E8C4D5BD02}"/>
    <cellStyle name="Normal 3 2 3 2 3 2 2 5" xfId="16597" xr:uid="{F41FF257-C99D-4730-A7D3-4EED85035A3D}"/>
    <cellStyle name="Normal 3 2 3 2 3 2 3" xfId="21680" xr:uid="{26E9A84D-F712-42F8-8988-F6804F99628B}"/>
    <cellStyle name="Normal 3 2 3 2 3 2 4" xfId="30127" xr:uid="{D501C88C-CAA9-481D-AB56-294E4F06C83B}"/>
    <cellStyle name="Normal 3 2 3 2 3 2 5" xfId="38574" xr:uid="{104CBA2D-7854-4F33-9E11-A93E044EE4D1}"/>
    <cellStyle name="Normal 3 2 3 2 3 2 6" xfId="12380" xr:uid="{5A355AEC-7DF7-40D0-96A2-B677A9BA3BEB}"/>
    <cellStyle name="Normal 3 2 3 2 3 3" xfId="5126" xr:uid="{00000000-0005-0000-0000-000097110000}"/>
    <cellStyle name="Normal 3 2 3 2 3 3 2" xfId="23752" xr:uid="{E222F5D0-EF8C-4710-806D-027A4F7A4445}"/>
    <cellStyle name="Normal 3 2 3 2 3 3 3" xfId="32199" xr:uid="{7A1E2C6C-7D0F-4F5A-8C2B-D02500042831}"/>
    <cellStyle name="Normal 3 2 3 2 3 3 4" xfId="40646" xr:uid="{A42373DE-6B45-46A1-8C07-A5E20C19BA65}"/>
    <cellStyle name="Normal 3 2 3 2 3 3 5" xfId="14452" xr:uid="{8896B3C2-2D38-4131-862B-BCFD63D8AFD5}"/>
    <cellStyle name="Normal 3 2 3 2 3 4" xfId="9345" xr:uid="{C34A3811-3C7F-4E99-A17A-CCF74A426C86}"/>
    <cellStyle name="Normal 3 2 3 2 3 4 2" xfId="18661" xr:uid="{EB0E6E63-693C-4E3B-8864-A21B16148DA8}"/>
    <cellStyle name="Normal 3 2 3 2 3 5" xfId="19535" xr:uid="{0BC7FF90-2B31-4B67-9024-771841FB1D58}"/>
    <cellStyle name="Normal 3 2 3 2 3 6" xfId="27982" xr:uid="{407B2616-656B-4CCE-99CE-1D103E63626B}"/>
    <cellStyle name="Normal 3 2 3 2 3 7" xfId="36429" xr:uid="{0A8A75A6-8547-4578-AF40-0F8BA2364622}"/>
    <cellStyle name="Normal 3 2 3 2 3 8" xfId="10235" xr:uid="{2B99CDD2-DF81-4D8D-A06B-10D252645D72}"/>
    <cellStyle name="Normal 3 2 3 2 4" xfId="1232" xr:uid="{00000000-0005-0000-0000-000098110000}"/>
    <cellStyle name="Normal 3 2 3 2 4 2" xfId="3462" xr:uid="{00000000-0005-0000-0000-000099110000}"/>
    <cellStyle name="Normal 3 2 3 2 4 2 2" xfId="7684" xr:uid="{00000000-0005-0000-0000-00009A110000}"/>
    <cellStyle name="Normal 3 2 3 2 4 2 2 2" xfId="26310" xr:uid="{D054CD93-E36F-4E02-8647-CD75A95CD359}"/>
    <cellStyle name="Normal 3 2 3 2 4 2 2 3" xfId="34757" xr:uid="{FC1637D2-8244-468B-A418-B34C1B84C699}"/>
    <cellStyle name="Normal 3 2 3 2 4 2 2 4" xfId="43204" xr:uid="{0E67B6D9-8DDE-4889-AC47-6762E8FFBA4E}"/>
    <cellStyle name="Normal 3 2 3 2 4 2 2 5" xfId="17010" xr:uid="{74D58CA7-64EF-43E2-A3DC-43AA1DC7A39E}"/>
    <cellStyle name="Normal 3 2 3 2 4 2 3" xfId="22093" xr:uid="{76A19A00-9B7B-485D-A44F-E1BD36E2DC52}"/>
    <cellStyle name="Normal 3 2 3 2 4 2 4" xfId="30540" xr:uid="{F37D022C-8551-484B-822A-228A767336FE}"/>
    <cellStyle name="Normal 3 2 3 2 4 2 5" xfId="38987" xr:uid="{06306DA9-33D8-4809-9801-1FDD11A85079}"/>
    <cellStyle name="Normal 3 2 3 2 4 2 6" xfId="12793" xr:uid="{0908DF28-659D-43D1-86EA-F6A3C42A3248}"/>
    <cellStyle name="Normal 3 2 3 2 4 3" xfId="5539" xr:uid="{00000000-0005-0000-0000-00009B110000}"/>
    <cellStyle name="Normal 3 2 3 2 4 3 2" xfId="24165" xr:uid="{5CC5CB1D-35A4-4650-89DF-A407AFE3A14F}"/>
    <cellStyle name="Normal 3 2 3 2 4 3 3" xfId="32612" xr:uid="{5843C96B-162F-46A2-9E2F-4BD2B77B630E}"/>
    <cellStyle name="Normal 3 2 3 2 4 3 4" xfId="41059" xr:uid="{489F59D7-10A2-49DD-96A0-832543506319}"/>
    <cellStyle name="Normal 3 2 3 2 4 3 5" xfId="14865" xr:uid="{831E2BD3-D498-411E-ACE2-F762BFEAA7F4}"/>
    <cellStyle name="Normal 3 2 3 2 4 4" xfId="19948" xr:uid="{B7C0F85A-2E12-473D-9C51-AA6E05412B3C}"/>
    <cellStyle name="Normal 3 2 3 2 4 5" xfId="28395" xr:uid="{570DB11F-74A6-491A-992D-75E61079DB85}"/>
    <cellStyle name="Normal 3 2 3 2 4 6" xfId="36842" xr:uid="{5E74007B-D8AB-427A-917E-0B4CC635ADEB}"/>
    <cellStyle name="Normal 3 2 3 2 4 7" xfId="10648" xr:uid="{A04BA134-0557-43A2-8A2E-0DA14A98D527}"/>
    <cellStyle name="Normal 3 2 3 2 5" xfId="1645" xr:uid="{00000000-0005-0000-0000-00009C110000}"/>
    <cellStyle name="Normal 3 2 3 2 5 2" xfId="3875" xr:uid="{00000000-0005-0000-0000-00009D110000}"/>
    <cellStyle name="Normal 3 2 3 2 5 2 2" xfId="8097" xr:uid="{00000000-0005-0000-0000-00009E110000}"/>
    <cellStyle name="Normal 3 2 3 2 5 2 2 2" xfId="26723" xr:uid="{7B419EFE-BC32-44F0-818D-621A125B05D3}"/>
    <cellStyle name="Normal 3 2 3 2 5 2 2 3" xfId="35170" xr:uid="{28A43E64-3D9B-48B6-BD97-03B4EA42232D}"/>
    <cellStyle name="Normal 3 2 3 2 5 2 2 4" xfId="43617" xr:uid="{BC837C24-47E8-40AA-92B8-3FFCE86DFCC8}"/>
    <cellStyle name="Normal 3 2 3 2 5 2 2 5" xfId="17423" xr:uid="{A1088D2B-4EEE-4888-822D-AD1547863B76}"/>
    <cellStyle name="Normal 3 2 3 2 5 2 3" xfId="22506" xr:uid="{A9975A15-55A9-4930-8170-8301C1A3A9B7}"/>
    <cellStyle name="Normal 3 2 3 2 5 2 4" xfId="30953" xr:uid="{A1304D55-69D0-4A79-B006-DB4CA9883EA2}"/>
    <cellStyle name="Normal 3 2 3 2 5 2 5" xfId="39400" xr:uid="{FD249996-1B22-4D8B-9836-CC6E6E1469CC}"/>
    <cellStyle name="Normal 3 2 3 2 5 2 6" xfId="13206" xr:uid="{EE0002C4-3F25-4ACF-A992-0B0DEE044796}"/>
    <cellStyle name="Normal 3 2 3 2 5 3" xfId="5952" xr:uid="{00000000-0005-0000-0000-00009F110000}"/>
    <cellStyle name="Normal 3 2 3 2 5 3 2" xfId="24578" xr:uid="{7D551F2E-F420-4DF1-A5E4-C4BE4361A5C3}"/>
    <cellStyle name="Normal 3 2 3 2 5 3 3" xfId="33025" xr:uid="{C1C65FC6-447A-4CA3-A723-34B9E679074B}"/>
    <cellStyle name="Normal 3 2 3 2 5 3 4" xfId="41472" xr:uid="{D7BD5709-E40F-4675-80CA-6D269DE908F2}"/>
    <cellStyle name="Normal 3 2 3 2 5 3 5" xfId="15278" xr:uid="{675351DE-EA28-4F5E-8C86-E7C9904651EC}"/>
    <cellStyle name="Normal 3 2 3 2 5 4" xfId="20361" xr:uid="{0A94BFCA-744A-48E4-9487-8B17C1E685A7}"/>
    <cellStyle name="Normal 3 2 3 2 5 5" xfId="28808" xr:uid="{85A9E55C-AC5E-4BF2-B236-61A2B2618287}"/>
    <cellStyle name="Normal 3 2 3 2 5 6" xfId="37255" xr:uid="{8849DD55-CCD3-4260-8CE2-7A113C8E1AF6}"/>
    <cellStyle name="Normal 3 2 3 2 5 7" xfId="11061" xr:uid="{363C3922-876C-493E-A582-BF835803973E}"/>
    <cellStyle name="Normal 3 2 3 2 6" xfId="2059" xr:uid="{00000000-0005-0000-0000-0000A0110000}"/>
    <cellStyle name="Normal 3 2 3 2 6 2" xfId="4288" xr:uid="{00000000-0005-0000-0000-0000A1110000}"/>
    <cellStyle name="Normal 3 2 3 2 6 2 2" xfId="8510" xr:uid="{00000000-0005-0000-0000-0000A2110000}"/>
    <cellStyle name="Normal 3 2 3 2 6 2 2 2" xfId="27136" xr:uid="{E637BD2C-6382-448B-9A4A-7EEBA196C2E9}"/>
    <cellStyle name="Normal 3 2 3 2 6 2 2 3" xfId="35583" xr:uid="{06393E68-9DD1-431A-ADB6-E53E9824903B}"/>
    <cellStyle name="Normal 3 2 3 2 6 2 2 4" xfId="44030" xr:uid="{5CCFA135-4899-4BF3-BF9B-E5CADA71A6BD}"/>
    <cellStyle name="Normal 3 2 3 2 6 2 2 5" xfId="17836" xr:uid="{28CA2351-7C7C-49A4-98E3-F9DB2A159C3B}"/>
    <cellStyle name="Normal 3 2 3 2 6 2 3" xfId="22919" xr:uid="{E90DC746-ED52-4446-8430-892CFA1425E3}"/>
    <cellStyle name="Normal 3 2 3 2 6 2 4" xfId="31366" xr:uid="{E020C86C-9980-47A6-B185-78C48B836AC4}"/>
    <cellStyle name="Normal 3 2 3 2 6 2 5" xfId="39813" xr:uid="{46FE7BDC-496C-4617-A207-036C7625F16C}"/>
    <cellStyle name="Normal 3 2 3 2 6 2 6" xfId="13619" xr:uid="{F67C6D88-1FEE-41CD-82D9-53E6E0A2E054}"/>
    <cellStyle name="Normal 3 2 3 2 6 3" xfId="6365" xr:uid="{00000000-0005-0000-0000-0000A3110000}"/>
    <cellStyle name="Normal 3 2 3 2 6 3 2" xfId="24991" xr:uid="{F40E20D7-29F6-46DF-BFD8-184BBB9E7B92}"/>
    <cellStyle name="Normal 3 2 3 2 6 3 3" xfId="33438" xr:uid="{CD1FA0F4-AD22-45B4-BB26-BA41F6BF5ED0}"/>
    <cellStyle name="Normal 3 2 3 2 6 3 4" xfId="41885" xr:uid="{E385204E-EC05-48B6-9255-6E74E45FEAB2}"/>
    <cellStyle name="Normal 3 2 3 2 6 3 5" xfId="15691" xr:uid="{880EAE58-595F-4876-B840-FC0FF3290600}"/>
    <cellStyle name="Normal 3 2 3 2 6 4" xfId="20774" xr:uid="{9FBD45C0-12F1-4879-8F0D-B238C7F73E81}"/>
    <cellStyle name="Normal 3 2 3 2 6 5" xfId="29221" xr:uid="{EE967EB0-571C-4A1B-94AE-66F3993EFB87}"/>
    <cellStyle name="Normal 3 2 3 2 6 6" xfId="37668" xr:uid="{4911498F-B2B7-4D9A-ADD9-2375C3E4424E}"/>
    <cellStyle name="Normal 3 2 3 2 6 7" xfId="11474" xr:uid="{264B555D-C2B4-4AA7-8381-D3CE0D0AF4B5}"/>
    <cellStyle name="Normal 3 2 3 2 7" xfId="2495" xr:uid="{00000000-0005-0000-0000-0000A4110000}"/>
    <cellStyle name="Normal 3 2 3 2 7 2" xfId="6778" xr:uid="{00000000-0005-0000-0000-0000A5110000}"/>
    <cellStyle name="Normal 3 2 3 2 7 2 2" xfId="25404" xr:uid="{0EC7E49F-C8AD-4C50-82E2-2991BDDD70C8}"/>
    <cellStyle name="Normal 3 2 3 2 7 2 3" xfId="33851" xr:uid="{BCCDB3FB-11C0-4AEF-9FB2-4507E1A2362A}"/>
    <cellStyle name="Normal 3 2 3 2 7 2 4" xfId="42298" xr:uid="{C877045C-3E22-44CE-B4A2-1FC39DBE49EC}"/>
    <cellStyle name="Normal 3 2 3 2 7 2 5" xfId="16104" xr:uid="{4E0E849D-1E47-4D9E-BBA0-AD4DC4C1B436}"/>
    <cellStyle name="Normal 3 2 3 2 7 3" xfId="21187" xr:uid="{2CA6FD84-AD0F-4AA3-9DFA-CB591C41A814}"/>
    <cellStyle name="Normal 3 2 3 2 7 4" xfId="29634" xr:uid="{AF4EAF8E-AB8A-408C-9FFE-EB7C56FB6915}"/>
    <cellStyle name="Normal 3 2 3 2 7 5" xfId="38081" xr:uid="{00768958-2019-43C9-93E9-84094C9246FC}"/>
    <cellStyle name="Normal 3 2 3 2 7 6" xfId="11887" xr:uid="{492BFCF9-9F42-448A-849D-0CCF2A3CB1A5}"/>
    <cellStyle name="Normal 3 2 3 2 8" xfId="4712" xr:uid="{00000000-0005-0000-0000-0000A6110000}"/>
    <cellStyle name="Normal 3 2 3 2 8 2" xfId="23338" xr:uid="{B070C5ED-873E-4CC0-A101-3D1F17755890}"/>
    <cellStyle name="Normal 3 2 3 2 8 3" xfId="31785" xr:uid="{43FFAB56-ECB8-412F-B6A1-79E1AAE16413}"/>
    <cellStyle name="Normal 3 2 3 2 8 4" xfId="40232" xr:uid="{9D5EAE11-FE7A-4D58-8D10-976668723ED5}"/>
    <cellStyle name="Normal 3 2 3 2 8 5" xfId="14038" xr:uid="{B132561F-73B7-41CD-8C03-FAC307259500}"/>
    <cellStyle name="Normal 3 2 3 2 9" xfId="8920" xr:uid="{D9E0825A-068A-435C-BDBE-2C0571A11FAF}"/>
    <cellStyle name="Normal 3 2 3 2 9 2" xfId="18244" xr:uid="{FBA61793-9BC8-475B-BCBE-8AAEF272389C}"/>
    <cellStyle name="Normal 3 2 3 3" xfId="329" xr:uid="{00000000-0005-0000-0000-0000A7110000}"/>
    <cellStyle name="Normal 3 2 3 3 10" xfId="27570" xr:uid="{D56D74CD-0596-4F23-9802-4C3E4B04E6E1}"/>
    <cellStyle name="Normal 3 2 3 3 11" xfId="36017" xr:uid="{B21228A3-427D-4A7F-9D22-E50818343B75}"/>
    <cellStyle name="Normal 3 2 3 3 12" xfId="9823" xr:uid="{DE5B73B9-8DE6-4FD7-9C77-E80E2CDBC5E6}"/>
    <cellStyle name="Normal 3 2 3 3 2" xfId="814" xr:uid="{00000000-0005-0000-0000-0000A8110000}"/>
    <cellStyle name="Normal 3 2 3 3 2 2" xfId="3051" xr:uid="{00000000-0005-0000-0000-0000A9110000}"/>
    <cellStyle name="Normal 3 2 3 3 2 2 2" xfId="7273" xr:uid="{00000000-0005-0000-0000-0000AA110000}"/>
    <cellStyle name="Normal 3 2 3 3 2 2 2 2" xfId="25899" xr:uid="{8C7105B1-B6EA-43B7-B788-DD679C579723}"/>
    <cellStyle name="Normal 3 2 3 3 2 2 2 3" xfId="34346" xr:uid="{A3021735-FACC-4C74-9D65-CF06CA44B918}"/>
    <cellStyle name="Normal 3 2 3 3 2 2 2 4" xfId="42793" xr:uid="{6D441D25-B7E2-4391-A73B-A4B6734B89DB}"/>
    <cellStyle name="Normal 3 2 3 3 2 2 2 5" xfId="16599" xr:uid="{5011D9DC-A8E5-4ACA-95C0-53E3D375ECE7}"/>
    <cellStyle name="Normal 3 2 3 3 2 2 3" xfId="21682" xr:uid="{DA94B4F7-C99D-4DC7-A1DC-48C56B3AD359}"/>
    <cellStyle name="Normal 3 2 3 3 2 2 4" xfId="30129" xr:uid="{EC3FC7E8-00F7-444B-A8CB-DB40DB104763}"/>
    <cellStyle name="Normal 3 2 3 3 2 2 5" xfId="38576" xr:uid="{C19CA152-89B5-46A7-8957-6BE7652BA6FA}"/>
    <cellStyle name="Normal 3 2 3 3 2 2 6" xfId="12382" xr:uid="{D77CF436-88C0-43EB-9139-DAB49F5B8B4E}"/>
    <cellStyle name="Normal 3 2 3 3 2 3" xfId="5128" xr:uid="{00000000-0005-0000-0000-0000AB110000}"/>
    <cellStyle name="Normal 3 2 3 3 2 3 2" xfId="23754" xr:uid="{4AB57AD3-E196-461D-B6D7-009FDD2002C3}"/>
    <cellStyle name="Normal 3 2 3 3 2 3 3" xfId="32201" xr:uid="{D428D8EF-0A1F-4FAE-9AC4-9221F2A35C37}"/>
    <cellStyle name="Normal 3 2 3 3 2 3 4" xfId="40648" xr:uid="{785AA919-E9BB-4F66-8234-24ADB9D58BD0}"/>
    <cellStyle name="Normal 3 2 3 3 2 3 5" xfId="14454" xr:uid="{8084641D-E98F-4B03-8969-228409B2F46F}"/>
    <cellStyle name="Normal 3 2 3 3 2 4" xfId="9449" xr:uid="{7F58A2DC-DF16-44D1-8D09-04DD41EF4468}"/>
    <cellStyle name="Normal 3 2 3 3 2 4 2" xfId="18765" xr:uid="{38D4F935-DBF3-4AB5-A2D6-3B94DAE46EC1}"/>
    <cellStyle name="Normal 3 2 3 3 2 5" xfId="19537" xr:uid="{788F109E-6633-4C4A-B7AF-A5BBF5C5F302}"/>
    <cellStyle name="Normal 3 2 3 3 2 6" xfId="27984" xr:uid="{BB5D79DD-3CD6-4CD1-9BAF-944D21EDC95A}"/>
    <cellStyle name="Normal 3 2 3 3 2 7" xfId="36431" xr:uid="{8D6A4A5A-D340-4ED5-910C-5D659A2EB1A4}"/>
    <cellStyle name="Normal 3 2 3 3 2 8" xfId="10237" xr:uid="{89145084-EE54-41CA-8FBB-B36F28A82ECC}"/>
    <cellStyle name="Normal 3 2 3 3 3" xfId="1234" xr:uid="{00000000-0005-0000-0000-0000AC110000}"/>
    <cellStyle name="Normal 3 2 3 3 3 2" xfId="3464" xr:uid="{00000000-0005-0000-0000-0000AD110000}"/>
    <cellStyle name="Normal 3 2 3 3 3 2 2" xfId="7686" xr:uid="{00000000-0005-0000-0000-0000AE110000}"/>
    <cellStyle name="Normal 3 2 3 3 3 2 2 2" xfId="26312" xr:uid="{FC5BCBB1-72D9-487B-B745-73F908A75AF0}"/>
    <cellStyle name="Normal 3 2 3 3 3 2 2 3" xfId="34759" xr:uid="{B5B6B990-BB37-4510-B479-C4B5C418925D}"/>
    <cellStyle name="Normal 3 2 3 3 3 2 2 4" xfId="43206" xr:uid="{547BAA82-73D4-4393-8F45-F30DFB20E2F3}"/>
    <cellStyle name="Normal 3 2 3 3 3 2 2 5" xfId="17012" xr:uid="{6170DF14-0D4D-4A19-9BBC-2EF30730B742}"/>
    <cellStyle name="Normal 3 2 3 3 3 2 3" xfId="22095" xr:uid="{D40E756F-F142-46B7-AA48-F0DBA451DB95}"/>
    <cellStyle name="Normal 3 2 3 3 3 2 4" xfId="30542" xr:uid="{D14E5D81-5EE7-4A14-8E07-4DA692CC6A59}"/>
    <cellStyle name="Normal 3 2 3 3 3 2 5" xfId="38989" xr:uid="{D508B966-6CE3-45FE-B66E-688DF9A846B0}"/>
    <cellStyle name="Normal 3 2 3 3 3 2 6" xfId="12795" xr:uid="{F7859D7B-6AAA-48BE-8C0B-DE1E46386CB1}"/>
    <cellStyle name="Normal 3 2 3 3 3 3" xfId="5541" xr:uid="{00000000-0005-0000-0000-0000AF110000}"/>
    <cellStyle name="Normal 3 2 3 3 3 3 2" xfId="24167" xr:uid="{A9AD3EC4-31B1-4433-A4CF-B59E2861E002}"/>
    <cellStyle name="Normal 3 2 3 3 3 3 3" xfId="32614" xr:uid="{2D664704-ADF6-4069-881A-A20D53206031}"/>
    <cellStyle name="Normal 3 2 3 3 3 3 4" xfId="41061" xr:uid="{FB45B346-8FF4-4B2D-B239-96A60C67645C}"/>
    <cellStyle name="Normal 3 2 3 3 3 3 5" xfId="14867" xr:uid="{058D04CA-AD08-48C4-ABD2-A36E0FD5560C}"/>
    <cellStyle name="Normal 3 2 3 3 3 4" xfId="19950" xr:uid="{98713EBA-C8D2-4FA3-852D-5738D72B12A0}"/>
    <cellStyle name="Normal 3 2 3 3 3 5" xfId="28397" xr:uid="{E860C7F8-070E-489A-892C-5C39FF65D58F}"/>
    <cellStyle name="Normal 3 2 3 3 3 6" xfId="36844" xr:uid="{20C18B24-8E72-4474-A4A1-E805EFA80CC0}"/>
    <cellStyle name="Normal 3 2 3 3 3 7" xfId="10650" xr:uid="{410C3D39-A047-46F2-888F-6F77CD6B85BC}"/>
    <cellStyle name="Normal 3 2 3 3 4" xfId="1647" xr:uid="{00000000-0005-0000-0000-0000B0110000}"/>
    <cellStyle name="Normal 3 2 3 3 4 2" xfId="3877" xr:uid="{00000000-0005-0000-0000-0000B1110000}"/>
    <cellStyle name="Normal 3 2 3 3 4 2 2" xfId="8099" xr:uid="{00000000-0005-0000-0000-0000B2110000}"/>
    <cellStyle name="Normal 3 2 3 3 4 2 2 2" xfId="26725" xr:uid="{9110683F-2E67-4873-8187-0D36558DCE63}"/>
    <cellStyle name="Normal 3 2 3 3 4 2 2 3" xfId="35172" xr:uid="{C725B58D-5240-41AA-894A-8F6E616FEA67}"/>
    <cellStyle name="Normal 3 2 3 3 4 2 2 4" xfId="43619" xr:uid="{CD36F553-29C3-4A40-94D6-D252D505CAFE}"/>
    <cellStyle name="Normal 3 2 3 3 4 2 2 5" xfId="17425" xr:uid="{8CDA1384-24D6-430D-97B1-800EF374E68E}"/>
    <cellStyle name="Normal 3 2 3 3 4 2 3" xfId="22508" xr:uid="{F0E44872-85DF-4BF5-875D-88554278B4C4}"/>
    <cellStyle name="Normal 3 2 3 3 4 2 4" xfId="30955" xr:uid="{B38C38AB-E3AB-4DB5-BEB2-BA2737B24BC7}"/>
    <cellStyle name="Normal 3 2 3 3 4 2 5" xfId="39402" xr:uid="{F67363BF-E36F-462E-8817-37D5244CA6B1}"/>
    <cellStyle name="Normal 3 2 3 3 4 2 6" xfId="13208" xr:uid="{6F9EAE8A-41F2-41B2-A868-A5224D590D69}"/>
    <cellStyle name="Normal 3 2 3 3 4 3" xfId="5954" xr:uid="{00000000-0005-0000-0000-0000B3110000}"/>
    <cellStyle name="Normal 3 2 3 3 4 3 2" xfId="24580" xr:uid="{C20CC38F-34C7-4121-A56C-E847427E3A80}"/>
    <cellStyle name="Normal 3 2 3 3 4 3 3" xfId="33027" xr:uid="{DA912791-4415-493B-8EC6-CE3C3E9B3724}"/>
    <cellStyle name="Normal 3 2 3 3 4 3 4" xfId="41474" xr:uid="{5457B61C-FD94-4E85-A801-C9949AF1D8BC}"/>
    <cellStyle name="Normal 3 2 3 3 4 3 5" xfId="15280" xr:uid="{3D13957D-D247-48E2-95B3-F4411BE3F238}"/>
    <cellStyle name="Normal 3 2 3 3 4 4" xfId="20363" xr:uid="{C669E29D-A221-421A-A023-8CCD251B40D7}"/>
    <cellStyle name="Normal 3 2 3 3 4 5" xfId="28810" xr:uid="{678C1BB3-66EA-479E-B949-5DB010AE56E0}"/>
    <cellStyle name="Normal 3 2 3 3 4 6" xfId="37257" xr:uid="{3332FD27-CC2B-4B20-8432-88AF958D55D9}"/>
    <cellStyle name="Normal 3 2 3 3 4 7" xfId="11063" xr:uid="{DB22FE3B-6B7E-4C8E-95CB-8FE6DCE10A1D}"/>
    <cellStyle name="Normal 3 2 3 3 5" xfId="2061" xr:uid="{00000000-0005-0000-0000-0000B4110000}"/>
    <cellStyle name="Normal 3 2 3 3 5 2" xfId="4290" xr:uid="{00000000-0005-0000-0000-0000B5110000}"/>
    <cellStyle name="Normal 3 2 3 3 5 2 2" xfId="8512" xr:uid="{00000000-0005-0000-0000-0000B6110000}"/>
    <cellStyle name="Normal 3 2 3 3 5 2 2 2" xfId="27138" xr:uid="{2C69432C-3183-4087-8199-94579B0DD807}"/>
    <cellStyle name="Normal 3 2 3 3 5 2 2 3" xfId="35585" xr:uid="{7863CD74-CBBA-402A-84DD-B8D124D068DC}"/>
    <cellStyle name="Normal 3 2 3 3 5 2 2 4" xfId="44032" xr:uid="{741EFD9E-92EF-48D6-B458-F204E53D7A67}"/>
    <cellStyle name="Normal 3 2 3 3 5 2 2 5" xfId="17838" xr:uid="{C8415FD2-6498-4781-B76D-59CE64B94973}"/>
    <cellStyle name="Normal 3 2 3 3 5 2 3" xfId="22921" xr:uid="{D1A898A6-764D-4274-B6AA-ACB228EC7496}"/>
    <cellStyle name="Normal 3 2 3 3 5 2 4" xfId="31368" xr:uid="{099C468A-6DD7-4648-A623-F79BDB39CE2A}"/>
    <cellStyle name="Normal 3 2 3 3 5 2 5" xfId="39815" xr:uid="{2B300616-B0B9-4D3C-82F6-9045E2A9CAE6}"/>
    <cellStyle name="Normal 3 2 3 3 5 2 6" xfId="13621" xr:uid="{17BFF90E-9456-4731-A744-D1AF0DC24BAB}"/>
    <cellStyle name="Normal 3 2 3 3 5 3" xfId="6367" xr:uid="{00000000-0005-0000-0000-0000B7110000}"/>
    <cellStyle name="Normal 3 2 3 3 5 3 2" xfId="24993" xr:uid="{864FFD40-555F-4706-A595-EEEA4C374053}"/>
    <cellStyle name="Normal 3 2 3 3 5 3 3" xfId="33440" xr:uid="{CF8AC0C7-5203-4286-83D9-A112403E8076}"/>
    <cellStyle name="Normal 3 2 3 3 5 3 4" xfId="41887" xr:uid="{F8753989-42A8-4A1A-AD21-16C117521F4B}"/>
    <cellStyle name="Normal 3 2 3 3 5 3 5" xfId="15693" xr:uid="{05B3FEF7-9400-4AFE-8193-B20E19574A14}"/>
    <cellStyle name="Normal 3 2 3 3 5 4" xfId="20776" xr:uid="{0440E504-C8D2-4D08-84AC-8E1A8C4DBD96}"/>
    <cellStyle name="Normal 3 2 3 3 5 5" xfId="29223" xr:uid="{AA035E48-71E0-4730-A0DE-A141FD3D5945}"/>
    <cellStyle name="Normal 3 2 3 3 5 6" xfId="37670" xr:uid="{86CD593A-C647-46BE-A226-1E8B6A2B1BA3}"/>
    <cellStyle name="Normal 3 2 3 3 5 7" xfId="11476" xr:uid="{1D5DDCB6-3F94-4776-A667-4B1C3CF45572}"/>
    <cellStyle name="Normal 3 2 3 3 6" xfId="2497" xr:uid="{00000000-0005-0000-0000-0000B8110000}"/>
    <cellStyle name="Normal 3 2 3 3 6 2" xfId="6780" xr:uid="{00000000-0005-0000-0000-0000B9110000}"/>
    <cellStyle name="Normal 3 2 3 3 6 2 2" xfId="25406" xr:uid="{ECF01E8B-A44F-41C6-88B4-CBB6EF03B99D}"/>
    <cellStyle name="Normal 3 2 3 3 6 2 3" xfId="33853" xr:uid="{7D9C6FD4-658D-4399-92B4-A6158D229E6B}"/>
    <cellStyle name="Normal 3 2 3 3 6 2 4" xfId="42300" xr:uid="{D1E911DD-B315-4FE7-B4B5-A6D45EE73F61}"/>
    <cellStyle name="Normal 3 2 3 3 6 2 5" xfId="16106" xr:uid="{812EF85B-EEA1-4972-AFA5-7D3AF7E39552}"/>
    <cellStyle name="Normal 3 2 3 3 6 3" xfId="21189" xr:uid="{2BBB735B-267A-4F98-8856-F0E0B5A85373}"/>
    <cellStyle name="Normal 3 2 3 3 6 4" xfId="29636" xr:uid="{8BEECA68-AF2E-4830-BF57-3D76D744EFEE}"/>
    <cellStyle name="Normal 3 2 3 3 6 5" xfId="38083" xr:uid="{0E174799-C242-413D-9D1F-7BC04AEDDD2F}"/>
    <cellStyle name="Normal 3 2 3 3 6 6" xfId="11889" xr:uid="{31B13866-EB6A-4E33-9C70-3F61CB75EAB0}"/>
    <cellStyle name="Normal 3 2 3 3 7" xfId="4714" xr:uid="{00000000-0005-0000-0000-0000BA110000}"/>
    <cellStyle name="Normal 3 2 3 3 7 2" xfId="23340" xr:uid="{1BDD8834-C0DC-4060-903F-829674565A40}"/>
    <cellStyle name="Normal 3 2 3 3 7 3" xfId="31787" xr:uid="{8B11CABF-F0AD-470F-9144-E5D6A2C9F058}"/>
    <cellStyle name="Normal 3 2 3 3 7 4" xfId="40234" xr:uid="{7DB2247F-F9A2-4B08-939D-EB1E528BE593}"/>
    <cellStyle name="Normal 3 2 3 3 7 5" xfId="14040" xr:uid="{5941028B-B776-405B-B7C4-2CADAEE89D53}"/>
    <cellStyle name="Normal 3 2 3 3 8" xfId="9024" xr:uid="{AE2F680F-18A3-47B5-ADCF-6BEAD71D50CE}"/>
    <cellStyle name="Normal 3 2 3 3 8 2" xfId="18348" xr:uid="{1A605679-12D2-4B43-BDBC-E58C5CB67381}"/>
    <cellStyle name="Normal 3 2 3 3 9" xfId="19123" xr:uid="{56D79D4E-8E92-4402-97DD-5631E773A4EB}"/>
    <cellStyle name="Normal 3 2 3 4" xfId="811" xr:uid="{00000000-0005-0000-0000-0000BB110000}"/>
    <cellStyle name="Normal 3 2 3 4 2" xfId="3048" xr:uid="{00000000-0005-0000-0000-0000BC110000}"/>
    <cellStyle name="Normal 3 2 3 4 2 2" xfId="7270" xr:uid="{00000000-0005-0000-0000-0000BD110000}"/>
    <cellStyle name="Normal 3 2 3 4 2 2 2" xfId="25896" xr:uid="{7DDC00E9-FC69-4352-9EAF-A08229206ECB}"/>
    <cellStyle name="Normal 3 2 3 4 2 2 3" xfId="34343" xr:uid="{90BF5ED7-EC6F-494A-9804-CCA8C0ACE234}"/>
    <cellStyle name="Normal 3 2 3 4 2 2 4" xfId="42790" xr:uid="{B72A2745-5D96-427F-BC33-93661FEC35B6}"/>
    <cellStyle name="Normal 3 2 3 4 2 2 5" xfId="16596" xr:uid="{0E526A3E-34DB-483C-B1BB-E10E76CC6E35}"/>
    <cellStyle name="Normal 3 2 3 4 2 3" xfId="21679" xr:uid="{62BF6129-3BFF-4414-9FFA-F4817C9FF993}"/>
    <cellStyle name="Normal 3 2 3 4 2 4" xfId="30126" xr:uid="{5DC6351B-2AB4-42D4-B3F1-A9D746CD7C9D}"/>
    <cellStyle name="Normal 3 2 3 4 2 5" xfId="38573" xr:uid="{582C98B6-99EA-4466-87BA-DAE14A973620}"/>
    <cellStyle name="Normal 3 2 3 4 2 6" xfId="12379" xr:uid="{4F643B64-6128-4FAA-AD06-1050B68242C0}"/>
    <cellStyle name="Normal 3 2 3 4 3" xfId="5125" xr:uid="{00000000-0005-0000-0000-0000BE110000}"/>
    <cellStyle name="Normal 3 2 3 4 3 2" xfId="23751" xr:uid="{BE206860-D9A1-415F-A56C-DCEE4B09F390}"/>
    <cellStyle name="Normal 3 2 3 4 3 3" xfId="32198" xr:uid="{8075B5DA-DB86-4055-B761-AD988BB87583}"/>
    <cellStyle name="Normal 3 2 3 4 3 4" xfId="40645" xr:uid="{74255ADB-0099-499B-A701-20BBBE7917F6}"/>
    <cellStyle name="Normal 3 2 3 4 3 5" xfId="14451" xr:uid="{ED68BDE9-8A61-43A9-BD80-4105BF2DDFD5}"/>
    <cellStyle name="Normal 3 2 3 4 4" xfId="9242" xr:uid="{05AEEDFF-7EEB-40DB-B13D-145C971A771B}"/>
    <cellStyle name="Normal 3 2 3 4 4 2" xfId="18558" xr:uid="{DA1D4C64-EA43-4748-9188-B83F58FF764B}"/>
    <cellStyle name="Normal 3 2 3 4 5" xfId="19534" xr:uid="{5DF96427-E2C9-4FE0-BF4E-4C9387BD3045}"/>
    <cellStyle name="Normal 3 2 3 4 6" xfId="27981" xr:uid="{435EF0F3-E6F4-4BC5-98C2-271F2BA9514D}"/>
    <cellStyle name="Normal 3 2 3 4 7" xfId="36428" xr:uid="{0BEC4E5A-CCE1-4481-BB23-4FE768ADBA6E}"/>
    <cellStyle name="Normal 3 2 3 4 8" xfId="10234" xr:uid="{A6221CB1-7FC6-4EA9-AAEB-EDBFC087501C}"/>
    <cellStyle name="Normal 3 2 3 5" xfId="1231" xr:uid="{00000000-0005-0000-0000-0000BF110000}"/>
    <cellStyle name="Normal 3 2 3 5 2" xfId="3461" xr:uid="{00000000-0005-0000-0000-0000C0110000}"/>
    <cellStyle name="Normal 3 2 3 5 2 2" xfId="7683" xr:uid="{00000000-0005-0000-0000-0000C1110000}"/>
    <cellStyle name="Normal 3 2 3 5 2 2 2" xfId="26309" xr:uid="{915BB21D-BE15-417D-BBD1-80E8D9CEA4FF}"/>
    <cellStyle name="Normal 3 2 3 5 2 2 3" xfId="34756" xr:uid="{EFEC1524-F614-417B-9F2D-5175923F1F9A}"/>
    <cellStyle name="Normal 3 2 3 5 2 2 4" xfId="43203" xr:uid="{C9880F32-BEEE-4142-B48D-D467E429E4B5}"/>
    <cellStyle name="Normal 3 2 3 5 2 2 5" xfId="17009" xr:uid="{24152BBA-4618-4A59-B665-CDE8C2C24A35}"/>
    <cellStyle name="Normal 3 2 3 5 2 3" xfId="22092" xr:uid="{B5E2DA66-56A2-460C-9C0B-F4ACD63F5399}"/>
    <cellStyle name="Normal 3 2 3 5 2 4" xfId="30539" xr:uid="{F34BB37A-1F9D-48D8-9803-65B8CD584CC7}"/>
    <cellStyle name="Normal 3 2 3 5 2 5" xfId="38986" xr:uid="{C78D90EA-F097-4A6C-8F75-B64AD610331A}"/>
    <cellStyle name="Normal 3 2 3 5 2 6" xfId="12792" xr:uid="{9835C241-60E1-428A-965A-8ABF9E21E741}"/>
    <cellStyle name="Normal 3 2 3 5 3" xfId="5538" xr:uid="{00000000-0005-0000-0000-0000C2110000}"/>
    <cellStyle name="Normal 3 2 3 5 3 2" xfId="24164" xr:uid="{CAAB08FE-7765-4F7D-A03B-E6BD9681D5B2}"/>
    <cellStyle name="Normal 3 2 3 5 3 3" xfId="32611" xr:uid="{A6BA41A9-60A0-4FA3-B63D-DFF5117A899E}"/>
    <cellStyle name="Normal 3 2 3 5 3 4" xfId="41058" xr:uid="{590E65D4-3200-4264-A83A-898E5E5F4A7C}"/>
    <cellStyle name="Normal 3 2 3 5 3 5" xfId="14864" xr:uid="{C7A6FCE7-0BC4-401D-8BDB-0F81FB583A9F}"/>
    <cellStyle name="Normal 3 2 3 5 4" xfId="19947" xr:uid="{CE461599-2725-4549-B0D0-2049E651F125}"/>
    <cellStyle name="Normal 3 2 3 5 5" xfId="28394" xr:uid="{C68EE453-B0E8-4BA7-9A62-02FF53EC4806}"/>
    <cellStyle name="Normal 3 2 3 5 6" xfId="36841" xr:uid="{9C72E533-B00C-4192-A9A0-1322921958E3}"/>
    <cellStyle name="Normal 3 2 3 5 7" xfId="10647" xr:uid="{CAF1C418-FC8A-4F83-9A38-068938D30B72}"/>
    <cellStyle name="Normal 3 2 3 6" xfId="1644" xr:uid="{00000000-0005-0000-0000-0000C3110000}"/>
    <cellStyle name="Normal 3 2 3 6 2" xfId="3874" xr:uid="{00000000-0005-0000-0000-0000C4110000}"/>
    <cellStyle name="Normal 3 2 3 6 2 2" xfId="8096" xr:uid="{00000000-0005-0000-0000-0000C5110000}"/>
    <cellStyle name="Normal 3 2 3 6 2 2 2" xfId="26722" xr:uid="{0C17B9FB-9802-4D5B-98C2-F8D253D0EDEA}"/>
    <cellStyle name="Normal 3 2 3 6 2 2 3" xfId="35169" xr:uid="{DD04FA9A-B103-4F6D-8BD8-9C02CBD7AF2B}"/>
    <cellStyle name="Normal 3 2 3 6 2 2 4" xfId="43616" xr:uid="{1A82E572-8575-489E-B9AD-5F443169A064}"/>
    <cellStyle name="Normal 3 2 3 6 2 2 5" xfId="17422" xr:uid="{348F7FE7-CB5F-4D90-B526-E185E1FB7F83}"/>
    <cellStyle name="Normal 3 2 3 6 2 3" xfId="22505" xr:uid="{61473BB6-1221-4D7C-B750-1329ED670468}"/>
    <cellStyle name="Normal 3 2 3 6 2 4" xfId="30952" xr:uid="{23B2F032-8C4B-4D5C-A5E2-B88ED174EB24}"/>
    <cellStyle name="Normal 3 2 3 6 2 5" xfId="39399" xr:uid="{6F7400F5-35DB-48CC-B0A3-F24FE907EA47}"/>
    <cellStyle name="Normal 3 2 3 6 2 6" xfId="13205" xr:uid="{04CDE139-BF87-411A-A1EA-0B74DF5EF049}"/>
    <cellStyle name="Normal 3 2 3 6 3" xfId="5951" xr:uid="{00000000-0005-0000-0000-0000C6110000}"/>
    <cellStyle name="Normal 3 2 3 6 3 2" xfId="24577" xr:uid="{3B973FD0-75D3-44BA-9639-0D0B0F9360F4}"/>
    <cellStyle name="Normal 3 2 3 6 3 3" xfId="33024" xr:uid="{272606A3-35DD-49F7-A017-505E012C42AC}"/>
    <cellStyle name="Normal 3 2 3 6 3 4" xfId="41471" xr:uid="{08074FB6-8AD4-494C-BD5B-44E6C0BA64CC}"/>
    <cellStyle name="Normal 3 2 3 6 3 5" xfId="15277" xr:uid="{17D8EEDA-4C93-4DB0-912A-E2656FCF8A69}"/>
    <cellStyle name="Normal 3 2 3 6 4" xfId="20360" xr:uid="{07E04BE7-1093-4CE5-9EEB-E0EAD8173D52}"/>
    <cellStyle name="Normal 3 2 3 6 5" xfId="28807" xr:uid="{47E50718-6DF8-450B-931E-3BE24A5379D4}"/>
    <cellStyle name="Normal 3 2 3 6 6" xfId="37254" xr:uid="{4E3598B5-264B-4D3A-8817-CB57F91FB834}"/>
    <cellStyle name="Normal 3 2 3 6 7" xfId="11060" xr:uid="{FA515697-E1E3-4091-AD2C-F7E94166372E}"/>
    <cellStyle name="Normal 3 2 3 7" xfId="2058" xr:uid="{00000000-0005-0000-0000-0000C7110000}"/>
    <cellStyle name="Normal 3 2 3 7 2" xfId="4287" xr:uid="{00000000-0005-0000-0000-0000C8110000}"/>
    <cellStyle name="Normal 3 2 3 7 2 2" xfId="8509" xr:uid="{00000000-0005-0000-0000-0000C9110000}"/>
    <cellStyle name="Normal 3 2 3 7 2 2 2" xfId="27135" xr:uid="{B6452420-1A07-4FBE-B339-5AB62B333D74}"/>
    <cellStyle name="Normal 3 2 3 7 2 2 3" xfId="35582" xr:uid="{78ACCF46-50EE-4732-AD78-A07DBC32F669}"/>
    <cellStyle name="Normal 3 2 3 7 2 2 4" xfId="44029" xr:uid="{54E380DC-4DF3-49F5-AA33-210061724E3A}"/>
    <cellStyle name="Normal 3 2 3 7 2 2 5" xfId="17835" xr:uid="{C2945492-A648-46B7-96E6-8564DC20236D}"/>
    <cellStyle name="Normal 3 2 3 7 2 3" xfId="22918" xr:uid="{4E1621E3-7C6E-4F5C-A5C1-25D61F284BB7}"/>
    <cellStyle name="Normal 3 2 3 7 2 4" xfId="31365" xr:uid="{0FDC87D1-DAF2-47EE-BF65-AA74E236D63B}"/>
    <cellStyle name="Normal 3 2 3 7 2 5" xfId="39812" xr:uid="{163E594E-6FD7-4C08-AC31-F474D1A599B0}"/>
    <cellStyle name="Normal 3 2 3 7 2 6" xfId="13618" xr:uid="{B50901F9-3AFB-4401-8E16-57B8CC7A6C7D}"/>
    <cellStyle name="Normal 3 2 3 7 3" xfId="6364" xr:uid="{00000000-0005-0000-0000-0000CA110000}"/>
    <cellStyle name="Normal 3 2 3 7 3 2" xfId="24990" xr:uid="{49466615-3DDC-4AC8-B139-852853852F9B}"/>
    <cellStyle name="Normal 3 2 3 7 3 3" xfId="33437" xr:uid="{DDE73180-B56C-436C-99F7-CF6A8F010DDC}"/>
    <cellStyle name="Normal 3 2 3 7 3 4" xfId="41884" xr:uid="{140ABEA8-57D2-46F9-A0AE-526C07BA8A98}"/>
    <cellStyle name="Normal 3 2 3 7 3 5" xfId="15690" xr:uid="{4BC1A1E8-4850-40F7-A0F7-1AB21483F7B4}"/>
    <cellStyle name="Normal 3 2 3 7 4" xfId="20773" xr:uid="{7F3A528F-ED21-4F6C-B191-D70688A22EF4}"/>
    <cellStyle name="Normal 3 2 3 7 5" xfId="29220" xr:uid="{24165C60-6D71-4A47-B02F-A64CB7F6287F}"/>
    <cellStyle name="Normal 3 2 3 7 6" xfId="37667" xr:uid="{13AAE464-F847-4911-BCA8-632E6F56675B}"/>
    <cellStyle name="Normal 3 2 3 7 7" xfId="11473" xr:uid="{78CAEEAA-BE5B-4E15-A53A-2BA7F613FA17}"/>
    <cellStyle name="Normal 3 2 3 8" xfId="2494" xr:uid="{00000000-0005-0000-0000-0000CB110000}"/>
    <cellStyle name="Normal 3 2 3 8 2" xfId="6777" xr:uid="{00000000-0005-0000-0000-0000CC110000}"/>
    <cellStyle name="Normal 3 2 3 8 2 2" xfId="25403" xr:uid="{BADE7B48-34FB-4FD4-A00A-0A7FC36C3391}"/>
    <cellStyle name="Normal 3 2 3 8 2 3" xfId="33850" xr:uid="{4FCC82AB-8947-4970-B152-EA8291B533C1}"/>
    <cellStyle name="Normal 3 2 3 8 2 4" xfId="42297" xr:uid="{B0664D9D-EC56-4531-9CDD-FC2FC49BB889}"/>
    <cellStyle name="Normal 3 2 3 8 2 5" xfId="16103" xr:uid="{721DEC93-3527-4A56-8EB2-2A85AB24803C}"/>
    <cellStyle name="Normal 3 2 3 8 3" xfId="21186" xr:uid="{5C98DCD4-D598-4F15-8736-A7B16BBDCB91}"/>
    <cellStyle name="Normal 3 2 3 8 4" xfId="29633" xr:uid="{8458BC9E-C58F-4560-9DAB-B5886A23E682}"/>
    <cellStyle name="Normal 3 2 3 8 5" xfId="38080" xr:uid="{204A0CDE-18CE-46E7-8A95-6112D6B06D83}"/>
    <cellStyle name="Normal 3 2 3 8 6" xfId="11886" xr:uid="{DD31F2CE-325C-458D-B404-645526D9A4AC}"/>
    <cellStyle name="Normal 3 2 3 9" xfId="4711" xr:uid="{00000000-0005-0000-0000-0000CD110000}"/>
    <cellStyle name="Normal 3 2 3 9 2" xfId="23337" xr:uid="{8C3FD59B-F411-4CBC-9057-3343A50D87C7}"/>
    <cellStyle name="Normal 3 2 3 9 3" xfId="31784" xr:uid="{046C8B02-5C1F-4A9B-A3E8-50D9448B4079}"/>
    <cellStyle name="Normal 3 2 3 9 4" xfId="40231" xr:uid="{447352AD-FF08-45E4-9379-9690E17973BF}"/>
    <cellStyle name="Normal 3 2 3 9 5" xfId="14037" xr:uid="{BBE810D0-AB8E-45D4-A05D-A7622C848846}"/>
    <cellStyle name="Normal 3 2 4" xfId="809" xr:uid="{00000000-0005-0000-0000-0000CE110000}"/>
    <cellStyle name="Normal 3 2 4 2" xfId="3047" xr:uid="{00000000-0005-0000-0000-0000CF110000}"/>
    <cellStyle name="Normal 3 2 4 2 2" xfId="7269" xr:uid="{00000000-0005-0000-0000-0000D0110000}"/>
    <cellStyle name="Normal 3 2 4 2 2 2" xfId="25895" xr:uid="{7CCEFEF6-7FB1-44E2-BE69-7E6B2140B49B}"/>
    <cellStyle name="Normal 3 2 4 2 2 3" xfId="34342" xr:uid="{488EAC65-3295-44FB-8900-FAC7C4E4AD57}"/>
    <cellStyle name="Normal 3 2 4 2 2 4" xfId="42789" xr:uid="{EF9DED80-87E7-4E92-8450-30ED5D6B8ACA}"/>
    <cellStyle name="Normal 3 2 4 2 2 5" xfId="16595" xr:uid="{281786F0-E0D4-4C5D-B84B-667548E444D3}"/>
    <cellStyle name="Normal 3 2 4 2 3" xfId="21678" xr:uid="{C58C6730-F402-4EFD-B11B-98BED1DDD502}"/>
    <cellStyle name="Normal 3 2 4 2 4" xfId="30125" xr:uid="{607B6C49-AE94-4904-BEDB-B8600CA6E893}"/>
    <cellStyle name="Normal 3 2 4 2 5" xfId="38572" xr:uid="{DBEA484F-53E5-4A59-A117-887397E27B3B}"/>
    <cellStyle name="Normal 3 2 4 2 6" xfId="12378" xr:uid="{9F004941-5AE3-4593-8BE4-0420A636513C}"/>
    <cellStyle name="Normal 3 2 4 3" xfId="5124" xr:uid="{00000000-0005-0000-0000-0000D1110000}"/>
    <cellStyle name="Normal 3 2 4 3 2" xfId="23750" xr:uid="{ED149155-2FA7-4A10-9300-6A50714C527A}"/>
    <cellStyle name="Normal 3 2 4 3 3" xfId="32197" xr:uid="{2B2301D8-2A37-42FD-A54C-F384C87D5BE0}"/>
    <cellStyle name="Normal 3 2 4 3 4" xfId="40644" xr:uid="{9E57C7A5-CE26-463C-A0E2-B655E5FAAF9F}"/>
    <cellStyle name="Normal 3 2 4 3 5" xfId="14450" xr:uid="{96FAECF6-4E3F-460D-BADF-2E5364712E18}"/>
    <cellStyle name="Normal 3 2 4 4" xfId="9607" xr:uid="{7D769806-7069-4B8D-8CAC-B3B91BBA8D64}"/>
    <cellStyle name="Normal 3 2 4 4 2" xfId="18909" xr:uid="{2BC4FF80-CC7E-42EA-AEF3-58FCC4232F6A}"/>
    <cellStyle name="Normal 3 2 4 5" xfId="19533" xr:uid="{200C8C63-2F09-43CF-86DC-2BEB4A80A109}"/>
    <cellStyle name="Normal 3 2 4 6" xfId="27980" xr:uid="{7F5F00CF-6D2B-4CF2-8220-56738859DC32}"/>
    <cellStyle name="Normal 3 2 4 7" xfId="36427" xr:uid="{C88D657F-FCD0-4670-8A76-DEB37381F112}"/>
    <cellStyle name="Normal 3 2 4 8" xfId="10233" xr:uid="{F502CCC3-43BD-4C7A-9374-1D14B9BA640C}"/>
    <cellStyle name="Normal 3 2 5" xfId="1230" xr:uid="{00000000-0005-0000-0000-0000D2110000}"/>
    <cellStyle name="Normal 3 2 5 2" xfId="3460" xr:uid="{00000000-0005-0000-0000-0000D3110000}"/>
    <cellStyle name="Normal 3 2 5 2 2" xfId="7682" xr:uid="{00000000-0005-0000-0000-0000D4110000}"/>
    <cellStyle name="Normal 3 2 5 2 2 2" xfId="26308" xr:uid="{8323B64E-BA5C-4FD9-BA7B-05941797B952}"/>
    <cellStyle name="Normal 3 2 5 2 2 3" xfId="34755" xr:uid="{CBF411F6-1B58-4DD3-B94E-4D88281FFDFB}"/>
    <cellStyle name="Normal 3 2 5 2 2 4" xfId="43202" xr:uid="{5CF2F3A4-D6BD-4C2F-8743-B4796A45D7D7}"/>
    <cellStyle name="Normal 3 2 5 2 2 5" xfId="17008" xr:uid="{3277EC19-F0CA-451B-995A-AF609745A4D3}"/>
    <cellStyle name="Normal 3 2 5 2 3" xfId="22091" xr:uid="{98E878B0-051A-4CAF-99B3-E03361DFE1C2}"/>
    <cellStyle name="Normal 3 2 5 2 4" xfId="30538" xr:uid="{77E39C43-0361-401D-B634-C875BC3BE7F5}"/>
    <cellStyle name="Normal 3 2 5 2 5" xfId="38985" xr:uid="{8B6DC14A-2103-4B36-A649-9F7FC0EA578A}"/>
    <cellStyle name="Normal 3 2 5 2 6" xfId="12791" xr:uid="{A239EC8F-DEEB-410C-8FD5-61B827A11BAA}"/>
    <cellStyle name="Normal 3 2 5 3" xfId="5537" xr:uid="{00000000-0005-0000-0000-0000D5110000}"/>
    <cellStyle name="Normal 3 2 5 3 2" xfId="24163" xr:uid="{5014F3D9-EF5D-47CF-B611-338EE9668B7C}"/>
    <cellStyle name="Normal 3 2 5 3 3" xfId="32610" xr:uid="{2C70AFFF-F50F-48BA-827E-94C4FD35B6A9}"/>
    <cellStyle name="Normal 3 2 5 3 4" xfId="41057" xr:uid="{E7D03622-73D1-4B27-85EB-C2330971B574}"/>
    <cellStyle name="Normal 3 2 5 3 5" xfId="14863" xr:uid="{227B23DD-4244-4F43-B0AD-CEE394ACC393}"/>
    <cellStyle name="Normal 3 2 5 4" xfId="19946" xr:uid="{09013514-0147-4F42-BF97-3B57EA69FB9C}"/>
    <cellStyle name="Normal 3 2 5 5" xfId="28393" xr:uid="{2A837252-438D-444B-8668-E4B23858BCB1}"/>
    <cellStyle name="Normal 3 2 5 6" xfId="36840" xr:uid="{3758008A-04BC-48E0-8B86-0E4A855AF2CB}"/>
    <cellStyle name="Normal 3 2 5 7" xfId="10646" xr:uid="{D53FF8C0-3837-4E68-AD45-AA88CD49AE22}"/>
    <cellStyle name="Normal 3 2 6" xfId="1643" xr:uid="{00000000-0005-0000-0000-0000D6110000}"/>
    <cellStyle name="Normal 3 2 6 2" xfId="3873" xr:uid="{00000000-0005-0000-0000-0000D7110000}"/>
    <cellStyle name="Normal 3 2 6 2 2" xfId="8095" xr:uid="{00000000-0005-0000-0000-0000D8110000}"/>
    <cellStyle name="Normal 3 2 6 2 2 2" xfId="26721" xr:uid="{C9AB9A84-5F5D-480E-92AC-EBDB62AE190F}"/>
    <cellStyle name="Normal 3 2 6 2 2 3" xfId="35168" xr:uid="{B4CD9D99-E603-463F-9CB4-9BDB902A3193}"/>
    <cellStyle name="Normal 3 2 6 2 2 4" xfId="43615" xr:uid="{D0A5BD83-320D-4052-A937-C259C6F8F91C}"/>
    <cellStyle name="Normal 3 2 6 2 2 5" xfId="17421" xr:uid="{7655E142-5C84-4FA8-BF81-CB9D8CB8F046}"/>
    <cellStyle name="Normal 3 2 6 2 3" xfId="22504" xr:uid="{A5627838-7AD1-4804-8679-ABA8CD0428CA}"/>
    <cellStyle name="Normal 3 2 6 2 4" xfId="30951" xr:uid="{A751AEB7-74A1-44E0-ABE2-E1A0FF0C6BFF}"/>
    <cellStyle name="Normal 3 2 6 2 5" xfId="39398" xr:uid="{271DEA05-0F42-4F3F-9007-B41FB45A8A36}"/>
    <cellStyle name="Normal 3 2 6 2 6" xfId="13204" xr:uid="{F7D62AFE-C026-4969-8D03-CDAF5BE1E60D}"/>
    <cellStyle name="Normal 3 2 6 3" xfId="5950" xr:uid="{00000000-0005-0000-0000-0000D9110000}"/>
    <cellStyle name="Normal 3 2 6 3 2" xfId="24576" xr:uid="{463DA146-6F26-4C4C-9047-C96297D34542}"/>
    <cellStyle name="Normal 3 2 6 3 3" xfId="33023" xr:uid="{D278DE01-7CB0-4BAD-88F6-CB1F7F553D24}"/>
    <cellStyle name="Normal 3 2 6 3 4" xfId="41470" xr:uid="{BDC0E508-9EDB-468E-96F3-BFD4BC62B984}"/>
    <cellStyle name="Normal 3 2 6 3 5" xfId="15276" xr:uid="{DCF2A677-93FF-4360-AC52-AFD4B8757CC9}"/>
    <cellStyle name="Normal 3 2 6 4" xfId="20359" xr:uid="{6048AAFD-FC1E-42DF-9659-9C9FE5F0C315}"/>
    <cellStyle name="Normal 3 2 6 5" xfId="28806" xr:uid="{349B98CA-23B5-4A7F-8F01-9C6954D4FFDC}"/>
    <cellStyle name="Normal 3 2 6 6" xfId="37253" xr:uid="{8E453CC1-57F5-40EA-A0BB-1EB6EC302AF9}"/>
    <cellStyle name="Normal 3 2 6 7" xfId="11059" xr:uid="{35F1CFC6-BC33-49B4-9338-B78F6F6E9B61}"/>
    <cellStyle name="Normal 3 2 7" xfId="2057" xr:uid="{00000000-0005-0000-0000-0000DA110000}"/>
    <cellStyle name="Normal 3 2 7 2" xfId="4286" xr:uid="{00000000-0005-0000-0000-0000DB110000}"/>
    <cellStyle name="Normal 3 2 7 2 2" xfId="8508" xr:uid="{00000000-0005-0000-0000-0000DC110000}"/>
    <cellStyle name="Normal 3 2 7 2 2 2" xfId="27134" xr:uid="{9D3EFB9E-6847-49EA-AE81-6C69E13CA0D9}"/>
    <cellStyle name="Normal 3 2 7 2 2 3" xfId="35581" xr:uid="{7B66A393-8102-4FDF-B7DA-4D2E619DC485}"/>
    <cellStyle name="Normal 3 2 7 2 2 4" xfId="44028" xr:uid="{103AEB2A-3321-4C9B-9E58-1813444BB502}"/>
    <cellStyle name="Normal 3 2 7 2 2 5" xfId="17834" xr:uid="{36789ED1-8E7C-42F3-A653-B61B049672FB}"/>
    <cellStyle name="Normal 3 2 7 2 3" xfId="22917" xr:uid="{2EB9DC58-A7CF-46F2-BC63-2BE69B0BB9D1}"/>
    <cellStyle name="Normal 3 2 7 2 4" xfId="31364" xr:uid="{72AFC528-E7F3-467C-A740-737BE0F0A9E8}"/>
    <cellStyle name="Normal 3 2 7 2 5" xfId="39811" xr:uid="{2D668FA4-6075-4859-90E4-88A6E8DB4AC4}"/>
    <cellStyle name="Normal 3 2 7 2 6" xfId="13617" xr:uid="{967C137E-4CB5-496D-A84E-A53B701A3B8C}"/>
    <cellStyle name="Normal 3 2 7 3" xfId="6363" xr:uid="{00000000-0005-0000-0000-0000DD110000}"/>
    <cellStyle name="Normal 3 2 7 3 2" xfId="24989" xr:uid="{51D6A618-EFE9-47C9-8AC0-E595745B3AF3}"/>
    <cellStyle name="Normal 3 2 7 3 3" xfId="33436" xr:uid="{48F209AD-5F38-4E0E-A3E9-6E5F01E533A6}"/>
    <cellStyle name="Normal 3 2 7 3 4" xfId="41883" xr:uid="{301D83C0-72B8-43DB-94B6-AD1C3C6CB832}"/>
    <cellStyle name="Normal 3 2 7 3 5" xfId="15689" xr:uid="{E765E2C3-DB92-4284-A730-9A0D9320EBFA}"/>
    <cellStyle name="Normal 3 2 7 4" xfId="20772" xr:uid="{737C2EB3-1135-4AC6-860B-C8F647140945}"/>
    <cellStyle name="Normal 3 2 7 5" xfId="29219" xr:uid="{9C0EBE30-BAE5-4D4E-877D-68F5DAD73456}"/>
    <cellStyle name="Normal 3 2 7 6" xfId="37666" xr:uid="{73E1A893-C6D0-40DB-9D66-8326D31726F0}"/>
    <cellStyle name="Normal 3 2 7 7" xfId="11472" xr:uid="{A8108498-7E3D-4B9B-8EF7-10694823404F}"/>
    <cellStyle name="Normal 3 2 8" xfId="2493" xr:uid="{00000000-0005-0000-0000-0000DE110000}"/>
    <cellStyle name="Normal 3 2 8 2" xfId="6776" xr:uid="{00000000-0005-0000-0000-0000DF110000}"/>
    <cellStyle name="Normal 3 2 8 2 2" xfId="25402" xr:uid="{23DAE38F-6237-45EE-ACFC-3FCFD3A265A2}"/>
    <cellStyle name="Normal 3 2 8 2 3" xfId="33849" xr:uid="{73665902-93E6-4165-A7E2-DA3E41DFC08D}"/>
    <cellStyle name="Normal 3 2 8 2 4" xfId="42296" xr:uid="{45B47DC2-672E-4D09-AF45-D23FAC129E27}"/>
    <cellStyle name="Normal 3 2 8 2 5" xfId="16102" xr:uid="{57C17942-2CE1-45B6-9A2E-395626E7C76B}"/>
    <cellStyle name="Normal 3 2 8 3" xfId="21185" xr:uid="{A2F36337-B374-42FA-8258-C40396B3C855}"/>
    <cellStyle name="Normal 3 2 8 4" xfId="29632" xr:uid="{C53D9B8C-1EEA-436E-8E2D-120E390646E9}"/>
    <cellStyle name="Normal 3 2 8 5" xfId="38079" xr:uid="{8DFC602D-CF3D-4F53-896B-F65D0A913491}"/>
    <cellStyle name="Normal 3 2 8 6" xfId="11885" xr:uid="{E304DC4B-8ACD-4F6F-BAE7-101BA314E641}"/>
    <cellStyle name="Normal 3 2 9" xfId="4710" xr:uid="{00000000-0005-0000-0000-0000E0110000}"/>
    <cellStyle name="Normal 3 2 9 2" xfId="23336" xr:uid="{1319B719-BE8E-4723-A94A-450519484A17}"/>
    <cellStyle name="Normal 3 2 9 3" xfId="31783" xr:uid="{47723F3F-F530-4A24-A602-D151C8440667}"/>
    <cellStyle name="Normal 3 2 9 4" xfId="40230" xr:uid="{E904E316-2519-4F90-837E-571C6488F618}"/>
    <cellStyle name="Normal 3 2 9 5" xfId="14036" xr:uid="{9CFAB946-EE02-47BB-999B-681DA4CD767E}"/>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10 2" xfId="18064" xr:uid="{1B8F34AA-4A57-4426-B5BE-C407427193E5}"/>
    <cellStyle name="Normal 4 11" xfId="19124" xr:uid="{9DA09A40-1B6F-4840-8E3D-4A5BAAD49D91}"/>
    <cellStyle name="Normal 4 12" xfId="27571" xr:uid="{F1BFA5C5-3811-4F02-A753-3C1C76568426}"/>
    <cellStyle name="Normal 4 13" xfId="36018" xr:uid="{AA98D939-D256-4B1B-9057-0ADB019E4E18}"/>
    <cellStyle name="Normal 4 14" xfId="9824" xr:uid="{6DC31D34-7C34-486E-B97F-E048C6D88527}"/>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2 2 2" xfId="27139" xr:uid="{BDFCAE2D-D0B4-45FB-B0BE-8FBC98EC0443}"/>
    <cellStyle name="Normal 4 2 2 10 2 2 3" xfId="35586" xr:uid="{C241FD49-F45E-47CF-B940-C0BF895EE92D}"/>
    <cellStyle name="Normal 4 2 2 10 2 2 4" xfId="44033" xr:uid="{3795E88A-7278-48E9-92F1-EF571298F3A3}"/>
    <cellStyle name="Normal 4 2 2 10 2 2 5" xfId="17839" xr:uid="{6DBD13ED-890D-4831-BC4B-8A69E5E0EE95}"/>
    <cellStyle name="Normal 4 2 2 10 2 3" xfId="22922" xr:uid="{6DE47D89-80D4-4BF1-BC15-E720B8426DFF}"/>
    <cellStyle name="Normal 4 2 2 10 2 4" xfId="31369" xr:uid="{0FACD22B-6DAD-467A-A5E3-D0F567B8789D}"/>
    <cellStyle name="Normal 4 2 2 10 2 5" xfId="39816" xr:uid="{B872ECE8-D3A0-4823-B9A8-ACADE0883CA1}"/>
    <cellStyle name="Normal 4 2 2 10 2 6" xfId="13622" xr:uid="{E85787D3-9B00-48C4-BE72-32C82B3E496B}"/>
    <cellStyle name="Normal 4 2 2 10 3" xfId="6368" xr:uid="{00000000-0005-0000-0000-0000ED110000}"/>
    <cellStyle name="Normal 4 2 2 10 3 2" xfId="24994" xr:uid="{272214D5-A9FB-43AD-97A4-61015682C4E9}"/>
    <cellStyle name="Normal 4 2 2 10 3 3" xfId="33441" xr:uid="{828CDD3D-1F23-4366-BA95-9AD9F8BA5363}"/>
    <cellStyle name="Normal 4 2 2 10 3 4" xfId="41888" xr:uid="{6A5C13D6-FAA9-4CDC-A38E-AACF7DB3BEE6}"/>
    <cellStyle name="Normal 4 2 2 10 3 5" xfId="15694" xr:uid="{D48BB69C-B85D-46EE-A906-18541605CEF0}"/>
    <cellStyle name="Normal 4 2 2 10 4" xfId="20777" xr:uid="{6F1DA6CC-787F-459D-840C-97791125D37A}"/>
    <cellStyle name="Normal 4 2 2 10 5" xfId="29224" xr:uid="{68EC3651-ADB0-4C01-A5A7-DC865548F036}"/>
    <cellStyle name="Normal 4 2 2 10 6" xfId="37671" xr:uid="{605876F9-5628-4087-8BDD-84F12B0E609C}"/>
    <cellStyle name="Normal 4 2 2 10 7" xfId="11477" xr:uid="{47D9EE48-D10B-4903-A435-DEE24F43AC27}"/>
    <cellStyle name="Normal 4 2 2 11" xfId="2498" xr:uid="{00000000-0005-0000-0000-0000EE110000}"/>
    <cellStyle name="Normal 4 2 2 11 2" xfId="6781" xr:uid="{00000000-0005-0000-0000-0000EF110000}"/>
    <cellStyle name="Normal 4 2 2 11 2 2" xfId="25407" xr:uid="{76420619-8F77-4300-8311-44C8EA40A6C4}"/>
    <cellStyle name="Normal 4 2 2 11 2 3" xfId="33854" xr:uid="{90746E62-A8B4-430C-AFD6-1AF05CD97BD6}"/>
    <cellStyle name="Normal 4 2 2 11 2 4" xfId="42301" xr:uid="{B783AB85-BBB1-4C36-9D0C-8CF66AB85776}"/>
    <cellStyle name="Normal 4 2 2 11 2 5" xfId="16107" xr:uid="{D875BD57-8D6F-4943-8388-707877ECDBDF}"/>
    <cellStyle name="Normal 4 2 2 11 3" xfId="21190" xr:uid="{C2FE7A47-6F44-4B21-B2A8-28711F6DF234}"/>
    <cellStyle name="Normal 4 2 2 11 4" xfId="29637" xr:uid="{86B37E87-0E09-4EC3-B2D5-0E1AB524C1F0}"/>
    <cellStyle name="Normal 4 2 2 11 5" xfId="38084" xr:uid="{1B9B37D7-A51A-431F-9A12-E3D4BB386C3B}"/>
    <cellStyle name="Normal 4 2 2 11 6" xfId="11890" xr:uid="{34951F77-BB91-4BA4-B722-448B98C5A2F8}"/>
    <cellStyle name="Normal 4 2 2 12" xfId="4716" xr:uid="{00000000-0005-0000-0000-0000F0110000}"/>
    <cellStyle name="Normal 4 2 2 12 2" xfId="23342" xr:uid="{352162CB-67CD-4EA0-9443-2934080844F1}"/>
    <cellStyle name="Normal 4 2 2 12 3" xfId="31789" xr:uid="{B42919E1-6B5F-407F-842E-3F70E538F9D6}"/>
    <cellStyle name="Normal 4 2 2 12 4" xfId="40236" xr:uid="{4A3275E0-7EE1-4C76-905C-51BDEFA0161E}"/>
    <cellStyle name="Normal 4 2 2 12 5" xfId="14042" xr:uid="{980E1231-3A7F-4231-8324-119DCFD8B586}"/>
    <cellStyle name="Normal 4 2 2 13" xfId="8752" xr:uid="{7B61EFAC-4165-4615-9A47-7AF5DAE027C9}"/>
    <cellStyle name="Normal 4 2 2 13 2" xfId="18076" xr:uid="{CEDCB1C0-FFDB-412C-9F15-F3B7F38291DE}"/>
    <cellStyle name="Normal 4 2 2 14" xfId="19125" xr:uid="{DF150A0E-A0F1-4F61-A481-2C63C5CEA331}"/>
    <cellStyle name="Normal 4 2 2 15" xfId="27572" xr:uid="{BF6C04BF-4D31-431E-B1B6-0878FDC61BA8}"/>
    <cellStyle name="Normal 4 2 2 16" xfId="36019" xr:uid="{A55DDB0A-32CA-461C-9248-B20463BF3290}"/>
    <cellStyle name="Normal 4 2 2 17" xfId="9825" xr:uid="{EB9A31A0-81C2-457E-A375-F75E5C93F688}"/>
    <cellStyle name="Normal 4 2 2 2" xfId="338" xr:uid="{00000000-0005-0000-0000-0000F1110000}"/>
    <cellStyle name="Normal 4 2 2 3" xfId="339" xr:uid="{00000000-0005-0000-0000-0000F2110000}"/>
    <cellStyle name="Normal 4 2 2 3 10" xfId="4717" xr:uid="{00000000-0005-0000-0000-0000F3110000}"/>
    <cellStyle name="Normal 4 2 2 3 10 2" xfId="23343" xr:uid="{D90ADF2C-E01C-4C6C-9343-98B70E799EDC}"/>
    <cellStyle name="Normal 4 2 2 3 10 3" xfId="31790" xr:uid="{1AFE39D0-736E-4965-9708-F85798CAF5C9}"/>
    <cellStyle name="Normal 4 2 2 3 10 4" xfId="40237" xr:uid="{5DD632A3-2C24-4F3F-9727-3633091F9B94}"/>
    <cellStyle name="Normal 4 2 2 3 10 5" xfId="14043" xr:uid="{05281AB7-AD9D-4F25-ADEC-8A4A66D9F2F5}"/>
    <cellStyle name="Normal 4 2 2 3 11" xfId="8784" xr:uid="{8AA3A883-811C-4C4A-AFFF-9AAED56BF228}"/>
    <cellStyle name="Normal 4 2 2 3 11 2" xfId="18108" xr:uid="{48216C88-0EE5-4EDE-8E8C-F5C666E7DD17}"/>
    <cellStyle name="Normal 4 2 2 3 12" xfId="19126" xr:uid="{3311D76B-E2EA-450D-9FC6-5C4DE16DAC20}"/>
    <cellStyle name="Normal 4 2 2 3 13" xfId="27573" xr:uid="{3C1CEDD3-481B-4FCF-8DE1-B2BF406CFD9D}"/>
    <cellStyle name="Normal 4 2 2 3 14" xfId="36020" xr:uid="{0EE1675C-5710-4894-9D73-0B6C30F08FA6}"/>
    <cellStyle name="Normal 4 2 2 3 15" xfId="9826" xr:uid="{5047959F-9667-4499-AAEA-35278F2C6DF4}"/>
    <cellStyle name="Normal 4 2 2 3 2" xfId="340" xr:uid="{00000000-0005-0000-0000-0000F4110000}"/>
    <cellStyle name="Normal 4 2 2 3 2 10" xfId="8819" xr:uid="{16629302-3759-4242-B07E-BB5D034B10E8}"/>
    <cellStyle name="Normal 4 2 2 3 2 10 2" xfId="18143" xr:uid="{F5BBB2AB-173E-4F6F-800A-5B3A5D487DC4}"/>
    <cellStyle name="Normal 4 2 2 3 2 11" xfId="19127" xr:uid="{D0A19BF6-0F4E-4783-8225-5CCE28889815}"/>
    <cellStyle name="Normal 4 2 2 3 2 12" xfId="27574" xr:uid="{CE91D72F-46B8-416C-87D0-EE9DB63D7BC3}"/>
    <cellStyle name="Normal 4 2 2 3 2 13" xfId="36021" xr:uid="{71695010-89F3-494E-AF5E-592D3CFD7CD8}"/>
    <cellStyle name="Normal 4 2 2 3 2 14" xfId="9827" xr:uid="{C91A9ED8-5063-44C0-963D-9A5A32E44048}"/>
    <cellStyle name="Normal 4 2 2 3 2 2" xfId="341" xr:uid="{00000000-0005-0000-0000-0000F5110000}"/>
    <cellStyle name="Normal 4 2 2 3 2 2 10" xfId="19128" xr:uid="{8C4349E3-C78B-4B2D-B1B0-B89E5D30B014}"/>
    <cellStyle name="Normal 4 2 2 3 2 2 11" xfId="27575" xr:uid="{50E21A3E-A7BB-4277-B40D-596E07A9A4BE}"/>
    <cellStyle name="Normal 4 2 2 3 2 2 12" xfId="36022" xr:uid="{5F866807-DFED-429E-BE4E-3F5B257E0396}"/>
    <cellStyle name="Normal 4 2 2 3 2 2 13" xfId="9828" xr:uid="{20D121C8-D5E9-454F-97B8-DC214EFF1E76}"/>
    <cellStyle name="Normal 4 2 2 3 2 2 2" xfId="342" xr:uid="{00000000-0005-0000-0000-0000F6110000}"/>
    <cellStyle name="Normal 4 2 2 3 2 2 2 10" xfId="27576" xr:uid="{D5586B59-448E-4BF4-8DFF-A742CE2518A7}"/>
    <cellStyle name="Normal 4 2 2 3 2 2 2 11" xfId="36023" xr:uid="{DF7CAB74-5A8C-4E83-B031-941B5F144F33}"/>
    <cellStyle name="Normal 4 2 2 3 2 2 2 12" xfId="9829" xr:uid="{498C7BB8-439B-4F45-9FF1-249D7BC0896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2 2 2" xfId="25904" xr:uid="{9CDEBB6E-DAB4-4AF2-980C-38DEB9E1A885}"/>
    <cellStyle name="Normal 4 2 2 3 2 2 2 2 2 2 3" xfId="34351" xr:uid="{EB479FC1-D441-4E07-BC2E-840C9660B3E8}"/>
    <cellStyle name="Normal 4 2 2 3 2 2 2 2 2 2 4" xfId="42798" xr:uid="{04F6BE6E-0903-4DC7-B109-37F233A4518F}"/>
    <cellStyle name="Normal 4 2 2 3 2 2 2 2 2 2 5" xfId="16604" xr:uid="{192654C6-B60D-4066-982E-810EBEDF418B}"/>
    <cellStyle name="Normal 4 2 2 3 2 2 2 2 2 3" xfId="21687" xr:uid="{CCE581D1-1159-4322-A246-72F939FD6B43}"/>
    <cellStyle name="Normal 4 2 2 3 2 2 2 2 2 4" xfId="30134" xr:uid="{1FB2F745-D186-4225-A91A-7165DF1F081E}"/>
    <cellStyle name="Normal 4 2 2 3 2 2 2 2 2 5" xfId="38581" xr:uid="{374DAE83-81B1-4D0A-8EF1-A23FBB886CE3}"/>
    <cellStyle name="Normal 4 2 2 3 2 2 2 2 2 6" xfId="12387" xr:uid="{8B7AB21F-0173-4FB5-B797-D05642137F9B}"/>
    <cellStyle name="Normal 4 2 2 3 2 2 2 2 3" xfId="5133" xr:uid="{00000000-0005-0000-0000-0000FA110000}"/>
    <cellStyle name="Normal 4 2 2 3 2 2 2 2 3 2" xfId="23759" xr:uid="{43B3D945-BCEC-47F3-9B7A-04367FCA4BE8}"/>
    <cellStyle name="Normal 4 2 2 3 2 2 2 2 3 3" xfId="32206" xr:uid="{AA7F8829-01F6-4A2D-B199-2DA08064DC4C}"/>
    <cellStyle name="Normal 4 2 2 3 2 2 2 2 3 4" xfId="40653" xr:uid="{D39E4F5F-7826-4651-92C0-A15FAE05EAD6}"/>
    <cellStyle name="Normal 4 2 2 3 2 2 2 2 3 5" xfId="14459" xr:uid="{44519D64-5872-430A-B756-D983A1A5B08D}"/>
    <cellStyle name="Normal 4 2 2 3 2 2 2 2 4" xfId="9554" xr:uid="{BAC669EC-8948-4716-90C3-0688F03300CE}"/>
    <cellStyle name="Normal 4 2 2 3 2 2 2 2 4 2" xfId="18870" xr:uid="{103C425E-448A-43A1-8A6C-98D6DB904A19}"/>
    <cellStyle name="Normal 4 2 2 3 2 2 2 2 5" xfId="19542" xr:uid="{3845C5A8-837C-4FEA-8649-63EC9C193F58}"/>
    <cellStyle name="Normal 4 2 2 3 2 2 2 2 6" xfId="27989" xr:uid="{DF362A53-F9AF-494B-A9A4-B0365F5B1FCA}"/>
    <cellStyle name="Normal 4 2 2 3 2 2 2 2 7" xfId="36436" xr:uid="{1BF16BD1-20C0-4495-B1B9-4F0209CB77E2}"/>
    <cellStyle name="Normal 4 2 2 3 2 2 2 2 8" xfId="10242" xr:uid="{6DE46B9A-A679-4408-90EF-2172707A8BC6}"/>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2 2 2" xfId="26317" xr:uid="{6F434FA5-1213-4E75-909F-83C854122114}"/>
    <cellStyle name="Normal 4 2 2 3 2 2 2 3 2 2 3" xfId="34764" xr:uid="{38652077-0AFB-4C3E-829F-6BC040D12818}"/>
    <cellStyle name="Normal 4 2 2 3 2 2 2 3 2 2 4" xfId="43211" xr:uid="{91644E6A-5F29-42CF-AF89-3C8833945830}"/>
    <cellStyle name="Normal 4 2 2 3 2 2 2 3 2 2 5" xfId="17017" xr:uid="{0A2B5484-336C-464C-BA5E-FA637B88DA46}"/>
    <cellStyle name="Normal 4 2 2 3 2 2 2 3 2 3" xfId="22100" xr:uid="{CBC14AD3-6D63-4815-BB43-2BF84E8E0245}"/>
    <cellStyle name="Normal 4 2 2 3 2 2 2 3 2 4" xfId="30547" xr:uid="{37B9652D-D3E5-4ACA-901E-7137362EBA8D}"/>
    <cellStyle name="Normal 4 2 2 3 2 2 2 3 2 5" xfId="38994" xr:uid="{D25357F3-8975-4480-B59D-B1439FD653E8}"/>
    <cellStyle name="Normal 4 2 2 3 2 2 2 3 2 6" xfId="12800" xr:uid="{63692F0A-A7A4-4D3D-A3B4-54AB18511E55}"/>
    <cellStyle name="Normal 4 2 2 3 2 2 2 3 3" xfId="5546" xr:uid="{00000000-0005-0000-0000-0000FE110000}"/>
    <cellStyle name="Normal 4 2 2 3 2 2 2 3 3 2" xfId="24172" xr:uid="{BC3AD54E-AB4C-4A07-BCC1-2B5711B8B7FF}"/>
    <cellStyle name="Normal 4 2 2 3 2 2 2 3 3 3" xfId="32619" xr:uid="{520DF937-5C36-4201-B1CF-03997ED0E4BB}"/>
    <cellStyle name="Normal 4 2 2 3 2 2 2 3 3 4" xfId="41066" xr:uid="{8B5A9DFB-2C5B-42C2-9D54-3B3F13011BA1}"/>
    <cellStyle name="Normal 4 2 2 3 2 2 2 3 3 5" xfId="14872" xr:uid="{E819AB25-ABE1-4A9C-BFC7-54067BE65DC8}"/>
    <cellStyle name="Normal 4 2 2 3 2 2 2 3 4" xfId="19955" xr:uid="{AC46651B-40BB-4343-A9CD-85A49A733032}"/>
    <cellStyle name="Normal 4 2 2 3 2 2 2 3 5" xfId="28402" xr:uid="{F27B0D49-2DA7-4A59-A307-CE9A2FC2644A}"/>
    <cellStyle name="Normal 4 2 2 3 2 2 2 3 6" xfId="36849" xr:uid="{00EEFCD0-24C5-4D25-BB30-6174ADE6D3DD}"/>
    <cellStyle name="Normal 4 2 2 3 2 2 2 3 7" xfId="10655" xr:uid="{DFE04681-EECD-43E3-9337-B7A66315FAAB}"/>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2 2 2" xfId="26730" xr:uid="{B31F1F9A-69A3-445B-BA8F-ED3CAAE109DF}"/>
    <cellStyle name="Normal 4 2 2 3 2 2 2 4 2 2 3" xfId="35177" xr:uid="{80A22B03-D324-459E-A520-721C4EDAA7FB}"/>
    <cellStyle name="Normal 4 2 2 3 2 2 2 4 2 2 4" xfId="43624" xr:uid="{FAA8E9F4-7748-4E15-AB3C-882E3484A14F}"/>
    <cellStyle name="Normal 4 2 2 3 2 2 2 4 2 2 5" xfId="17430" xr:uid="{84A7E2AA-64A3-442C-AE85-360F3CF16F62}"/>
    <cellStyle name="Normal 4 2 2 3 2 2 2 4 2 3" xfId="22513" xr:uid="{925464A8-3B80-45C8-852C-9497456B6B08}"/>
    <cellStyle name="Normal 4 2 2 3 2 2 2 4 2 4" xfId="30960" xr:uid="{A8720F26-5B98-4404-8EB7-2FD9527DFE2E}"/>
    <cellStyle name="Normal 4 2 2 3 2 2 2 4 2 5" xfId="39407" xr:uid="{68B50817-830F-4B0C-975E-2C98E78AE93A}"/>
    <cellStyle name="Normal 4 2 2 3 2 2 2 4 2 6" xfId="13213" xr:uid="{9086752E-6F7B-487F-9FF9-AE412001260F}"/>
    <cellStyle name="Normal 4 2 2 3 2 2 2 4 3" xfId="5959" xr:uid="{00000000-0005-0000-0000-000002120000}"/>
    <cellStyle name="Normal 4 2 2 3 2 2 2 4 3 2" xfId="24585" xr:uid="{124663CC-4694-4EC6-BC22-264366072728}"/>
    <cellStyle name="Normal 4 2 2 3 2 2 2 4 3 3" xfId="33032" xr:uid="{C083EF1F-3D2A-4590-B8B2-5555363AA3DB}"/>
    <cellStyle name="Normal 4 2 2 3 2 2 2 4 3 4" xfId="41479" xr:uid="{29AC9BEB-597E-46D0-AC46-0BADD8433F93}"/>
    <cellStyle name="Normal 4 2 2 3 2 2 2 4 3 5" xfId="15285" xr:uid="{41E69055-F0D9-476F-9783-6C64A95D1BF1}"/>
    <cellStyle name="Normal 4 2 2 3 2 2 2 4 4" xfId="20368" xr:uid="{F63E7A74-5425-4DF8-955D-31BBF2E3F480}"/>
    <cellStyle name="Normal 4 2 2 3 2 2 2 4 5" xfId="28815" xr:uid="{03A31422-3963-426B-BB46-9425238AE4DD}"/>
    <cellStyle name="Normal 4 2 2 3 2 2 2 4 6" xfId="37262" xr:uid="{93201DB9-593A-4A45-BE7A-CD83A01AE15B}"/>
    <cellStyle name="Normal 4 2 2 3 2 2 2 4 7" xfId="11068" xr:uid="{5FA5F1C3-BCDE-4BEA-9BB4-C5AAC2046C12}"/>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2 2 2" xfId="27143" xr:uid="{A76426E9-65F0-496F-ACCA-AE80B2624B7E}"/>
    <cellStyle name="Normal 4 2 2 3 2 2 2 5 2 2 3" xfId="35590" xr:uid="{ECC54F76-3BCF-484B-A10C-8EFF1996C26A}"/>
    <cellStyle name="Normal 4 2 2 3 2 2 2 5 2 2 4" xfId="44037" xr:uid="{585C82BA-CF37-4AEF-A7A0-F3B7844AD2A1}"/>
    <cellStyle name="Normal 4 2 2 3 2 2 2 5 2 2 5" xfId="17843" xr:uid="{17F5EFEF-8F85-48D1-93BD-26FB2461A3B9}"/>
    <cellStyle name="Normal 4 2 2 3 2 2 2 5 2 3" xfId="22926" xr:uid="{A1E14A4A-506E-46A4-8E67-96EBE5849279}"/>
    <cellStyle name="Normal 4 2 2 3 2 2 2 5 2 4" xfId="31373" xr:uid="{8B8DD341-680D-4E13-82D1-0E476114653F}"/>
    <cellStyle name="Normal 4 2 2 3 2 2 2 5 2 5" xfId="39820" xr:uid="{2C3AD96E-B44A-4003-A1B6-37D5B56DB4FD}"/>
    <cellStyle name="Normal 4 2 2 3 2 2 2 5 2 6" xfId="13626" xr:uid="{6EA90C33-329D-42FF-B30E-02E3C040968F}"/>
    <cellStyle name="Normal 4 2 2 3 2 2 2 5 3" xfId="6372" xr:uid="{00000000-0005-0000-0000-000006120000}"/>
    <cellStyle name="Normal 4 2 2 3 2 2 2 5 3 2" xfId="24998" xr:uid="{DA4437F6-2FD9-40BB-9FF6-1D4CECA9DFFE}"/>
    <cellStyle name="Normal 4 2 2 3 2 2 2 5 3 3" xfId="33445" xr:uid="{5192BE79-2AE5-48F5-8940-5D0AC462FFBF}"/>
    <cellStyle name="Normal 4 2 2 3 2 2 2 5 3 4" xfId="41892" xr:uid="{A7E96406-064C-48A2-957E-219023E58371}"/>
    <cellStyle name="Normal 4 2 2 3 2 2 2 5 3 5" xfId="15698" xr:uid="{D53F570F-1785-4BE4-8AAA-30C977F78995}"/>
    <cellStyle name="Normal 4 2 2 3 2 2 2 5 4" xfId="20781" xr:uid="{9140025E-032A-41F1-AAEF-7138731F5CCB}"/>
    <cellStyle name="Normal 4 2 2 3 2 2 2 5 5" xfId="29228" xr:uid="{82AA2128-80A2-428B-B572-9F25624DE75A}"/>
    <cellStyle name="Normal 4 2 2 3 2 2 2 5 6" xfId="37675" xr:uid="{F9979971-614E-4DD3-8E45-C838619E7BD0}"/>
    <cellStyle name="Normal 4 2 2 3 2 2 2 5 7" xfId="11481" xr:uid="{74724109-83D2-4B0B-922E-4C44CC86A381}"/>
    <cellStyle name="Normal 4 2 2 3 2 2 2 6" xfId="2502" xr:uid="{00000000-0005-0000-0000-000007120000}"/>
    <cellStyle name="Normal 4 2 2 3 2 2 2 6 2" xfId="6785" xr:uid="{00000000-0005-0000-0000-000008120000}"/>
    <cellStyle name="Normal 4 2 2 3 2 2 2 6 2 2" xfId="25411" xr:uid="{09781C67-296A-4F29-A73A-8607CCF4D4A3}"/>
    <cellStyle name="Normal 4 2 2 3 2 2 2 6 2 3" xfId="33858" xr:uid="{61BB1BCD-4C69-43EA-85D6-24CC0033705F}"/>
    <cellStyle name="Normal 4 2 2 3 2 2 2 6 2 4" xfId="42305" xr:uid="{B0424FC8-1FA7-4CCE-B541-A8D5A4FAE12C}"/>
    <cellStyle name="Normal 4 2 2 3 2 2 2 6 2 5" xfId="16111" xr:uid="{22D124DE-43C9-410B-8581-527B5666BC73}"/>
    <cellStyle name="Normal 4 2 2 3 2 2 2 6 3" xfId="21194" xr:uid="{33940B72-DFD1-464C-8E7B-67FE7FD8B836}"/>
    <cellStyle name="Normal 4 2 2 3 2 2 2 6 4" xfId="29641" xr:uid="{308F1E52-3625-478B-92C7-7D95918AF15C}"/>
    <cellStyle name="Normal 4 2 2 3 2 2 2 6 5" xfId="38088" xr:uid="{06245859-4F49-418D-8562-357C073E3951}"/>
    <cellStyle name="Normal 4 2 2 3 2 2 2 6 6" xfId="11894" xr:uid="{CC0AF90E-B199-4DE2-A00A-616096C7FFBB}"/>
    <cellStyle name="Normal 4 2 2 3 2 2 2 7" xfId="4720" xr:uid="{00000000-0005-0000-0000-000009120000}"/>
    <cellStyle name="Normal 4 2 2 3 2 2 2 7 2" xfId="23346" xr:uid="{4A8F9062-5E47-4056-88D3-D9C5C4A9D7B0}"/>
    <cellStyle name="Normal 4 2 2 3 2 2 2 7 3" xfId="31793" xr:uid="{86F118EE-B474-4EBB-B5C9-1F4B8D85B093}"/>
    <cellStyle name="Normal 4 2 2 3 2 2 2 7 4" xfId="40240" xr:uid="{00EB3323-C963-44A7-BA99-2D5480BE1409}"/>
    <cellStyle name="Normal 4 2 2 3 2 2 2 7 5" xfId="14046" xr:uid="{2E778848-FC1A-4858-9305-947596C3E592}"/>
    <cellStyle name="Normal 4 2 2 3 2 2 2 8" xfId="9129" xr:uid="{970F8072-C8D6-4D17-95D6-EBF431EAD262}"/>
    <cellStyle name="Normal 4 2 2 3 2 2 2 8 2" xfId="18453" xr:uid="{8DFB584A-4AF5-4665-B003-B4C64DF137DA}"/>
    <cellStyle name="Normal 4 2 2 3 2 2 2 9" xfId="19129" xr:uid="{485DD3BA-98B5-4B79-A703-58CD56C029E0}"/>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2 2 2" xfId="25903" xr:uid="{3376B3A1-69A0-4518-AC1D-1F91B509AEA6}"/>
    <cellStyle name="Normal 4 2 2 3 2 2 3 2 2 3" xfId="34350" xr:uid="{D317F8D9-79BB-4F89-BE39-485F2D7FC2BA}"/>
    <cellStyle name="Normal 4 2 2 3 2 2 3 2 2 4" xfId="42797" xr:uid="{23B92C86-D6F5-4B60-8855-4BA4EEEF64B3}"/>
    <cellStyle name="Normal 4 2 2 3 2 2 3 2 2 5" xfId="16603" xr:uid="{BF839DB4-499F-4A3A-AA14-5280D730B137}"/>
    <cellStyle name="Normal 4 2 2 3 2 2 3 2 3" xfId="21686" xr:uid="{28438279-6128-4065-9C53-AEA0CB4F8233}"/>
    <cellStyle name="Normal 4 2 2 3 2 2 3 2 4" xfId="30133" xr:uid="{4FB49C80-E9A1-4DB3-982B-98CDA64015A8}"/>
    <cellStyle name="Normal 4 2 2 3 2 2 3 2 5" xfId="38580" xr:uid="{0CFB693A-54A4-4D07-86F0-4AC706C3797F}"/>
    <cellStyle name="Normal 4 2 2 3 2 2 3 2 6" xfId="12386" xr:uid="{47C6A7EA-355D-4CA5-A880-994BF7886B10}"/>
    <cellStyle name="Normal 4 2 2 3 2 2 3 3" xfId="5132" xr:uid="{00000000-0005-0000-0000-00000D120000}"/>
    <cellStyle name="Normal 4 2 2 3 2 2 3 3 2" xfId="23758" xr:uid="{04F714F8-E7DC-4687-81D1-7A88122E8D0D}"/>
    <cellStyle name="Normal 4 2 2 3 2 2 3 3 3" xfId="32205" xr:uid="{B05B7D2B-AC34-4B77-801C-1340E3DC330F}"/>
    <cellStyle name="Normal 4 2 2 3 2 2 3 3 4" xfId="40652" xr:uid="{2C9C5232-FC4E-4C9E-9F87-84BE3E38655D}"/>
    <cellStyle name="Normal 4 2 2 3 2 2 3 3 5" xfId="14458" xr:uid="{84475258-9728-49CB-854C-375B435293E1}"/>
    <cellStyle name="Normal 4 2 2 3 2 2 3 4" xfId="9347" xr:uid="{8C9012CB-19BB-4242-9F43-373358B13B52}"/>
    <cellStyle name="Normal 4 2 2 3 2 2 3 4 2" xfId="18663" xr:uid="{3ED3EB83-9E4F-42A3-8CCA-B4E1CD3A74F2}"/>
    <cellStyle name="Normal 4 2 2 3 2 2 3 5" xfId="19541" xr:uid="{0971A3D5-FCE6-4ACD-A419-58B7F0653BD5}"/>
    <cellStyle name="Normal 4 2 2 3 2 2 3 6" xfId="27988" xr:uid="{614D87DE-77B6-491D-9C9D-392061D549EF}"/>
    <cellStyle name="Normal 4 2 2 3 2 2 3 7" xfId="36435" xr:uid="{E003BAC9-7758-421F-B166-E74D1CD0FC8B}"/>
    <cellStyle name="Normal 4 2 2 3 2 2 3 8" xfId="10241" xr:uid="{D5E55A1B-F6A7-462D-A895-25D8C1557234}"/>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2 2 2" xfId="26316" xr:uid="{67C5AEC3-38A9-46D8-ACBA-12D247E3B64C}"/>
    <cellStyle name="Normal 4 2 2 3 2 2 4 2 2 3" xfId="34763" xr:uid="{7B809F47-B99B-43BD-B960-414FA29B8733}"/>
    <cellStyle name="Normal 4 2 2 3 2 2 4 2 2 4" xfId="43210" xr:uid="{DD553869-56ED-458E-8372-E94489C17441}"/>
    <cellStyle name="Normal 4 2 2 3 2 2 4 2 2 5" xfId="17016" xr:uid="{2097E2D4-2F0A-446B-B7B7-F74D9CAF81D6}"/>
    <cellStyle name="Normal 4 2 2 3 2 2 4 2 3" xfId="22099" xr:uid="{6A6D13F8-A86E-447B-8F03-E731396BBF86}"/>
    <cellStyle name="Normal 4 2 2 3 2 2 4 2 4" xfId="30546" xr:uid="{5343E9BB-03ED-4D75-B5FB-5A821072D030}"/>
    <cellStyle name="Normal 4 2 2 3 2 2 4 2 5" xfId="38993" xr:uid="{1D7BF8F8-E667-44C9-96C3-155E79190952}"/>
    <cellStyle name="Normal 4 2 2 3 2 2 4 2 6" xfId="12799" xr:uid="{E4E0DB76-F350-4A95-92CA-7272F875CC38}"/>
    <cellStyle name="Normal 4 2 2 3 2 2 4 3" xfId="5545" xr:uid="{00000000-0005-0000-0000-000011120000}"/>
    <cellStyle name="Normal 4 2 2 3 2 2 4 3 2" xfId="24171" xr:uid="{C82858D3-D6A8-4FCC-A476-B600E9C74F3E}"/>
    <cellStyle name="Normal 4 2 2 3 2 2 4 3 3" xfId="32618" xr:uid="{E0EAAA49-B903-42D8-9271-BA99CECF78A3}"/>
    <cellStyle name="Normal 4 2 2 3 2 2 4 3 4" xfId="41065" xr:uid="{78E62E65-0C67-480F-BA19-390FF3B31143}"/>
    <cellStyle name="Normal 4 2 2 3 2 2 4 3 5" xfId="14871" xr:uid="{2F16CAD6-011B-4339-B638-DE56FD1D4A9C}"/>
    <cellStyle name="Normal 4 2 2 3 2 2 4 4" xfId="19954" xr:uid="{ACEF9077-20AE-4274-BA61-7F752659357B}"/>
    <cellStyle name="Normal 4 2 2 3 2 2 4 5" xfId="28401" xr:uid="{6AA35FD2-9AA3-4BA2-B634-F86775687C25}"/>
    <cellStyle name="Normal 4 2 2 3 2 2 4 6" xfId="36848" xr:uid="{D2784BEB-17CA-4DB7-8EF3-28B908B47AA7}"/>
    <cellStyle name="Normal 4 2 2 3 2 2 4 7" xfId="10654" xr:uid="{12C04DF1-016F-419C-B94B-24B5EED2851B}"/>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2 2 2" xfId="26729" xr:uid="{EA930109-2837-4341-B18C-26945ECD5B9B}"/>
    <cellStyle name="Normal 4 2 2 3 2 2 5 2 2 3" xfId="35176" xr:uid="{D55F3280-1E98-4CA7-923A-073FAD427961}"/>
    <cellStyle name="Normal 4 2 2 3 2 2 5 2 2 4" xfId="43623" xr:uid="{4B6AE5A2-B08A-4B59-A28A-A663951FE55F}"/>
    <cellStyle name="Normal 4 2 2 3 2 2 5 2 2 5" xfId="17429" xr:uid="{383BE9F1-3641-40A1-9E7F-2B2E21D09731}"/>
    <cellStyle name="Normal 4 2 2 3 2 2 5 2 3" xfId="22512" xr:uid="{C8564348-EEA6-4342-BF6F-A09B1BDD1146}"/>
    <cellStyle name="Normal 4 2 2 3 2 2 5 2 4" xfId="30959" xr:uid="{AF57B6D4-8A16-4391-83C9-6718EF5B5F92}"/>
    <cellStyle name="Normal 4 2 2 3 2 2 5 2 5" xfId="39406" xr:uid="{474A50B0-BAE7-4DFA-A093-1DF2F1F56F4F}"/>
    <cellStyle name="Normal 4 2 2 3 2 2 5 2 6" xfId="13212" xr:uid="{1AA10B4A-B553-4152-A88C-497B0E9A00E5}"/>
    <cellStyle name="Normal 4 2 2 3 2 2 5 3" xfId="5958" xr:uid="{00000000-0005-0000-0000-000015120000}"/>
    <cellStyle name="Normal 4 2 2 3 2 2 5 3 2" xfId="24584" xr:uid="{A266AF22-927B-4ACF-8112-C98086AE5D9F}"/>
    <cellStyle name="Normal 4 2 2 3 2 2 5 3 3" xfId="33031" xr:uid="{96AA78D5-E36D-438D-BF99-92FA660155FF}"/>
    <cellStyle name="Normal 4 2 2 3 2 2 5 3 4" xfId="41478" xr:uid="{A5A21530-059E-4672-8FEE-3252AE109BBC}"/>
    <cellStyle name="Normal 4 2 2 3 2 2 5 3 5" xfId="15284" xr:uid="{F4B2DA67-4AC2-4A5A-B4CD-9F2E69C443E6}"/>
    <cellStyle name="Normal 4 2 2 3 2 2 5 4" xfId="20367" xr:uid="{1D6D3C2F-01D9-4CF9-8907-7D8A5DE88367}"/>
    <cellStyle name="Normal 4 2 2 3 2 2 5 5" xfId="28814" xr:uid="{3251521B-A546-40A1-BF00-1F386E006BA5}"/>
    <cellStyle name="Normal 4 2 2 3 2 2 5 6" xfId="37261" xr:uid="{D5784650-DF7C-47E3-9667-A5223F230D7D}"/>
    <cellStyle name="Normal 4 2 2 3 2 2 5 7" xfId="11067" xr:uid="{0642D525-2508-4187-83AD-CE714442A402}"/>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2 2 2" xfId="27142" xr:uid="{4DCF474D-F12F-42EC-A1E0-C5DC19782182}"/>
    <cellStyle name="Normal 4 2 2 3 2 2 6 2 2 3" xfId="35589" xr:uid="{EDAB867F-95A7-42BB-9786-DAF02332CC3F}"/>
    <cellStyle name="Normal 4 2 2 3 2 2 6 2 2 4" xfId="44036" xr:uid="{EB711412-83EC-4F93-8129-E13E97165526}"/>
    <cellStyle name="Normal 4 2 2 3 2 2 6 2 2 5" xfId="17842" xr:uid="{3E07DC6F-3BF3-486C-A4D7-1CB10DC51A87}"/>
    <cellStyle name="Normal 4 2 2 3 2 2 6 2 3" xfId="22925" xr:uid="{FD30B770-3C08-4604-88B1-4AB426106725}"/>
    <cellStyle name="Normal 4 2 2 3 2 2 6 2 4" xfId="31372" xr:uid="{82B46CD9-8FE1-47BC-827F-75C47923B5D5}"/>
    <cellStyle name="Normal 4 2 2 3 2 2 6 2 5" xfId="39819" xr:uid="{45210B22-DB2F-4B61-AEB3-E08CA8604A53}"/>
    <cellStyle name="Normal 4 2 2 3 2 2 6 2 6" xfId="13625" xr:uid="{62395017-063C-4B77-8223-D2883027608A}"/>
    <cellStyle name="Normal 4 2 2 3 2 2 6 3" xfId="6371" xr:uid="{00000000-0005-0000-0000-000019120000}"/>
    <cellStyle name="Normal 4 2 2 3 2 2 6 3 2" xfId="24997" xr:uid="{0DE9163D-6682-4304-A8A5-D3AC0650D1CE}"/>
    <cellStyle name="Normal 4 2 2 3 2 2 6 3 3" xfId="33444" xr:uid="{0CF8DFE2-237B-47D8-93D0-6732674895DD}"/>
    <cellStyle name="Normal 4 2 2 3 2 2 6 3 4" xfId="41891" xr:uid="{652F3E12-673A-490E-AE4D-B0939E1F3682}"/>
    <cellStyle name="Normal 4 2 2 3 2 2 6 3 5" xfId="15697" xr:uid="{848043A7-9D6F-4D7F-BEEE-A38FB58708A8}"/>
    <cellStyle name="Normal 4 2 2 3 2 2 6 4" xfId="20780" xr:uid="{59229832-C923-407D-9548-608D254456F4}"/>
    <cellStyle name="Normal 4 2 2 3 2 2 6 5" xfId="29227" xr:uid="{D0BDFFBB-022D-4E47-BFB0-2E4C6992FFD8}"/>
    <cellStyle name="Normal 4 2 2 3 2 2 6 6" xfId="37674" xr:uid="{4A46FE1C-8CBE-423F-BA47-649BB995D8FC}"/>
    <cellStyle name="Normal 4 2 2 3 2 2 6 7" xfId="11480" xr:uid="{442D14E6-151B-43E7-9DFA-A95EFEDAA463}"/>
    <cellStyle name="Normal 4 2 2 3 2 2 7" xfId="2501" xr:uid="{00000000-0005-0000-0000-00001A120000}"/>
    <cellStyle name="Normal 4 2 2 3 2 2 7 2" xfId="6784" xr:uid="{00000000-0005-0000-0000-00001B120000}"/>
    <cellStyle name="Normal 4 2 2 3 2 2 7 2 2" xfId="25410" xr:uid="{2B922820-0732-44D8-BF2B-AA84CDA7A415}"/>
    <cellStyle name="Normal 4 2 2 3 2 2 7 2 3" xfId="33857" xr:uid="{C9A18DF2-92A7-47A9-8AA2-E2AFADC0810E}"/>
    <cellStyle name="Normal 4 2 2 3 2 2 7 2 4" xfId="42304" xr:uid="{2E6E8144-BB93-4A72-B32B-D708B08C7B2D}"/>
    <cellStyle name="Normal 4 2 2 3 2 2 7 2 5" xfId="16110" xr:uid="{44FDF85B-C7D0-4DD5-B7F8-DAA701FAEFC2}"/>
    <cellStyle name="Normal 4 2 2 3 2 2 7 3" xfId="21193" xr:uid="{611346D2-722A-4A23-B5A7-7A07999BB705}"/>
    <cellStyle name="Normal 4 2 2 3 2 2 7 4" xfId="29640" xr:uid="{899A960D-4ED4-422D-8011-06C89249C337}"/>
    <cellStyle name="Normal 4 2 2 3 2 2 7 5" xfId="38087" xr:uid="{B97AA1D2-5A1F-487D-B145-BAB55836C2D9}"/>
    <cellStyle name="Normal 4 2 2 3 2 2 7 6" xfId="11893" xr:uid="{A6E97EB7-8286-4513-898B-04E0F4DCF2BA}"/>
    <cellStyle name="Normal 4 2 2 3 2 2 8" xfId="4719" xr:uid="{00000000-0005-0000-0000-00001C120000}"/>
    <cellStyle name="Normal 4 2 2 3 2 2 8 2" xfId="23345" xr:uid="{4E60AFEC-1020-4A6B-9106-88DF7E63F490}"/>
    <cellStyle name="Normal 4 2 2 3 2 2 8 3" xfId="31792" xr:uid="{3100AE2A-1388-49A2-A462-40EBC1A1ABC1}"/>
    <cellStyle name="Normal 4 2 2 3 2 2 8 4" xfId="40239" xr:uid="{1645D3E9-6D83-4F91-9396-FAF00D84DA08}"/>
    <cellStyle name="Normal 4 2 2 3 2 2 8 5" xfId="14045" xr:uid="{D5BA4671-DD7A-4E1F-8929-3BCFBA5D8C4A}"/>
    <cellStyle name="Normal 4 2 2 3 2 2 9" xfId="8922" xr:uid="{32C9E21B-8C85-4874-B28C-82BF39BA84E2}"/>
    <cellStyle name="Normal 4 2 2 3 2 2 9 2" xfId="18246" xr:uid="{6CD8BF40-46A3-4B41-8F6F-6AEA8FF6C255}"/>
    <cellStyle name="Normal 4 2 2 3 2 3" xfId="343" xr:uid="{00000000-0005-0000-0000-00001D120000}"/>
    <cellStyle name="Normal 4 2 2 3 2 3 10" xfId="27577" xr:uid="{CBBDF69A-002C-48EF-9BBD-4E3839DDBAF2}"/>
    <cellStyle name="Normal 4 2 2 3 2 3 11" xfId="36024" xr:uid="{5BB791D4-9078-462D-869A-4754104091EA}"/>
    <cellStyle name="Normal 4 2 2 3 2 3 12" xfId="9830" xr:uid="{57FB3684-95D6-4DD2-97BA-C9446281F0FB}"/>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2 2 2" xfId="25905" xr:uid="{C7B3AAB6-5930-4DC2-A097-F8BB26F8B905}"/>
    <cellStyle name="Normal 4 2 2 3 2 3 2 2 2 3" xfId="34352" xr:uid="{36406956-BFE8-464F-B306-2F403F08049F}"/>
    <cellStyle name="Normal 4 2 2 3 2 3 2 2 2 4" xfId="42799" xr:uid="{1DD3480E-59E0-49D2-B124-F4FC978056A5}"/>
    <cellStyle name="Normal 4 2 2 3 2 3 2 2 2 5" xfId="16605" xr:uid="{2BF947B3-AF01-4F2F-BF2C-EFF9D24CB723}"/>
    <cellStyle name="Normal 4 2 2 3 2 3 2 2 3" xfId="21688" xr:uid="{D7EA4B8B-1F02-4E32-8CA5-116381824283}"/>
    <cellStyle name="Normal 4 2 2 3 2 3 2 2 4" xfId="30135" xr:uid="{23ED1C09-0170-49EF-AA8D-03392FA04554}"/>
    <cellStyle name="Normal 4 2 2 3 2 3 2 2 5" xfId="38582" xr:uid="{8B6CB03A-A69E-4E94-9697-93D5C61986D9}"/>
    <cellStyle name="Normal 4 2 2 3 2 3 2 2 6" xfId="12388" xr:uid="{2E0E2033-FA4E-4A0F-96A6-331CB14F3F37}"/>
    <cellStyle name="Normal 4 2 2 3 2 3 2 3" xfId="5134" xr:uid="{00000000-0005-0000-0000-000021120000}"/>
    <cellStyle name="Normal 4 2 2 3 2 3 2 3 2" xfId="23760" xr:uid="{9B897BA1-A61C-45B6-B720-CE5831529C56}"/>
    <cellStyle name="Normal 4 2 2 3 2 3 2 3 3" xfId="32207" xr:uid="{C0A3FA62-E1D7-4942-987F-3670FA8CD929}"/>
    <cellStyle name="Normal 4 2 2 3 2 3 2 3 4" xfId="40654" xr:uid="{7FF40577-2FA5-4BEA-829D-FF08D254AB53}"/>
    <cellStyle name="Normal 4 2 2 3 2 3 2 3 5" xfId="14460" xr:uid="{E787AE39-2509-4C71-B73F-12F35E88FF86}"/>
    <cellStyle name="Normal 4 2 2 3 2 3 2 4" xfId="9451" xr:uid="{85AA9164-95F1-48F2-907A-54AD445D074F}"/>
    <cellStyle name="Normal 4 2 2 3 2 3 2 4 2" xfId="18767" xr:uid="{AFF9BC7F-E4C5-4B41-9115-E2114CA4492A}"/>
    <cellStyle name="Normal 4 2 2 3 2 3 2 5" xfId="19543" xr:uid="{CCAE2FA5-1E8F-4D48-AFC0-4AA4D32C63A9}"/>
    <cellStyle name="Normal 4 2 2 3 2 3 2 6" xfId="27990" xr:uid="{32EE0DAA-2B0A-4F14-88F8-5491F24705A9}"/>
    <cellStyle name="Normal 4 2 2 3 2 3 2 7" xfId="36437" xr:uid="{C36FA2C5-42CA-4E8F-AC7D-F0C2A24425A9}"/>
    <cellStyle name="Normal 4 2 2 3 2 3 2 8" xfId="10243" xr:uid="{3E2FB793-6F31-4BF0-8865-82DA633A365E}"/>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2 2 2" xfId="26318" xr:uid="{ABD8B363-C0A5-4F1E-BB31-C0F45FF7DBA8}"/>
    <cellStyle name="Normal 4 2 2 3 2 3 3 2 2 3" xfId="34765" xr:uid="{D82F7D35-6E1A-4E4E-A2C1-6B5D037DB9A2}"/>
    <cellStyle name="Normal 4 2 2 3 2 3 3 2 2 4" xfId="43212" xr:uid="{2A9CFB7B-9C4E-45F8-A16F-5D56B98F163A}"/>
    <cellStyle name="Normal 4 2 2 3 2 3 3 2 2 5" xfId="17018" xr:uid="{495A8BC4-1A90-4967-A3C1-C2362AAB5209}"/>
    <cellStyle name="Normal 4 2 2 3 2 3 3 2 3" xfId="22101" xr:uid="{EB0D9511-E660-4DC7-91E0-9DD8613403C5}"/>
    <cellStyle name="Normal 4 2 2 3 2 3 3 2 4" xfId="30548" xr:uid="{9B69A09D-7D03-47B9-8AAE-2082BF4CEEF8}"/>
    <cellStyle name="Normal 4 2 2 3 2 3 3 2 5" xfId="38995" xr:uid="{26FA8B41-1A5F-48C5-8459-8F68FAC40754}"/>
    <cellStyle name="Normal 4 2 2 3 2 3 3 2 6" xfId="12801" xr:uid="{DD946F9D-764D-4D07-9D27-30F10713A95F}"/>
    <cellStyle name="Normal 4 2 2 3 2 3 3 3" xfId="5547" xr:uid="{00000000-0005-0000-0000-000025120000}"/>
    <cellStyle name="Normal 4 2 2 3 2 3 3 3 2" xfId="24173" xr:uid="{421E9E53-C839-4E2D-9BE4-0DED078849AF}"/>
    <cellStyle name="Normal 4 2 2 3 2 3 3 3 3" xfId="32620" xr:uid="{5A831678-39FE-47BF-BD97-3F23D3AEB89B}"/>
    <cellStyle name="Normal 4 2 2 3 2 3 3 3 4" xfId="41067" xr:uid="{F51CB983-349F-42F2-9DE0-60CF3D57A0CC}"/>
    <cellStyle name="Normal 4 2 2 3 2 3 3 3 5" xfId="14873" xr:uid="{4752F6AD-315E-465E-89A9-91E717A2FEB9}"/>
    <cellStyle name="Normal 4 2 2 3 2 3 3 4" xfId="19956" xr:uid="{ECF37FFF-363A-4CC7-81C9-33831EDB103C}"/>
    <cellStyle name="Normal 4 2 2 3 2 3 3 5" xfId="28403" xr:uid="{C46D29FE-F444-4CDE-ACE4-1F30719DBEE0}"/>
    <cellStyle name="Normal 4 2 2 3 2 3 3 6" xfId="36850" xr:uid="{3FAC41C4-742D-48BB-8E8C-918693066700}"/>
    <cellStyle name="Normal 4 2 2 3 2 3 3 7" xfId="10656" xr:uid="{6C79678B-06D8-42C4-A171-9785AA387842}"/>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2 2 2" xfId="26731" xr:uid="{F425442C-4326-42D4-B211-EE8939FE44F4}"/>
    <cellStyle name="Normal 4 2 2 3 2 3 4 2 2 3" xfId="35178" xr:uid="{C2716DF4-0B2B-4894-A237-C13D6BB6D01B}"/>
    <cellStyle name="Normal 4 2 2 3 2 3 4 2 2 4" xfId="43625" xr:uid="{0A245C7D-DB43-4E84-A254-56E237853D87}"/>
    <cellStyle name="Normal 4 2 2 3 2 3 4 2 2 5" xfId="17431" xr:uid="{AA8ADD37-B4C0-4633-A50D-9BC2DE1868EA}"/>
    <cellStyle name="Normal 4 2 2 3 2 3 4 2 3" xfId="22514" xr:uid="{CDF57108-2C9F-4668-A8FA-636FC570384A}"/>
    <cellStyle name="Normal 4 2 2 3 2 3 4 2 4" xfId="30961" xr:uid="{009ECC95-09EC-4B4D-BB3D-D0376A55D3FB}"/>
    <cellStyle name="Normal 4 2 2 3 2 3 4 2 5" xfId="39408" xr:uid="{25E775FA-A091-49D5-BDCA-BFE95D67E83D}"/>
    <cellStyle name="Normal 4 2 2 3 2 3 4 2 6" xfId="13214" xr:uid="{5DB726E2-40E7-48AE-8E8B-90F74563AFD1}"/>
    <cellStyle name="Normal 4 2 2 3 2 3 4 3" xfId="5960" xr:uid="{00000000-0005-0000-0000-000029120000}"/>
    <cellStyle name="Normal 4 2 2 3 2 3 4 3 2" xfId="24586" xr:uid="{E9867C14-F9ED-4121-AD3D-F71110042357}"/>
    <cellStyle name="Normal 4 2 2 3 2 3 4 3 3" xfId="33033" xr:uid="{C658AA2F-11A0-48AD-B53E-D41920F9A685}"/>
    <cellStyle name="Normal 4 2 2 3 2 3 4 3 4" xfId="41480" xr:uid="{B287E750-8575-4F7C-8852-7B9D98011983}"/>
    <cellStyle name="Normal 4 2 2 3 2 3 4 3 5" xfId="15286" xr:uid="{B6FF3CA2-ABD3-4EEE-8BDF-B7B3EF379F51}"/>
    <cellStyle name="Normal 4 2 2 3 2 3 4 4" xfId="20369" xr:uid="{CB1256CF-D049-4F23-8DCA-464601FD3AF2}"/>
    <cellStyle name="Normal 4 2 2 3 2 3 4 5" xfId="28816" xr:uid="{AB0F74BB-D873-4975-B6DF-CDC244E1B4C1}"/>
    <cellStyle name="Normal 4 2 2 3 2 3 4 6" xfId="37263" xr:uid="{EA055939-339B-4DD5-B0EB-12FFAA74F5C4}"/>
    <cellStyle name="Normal 4 2 2 3 2 3 4 7" xfId="11069" xr:uid="{CBCBA0CB-AA5D-4E27-B6BA-D8B4A58DBA35}"/>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2 2 2" xfId="27144" xr:uid="{96D21C62-467E-4292-B9CB-7EFBC4D965EA}"/>
    <cellStyle name="Normal 4 2 2 3 2 3 5 2 2 3" xfId="35591" xr:uid="{8F278C9C-279C-4DBD-B8C1-8FD963C07A48}"/>
    <cellStyle name="Normal 4 2 2 3 2 3 5 2 2 4" xfId="44038" xr:uid="{4A189877-D600-4FBA-A247-0BA597251F51}"/>
    <cellStyle name="Normal 4 2 2 3 2 3 5 2 2 5" xfId="17844" xr:uid="{D4C388D7-BF56-437A-BB4E-681D3B880A4D}"/>
    <cellStyle name="Normal 4 2 2 3 2 3 5 2 3" xfId="22927" xr:uid="{5F7BE6FF-3915-48FC-B825-212617EE6687}"/>
    <cellStyle name="Normal 4 2 2 3 2 3 5 2 4" xfId="31374" xr:uid="{04FB28E2-305A-4CF1-BADD-AF6000E4CB95}"/>
    <cellStyle name="Normal 4 2 2 3 2 3 5 2 5" xfId="39821" xr:uid="{1A0BF296-0C3C-44C9-9632-F9C109173FB4}"/>
    <cellStyle name="Normal 4 2 2 3 2 3 5 2 6" xfId="13627" xr:uid="{48034B6B-C1D8-40B3-88B0-EC3568A58572}"/>
    <cellStyle name="Normal 4 2 2 3 2 3 5 3" xfId="6373" xr:uid="{00000000-0005-0000-0000-00002D120000}"/>
    <cellStyle name="Normal 4 2 2 3 2 3 5 3 2" xfId="24999" xr:uid="{934CFA8F-3210-4C7D-A82D-AC8708FF3044}"/>
    <cellStyle name="Normal 4 2 2 3 2 3 5 3 3" xfId="33446" xr:uid="{2D443388-A68E-47F8-A70C-134642B0B00E}"/>
    <cellStyle name="Normal 4 2 2 3 2 3 5 3 4" xfId="41893" xr:uid="{5842D0A6-B956-46CC-BF15-B7B61272F703}"/>
    <cellStyle name="Normal 4 2 2 3 2 3 5 3 5" xfId="15699" xr:uid="{AD460287-FB21-45FA-8973-E047F5A24B12}"/>
    <cellStyle name="Normal 4 2 2 3 2 3 5 4" xfId="20782" xr:uid="{8BD74D31-1523-4A3B-BDE4-EFD99C7F1F13}"/>
    <cellStyle name="Normal 4 2 2 3 2 3 5 5" xfId="29229" xr:uid="{B1C22839-A924-49E6-8E9F-6103B385C760}"/>
    <cellStyle name="Normal 4 2 2 3 2 3 5 6" xfId="37676" xr:uid="{80C25EC4-0D34-4980-AF11-AAD927F38D34}"/>
    <cellStyle name="Normal 4 2 2 3 2 3 5 7" xfId="11482" xr:uid="{0D91C213-0D33-4039-96A5-F75AF2E632E1}"/>
    <cellStyle name="Normal 4 2 2 3 2 3 6" xfId="2503" xr:uid="{00000000-0005-0000-0000-00002E120000}"/>
    <cellStyle name="Normal 4 2 2 3 2 3 6 2" xfId="6786" xr:uid="{00000000-0005-0000-0000-00002F120000}"/>
    <cellStyle name="Normal 4 2 2 3 2 3 6 2 2" xfId="25412" xr:uid="{8D1046E0-E9E5-4CAA-94BC-9706A4849577}"/>
    <cellStyle name="Normal 4 2 2 3 2 3 6 2 3" xfId="33859" xr:uid="{4D142C1F-BC79-4F09-88F9-7494CDA0F8DC}"/>
    <cellStyle name="Normal 4 2 2 3 2 3 6 2 4" xfId="42306" xr:uid="{7033EA28-55DB-4CC8-8B6D-665DCA95383D}"/>
    <cellStyle name="Normal 4 2 2 3 2 3 6 2 5" xfId="16112" xr:uid="{2AC853D2-A561-4723-A300-C2EEDD838266}"/>
    <cellStyle name="Normal 4 2 2 3 2 3 6 3" xfId="21195" xr:uid="{60DE9E68-AF8F-4CAC-ACB1-7CEBE1F182BA}"/>
    <cellStyle name="Normal 4 2 2 3 2 3 6 4" xfId="29642" xr:uid="{5398EFE5-FEF9-41D1-9E7C-E57BB3E0FDEA}"/>
    <cellStyle name="Normal 4 2 2 3 2 3 6 5" xfId="38089" xr:uid="{4EA7BE14-9671-45BF-A9D1-9CE57843818D}"/>
    <cellStyle name="Normal 4 2 2 3 2 3 6 6" xfId="11895" xr:uid="{CADD17A6-80DA-4314-AC19-65784EF961AC}"/>
    <cellStyle name="Normal 4 2 2 3 2 3 7" xfId="4721" xr:uid="{00000000-0005-0000-0000-000030120000}"/>
    <cellStyle name="Normal 4 2 2 3 2 3 7 2" xfId="23347" xr:uid="{9C7DF6B8-D44A-4C30-B4BE-DE4D0BDAF3BE}"/>
    <cellStyle name="Normal 4 2 2 3 2 3 7 3" xfId="31794" xr:uid="{5E3FA432-F3BF-4EEE-8238-E3D9A5E01DB2}"/>
    <cellStyle name="Normal 4 2 2 3 2 3 7 4" xfId="40241" xr:uid="{724C3FCC-A28E-483C-9D10-3BA2D87857D7}"/>
    <cellStyle name="Normal 4 2 2 3 2 3 7 5" xfId="14047" xr:uid="{A3C28F65-4EF2-41F9-8E72-72C90FD93CAF}"/>
    <cellStyle name="Normal 4 2 2 3 2 3 8" xfId="9026" xr:uid="{319D63D3-F71C-4F99-9FD1-E3D0665567E8}"/>
    <cellStyle name="Normal 4 2 2 3 2 3 8 2" xfId="18350" xr:uid="{D63AA920-AA3F-4DCB-8AF3-8E2EC88522BC}"/>
    <cellStyle name="Normal 4 2 2 3 2 3 9" xfId="19130" xr:uid="{E4ED76EE-C354-4721-A60F-035CF4AF293F}"/>
    <cellStyle name="Normal 4 2 2 3 2 4" xfId="817" xr:uid="{00000000-0005-0000-0000-000031120000}"/>
    <cellStyle name="Normal 4 2 2 3 2 4 2" xfId="3054" xr:uid="{00000000-0005-0000-0000-000032120000}"/>
    <cellStyle name="Normal 4 2 2 3 2 4 2 2" xfId="7276" xr:uid="{00000000-0005-0000-0000-000033120000}"/>
    <cellStyle name="Normal 4 2 2 3 2 4 2 2 2" xfId="25902" xr:uid="{A06F0B8D-244C-4752-9F72-09DEAA62C153}"/>
    <cellStyle name="Normal 4 2 2 3 2 4 2 2 3" xfId="34349" xr:uid="{78F90650-A5A0-48A7-8F06-2736BCAE2B9D}"/>
    <cellStyle name="Normal 4 2 2 3 2 4 2 2 4" xfId="42796" xr:uid="{FF8B1E1F-3B56-42C5-A31B-61868722BCE2}"/>
    <cellStyle name="Normal 4 2 2 3 2 4 2 2 5" xfId="16602" xr:uid="{8610DE31-42FD-438E-A337-AC7C03952EA3}"/>
    <cellStyle name="Normal 4 2 2 3 2 4 2 3" xfId="21685" xr:uid="{6DEA34B5-9253-4642-821A-D61A00A887CA}"/>
    <cellStyle name="Normal 4 2 2 3 2 4 2 4" xfId="30132" xr:uid="{D45F0430-EFA2-4955-A6B9-AB70535DCB98}"/>
    <cellStyle name="Normal 4 2 2 3 2 4 2 5" xfId="38579" xr:uid="{FF6B5308-AD0D-48E7-91B4-F1CF67FB67D5}"/>
    <cellStyle name="Normal 4 2 2 3 2 4 2 6" xfId="12385" xr:uid="{88416033-6A86-4199-9C9C-6AB852E599C5}"/>
    <cellStyle name="Normal 4 2 2 3 2 4 3" xfId="5131" xr:uid="{00000000-0005-0000-0000-000034120000}"/>
    <cellStyle name="Normal 4 2 2 3 2 4 3 2" xfId="23757" xr:uid="{B074E2AB-9E83-40E1-B7E9-254603D91E5E}"/>
    <cellStyle name="Normal 4 2 2 3 2 4 3 3" xfId="32204" xr:uid="{460FBB67-1FDB-466E-A321-3AA0B2963C02}"/>
    <cellStyle name="Normal 4 2 2 3 2 4 3 4" xfId="40651" xr:uid="{7D9A7329-A9BB-4EFD-87D3-C04E37FF47A0}"/>
    <cellStyle name="Normal 4 2 2 3 2 4 3 5" xfId="14457" xr:uid="{9E1212AE-847A-4E50-A691-D35617EBE2DC}"/>
    <cellStyle name="Normal 4 2 2 3 2 4 4" xfId="9244" xr:uid="{98623F27-324A-40DE-AA2B-56E1FCE087EE}"/>
    <cellStyle name="Normal 4 2 2 3 2 4 4 2" xfId="18560" xr:uid="{4371546F-406B-45CE-81B4-CDEC5E0445DB}"/>
    <cellStyle name="Normal 4 2 2 3 2 4 5" xfId="19540" xr:uid="{35A3574A-FFE6-4753-8B1D-566A3CFD7C3E}"/>
    <cellStyle name="Normal 4 2 2 3 2 4 6" xfId="27987" xr:uid="{DAF578C1-EEEB-4860-A189-EAEBEC2F351A}"/>
    <cellStyle name="Normal 4 2 2 3 2 4 7" xfId="36434" xr:uid="{BD0ACEC4-BBDB-4278-9677-0F645E345E49}"/>
    <cellStyle name="Normal 4 2 2 3 2 4 8" xfId="10240" xr:uid="{C8ED2419-A4A8-4CC3-AD92-2EEB9ACDD380}"/>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2 2 2" xfId="26315" xr:uid="{C66C62DC-CC32-4EFB-9CC3-5D9E43E6E5E0}"/>
    <cellStyle name="Normal 4 2 2 3 2 5 2 2 3" xfId="34762" xr:uid="{44F81757-5A70-4341-AE3A-E281112937C5}"/>
    <cellStyle name="Normal 4 2 2 3 2 5 2 2 4" xfId="43209" xr:uid="{770AC0BC-6373-4204-BE7B-6D063A089E10}"/>
    <cellStyle name="Normal 4 2 2 3 2 5 2 2 5" xfId="17015" xr:uid="{38277E54-15A8-4BE8-95F2-F06A07F72901}"/>
    <cellStyle name="Normal 4 2 2 3 2 5 2 3" xfId="22098" xr:uid="{C061ED9B-C83E-400E-AA85-36BD78273151}"/>
    <cellStyle name="Normal 4 2 2 3 2 5 2 4" xfId="30545" xr:uid="{F9A23646-6E94-49D1-BC6D-D364FEA34FAE}"/>
    <cellStyle name="Normal 4 2 2 3 2 5 2 5" xfId="38992" xr:uid="{33075A7B-978E-4540-80BA-C67672ABD7A8}"/>
    <cellStyle name="Normal 4 2 2 3 2 5 2 6" xfId="12798" xr:uid="{1ADB41D4-CF75-4B74-809C-87D6F2EDD6AC}"/>
    <cellStyle name="Normal 4 2 2 3 2 5 3" xfId="5544" xr:uid="{00000000-0005-0000-0000-000038120000}"/>
    <cellStyle name="Normal 4 2 2 3 2 5 3 2" xfId="24170" xr:uid="{C34EA73A-4A4E-45FB-B99F-0911ED7A1CFA}"/>
    <cellStyle name="Normal 4 2 2 3 2 5 3 3" xfId="32617" xr:uid="{63384DAC-FCA0-47B4-8945-39CEC580ECB4}"/>
    <cellStyle name="Normal 4 2 2 3 2 5 3 4" xfId="41064" xr:uid="{2CFE509E-824E-40B1-BB2F-3F36BAD43417}"/>
    <cellStyle name="Normal 4 2 2 3 2 5 3 5" xfId="14870" xr:uid="{F83A1FAA-1417-4C90-9FAE-1B83A694FEA0}"/>
    <cellStyle name="Normal 4 2 2 3 2 5 4" xfId="19953" xr:uid="{B4E916E5-7E9D-4345-8F3E-725EA6216D58}"/>
    <cellStyle name="Normal 4 2 2 3 2 5 5" xfId="28400" xr:uid="{04BD2D36-DB64-4413-B89D-A82FC4D8C05E}"/>
    <cellStyle name="Normal 4 2 2 3 2 5 6" xfId="36847" xr:uid="{1A612418-2EA2-4759-B70C-6439BBB739CF}"/>
    <cellStyle name="Normal 4 2 2 3 2 5 7" xfId="10653" xr:uid="{52786192-17C1-4109-ADEB-91F58E8BA5B2}"/>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2 2 2" xfId="26728" xr:uid="{E6703D45-63A9-49D2-B247-5FEE335F5358}"/>
    <cellStyle name="Normal 4 2 2 3 2 6 2 2 3" xfId="35175" xr:uid="{1C94FE9B-408F-4C39-975E-E2B9AF483558}"/>
    <cellStyle name="Normal 4 2 2 3 2 6 2 2 4" xfId="43622" xr:uid="{4B86AEC4-5AA2-4BF1-B8B7-4FCDEB570497}"/>
    <cellStyle name="Normal 4 2 2 3 2 6 2 2 5" xfId="17428" xr:uid="{7C1F9612-0C9A-48E9-B50A-73768821926E}"/>
    <cellStyle name="Normal 4 2 2 3 2 6 2 3" xfId="22511" xr:uid="{9E3D8E7F-9E38-4259-AD12-AE3927B92ED7}"/>
    <cellStyle name="Normal 4 2 2 3 2 6 2 4" xfId="30958" xr:uid="{6FD26414-8F7C-4DC3-B20C-8E6C46FDD1CC}"/>
    <cellStyle name="Normal 4 2 2 3 2 6 2 5" xfId="39405" xr:uid="{187B6158-3CFE-4C8C-BDA7-CA3843B8D67E}"/>
    <cellStyle name="Normal 4 2 2 3 2 6 2 6" xfId="13211" xr:uid="{116216AF-CA53-4CEE-A933-1DCBD1878381}"/>
    <cellStyle name="Normal 4 2 2 3 2 6 3" xfId="5957" xr:uid="{00000000-0005-0000-0000-00003C120000}"/>
    <cellStyle name="Normal 4 2 2 3 2 6 3 2" xfId="24583" xr:uid="{FD6A0CD5-CC2A-46DC-B371-22AB57E3C31C}"/>
    <cellStyle name="Normal 4 2 2 3 2 6 3 3" xfId="33030" xr:uid="{E48B82B5-68DF-4037-82B0-5FD84A531F08}"/>
    <cellStyle name="Normal 4 2 2 3 2 6 3 4" xfId="41477" xr:uid="{9DD85D81-157B-4C69-A3DC-912BB97816A2}"/>
    <cellStyle name="Normal 4 2 2 3 2 6 3 5" xfId="15283" xr:uid="{F2C8ADE8-6687-41B0-91C0-5AFE422C7556}"/>
    <cellStyle name="Normal 4 2 2 3 2 6 4" xfId="20366" xr:uid="{E69AFB65-B028-421A-89DA-B5BADDC36316}"/>
    <cellStyle name="Normal 4 2 2 3 2 6 5" xfId="28813" xr:uid="{1A851A64-3BD3-4888-B011-46BDEA4C7E05}"/>
    <cellStyle name="Normal 4 2 2 3 2 6 6" xfId="37260" xr:uid="{FEEAF7BD-63A6-4819-B6C7-583D5928433C}"/>
    <cellStyle name="Normal 4 2 2 3 2 6 7" xfId="11066" xr:uid="{A62BD94E-3177-4368-A475-7835BFF3A84E}"/>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2 2 2" xfId="27141" xr:uid="{E23E08C0-5989-4B76-B2E2-D8761D40A3EB}"/>
    <cellStyle name="Normal 4 2 2 3 2 7 2 2 3" xfId="35588" xr:uid="{CABC578D-AE25-49C2-9AAB-EA77A856AC92}"/>
    <cellStyle name="Normal 4 2 2 3 2 7 2 2 4" xfId="44035" xr:uid="{079AA39E-DE71-43B2-A715-8709CF799F13}"/>
    <cellStyle name="Normal 4 2 2 3 2 7 2 2 5" xfId="17841" xr:uid="{4002E65C-D001-4EF4-A889-92351109E288}"/>
    <cellStyle name="Normal 4 2 2 3 2 7 2 3" xfId="22924" xr:uid="{21BF4898-937F-4194-B10F-88B95F0D35CC}"/>
    <cellStyle name="Normal 4 2 2 3 2 7 2 4" xfId="31371" xr:uid="{41B87809-31AB-43C3-A1BD-7A6A43D41D73}"/>
    <cellStyle name="Normal 4 2 2 3 2 7 2 5" xfId="39818" xr:uid="{0D4DBD13-A4DE-4910-B27A-F036EF0A6CA9}"/>
    <cellStyle name="Normal 4 2 2 3 2 7 2 6" xfId="13624" xr:uid="{0D606BE6-533B-4F2A-BD37-889038FCF926}"/>
    <cellStyle name="Normal 4 2 2 3 2 7 3" xfId="6370" xr:uid="{00000000-0005-0000-0000-000040120000}"/>
    <cellStyle name="Normal 4 2 2 3 2 7 3 2" xfId="24996" xr:uid="{C79F942B-DEF1-4591-AA53-015E6476CF75}"/>
    <cellStyle name="Normal 4 2 2 3 2 7 3 3" xfId="33443" xr:uid="{3A7D33BC-13F4-4322-AF1F-C17DAEE2E022}"/>
    <cellStyle name="Normal 4 2 2 3 2 7 3 4" xfId="41890" xr:uid="{ECE53255-D9DB-40B9-B940-6D0B4EE599ED}"/>
    <cellStyle name="Normal 4 2 2 3 2 7 3 5" xfId="15696" xr:uid="{7DD06648-C75E-4A6B-96D5-2E5B47EB9BB3}"/>
    <cellStyle name="Normal 4 2 2 3 2 7 4" xfId="20779" xr:uid="{E07709B9-F96B-4529-BAD6-32B67E9A31A8}"/>
    <cellStyle name="Normal 4 2 2 3 2 7 5" xfId="29226" xr:uid="{1BF6DBFA-0A66-4DCD-B4F5-09A64A382F35}"/>
    <cellStyle name="Normal 4 2 2 3 2 7 6" xfId="37673" xr:uid="{48E22912-A643-4C59-A640-B76E384BA6CA}"/>
    <cellStyle name="Normal 4 2 2 3 2 7 7" xfId="11479" xr:uid="{A0019BDD-9EDC-4A14-8FFE-000E67EA83BA}"/>
    <cellStyle name="Normal 4 2 2 3 2 8" xfId="2500" xr:uid="{00000000-0005-0000-0000-000041120000}"/>
    <cellStyle name="Normal 4 2 2 3 2 8 2" xfId="6783" xr:uid="{00000000-0005-0000-0000-000042120000}"/>
    <cellStyle name="Normal 4 2 2 3 2 8 2 2" xfId="25409" xr:uid="{7AF22860-8C0B-4CDD-8782-81C5C07BAF5F}"/>
    <cellStyle name="Normal 4 2 2 3 2 8 2 3" xfId="33856" xr:uid="{7984AD7B-42C5-4CA0-A739-FB13BCF3AFC3}"/>
    <cellStyle name="Normal 4 2 2 3 2 8 2 4" xfId="42303" xr:uid="{DD54711B-BCDC-453C-89B3-F7A6DE9B400B}"/>
    <cellStyle name="Normal 4 2 2 3 2 8 2 5" xfId="16109" xr:uid="{DF6CC78C-AA51-45E7-B26B-28891D080299}"/>
    <cellStyle name="Normal 4 2 2 3 2 8 3" xfId="21192" xr:uid="{2F11027B-F344-498D-A54A-225C51A03C7A}"/>
    <cellStyle name="Normal 4 2 2 3 2 8 4" xfId="29639" xr:uid="{36F613EE-A6C4-4C64-8EEC-A4EE1C3D326F}"/>
    <cellStyle name="Normal 4 2 2 3 2 8 5" xfId="38086" xr:uid="{19BF57C2-364F-48BF-AEA5-342D81268187}"/>
    <cellStyle name="Normal 4 2 2 3 2 8 6" xfId="11892" xr:uid="{59CAEA7A-1F12-4119-AEDE-365B3A80E7D6}"/>
    <cellStyle name="Normal 4 2 2 3 2 9" xfId="4718" xr:uid="{00000000-0005-0000-0000-000043120000}"/>
    <cellStyle name="Normal 4 2 2 3 2 9 2" xfId="23344" xr:uid="{E7A19F14-F631-4650-925F-25FE73C12F5B}"/>
    <cellStyle name="Normal 4 2 2 3 2 9 3" xfId="31791" xr:uid="{540CE4CB-8AD2-40D3-9B0B-E90753D79B71}"/>
    <cellStyle name="Normal 4 2 2 3 2 9 4" xfId="40238" xr:uid="{79F1D4DE-0AD5-4758-8C9A-6E6779BC149D}"/>
    <cellStyle name="Normal 4 2 2 3 2 9 5" xfId="14044" xr:uid="{6DD5E131-A135-4AC1-80A3-468D06436EC6}"/>
    <cellStyle name="Normal 4 2 2 3 3" xfId="344" xr:uid="{00000000-0005-0000-0000-000044120000}"/>
    <cellStyle name="Normal 4 2 2 3 3 10" xfId="19131" xr:uid="{B79F6F12-CE2C-4144-8F55-37595ACE6487}"/>
    <cellStyle name="Normal 4 2 2 3 3 11" xfId="27578" xr:uid="{F2AD3C3C-03F6-4D8A-8ED9-913CAD57BB70}"/>
    <cellStyle name="Normal 4 2 2 3 3 12" xfId="36025" xr:uid="{6FA48CAB-C622-46F5-9CBA-9DF0198EF7C8}"/>
    <cellStyle name="Normal 4 2 2 3 3 13" xfId="9831" xr:uid="{A0D76F14-72CC-4EB4-8CF7-900E671F0D50}"/>
    <cellStyle name="Normal 4 2 2 3 3 2" xfId="345" xr:uid="{00000000-0005-0000-0000-000045120000}"/>
    <cellStyle name="Normal 4 2 2 3 3 2 10" xfId="27579" xr:uid="{A8D1F91B-BBD6-487F-998E-3559FD1F45BA}"/>
    <cellStyle name="Normal 4 2 2 3 3 2 11" xfId="36026" xr:uid="{5E746F9E-FF08-47C1-BF4A-4669E804982B}"/>
    <cellStyle name="Normal 4 2 2 3 3 2 12" xfId="9832" xr:uid="{746D54C1-D891-43A4-9D7E-233E153D21FF}"/>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2 2 2" xfId="25907" xr:uid="{9BDA3AA1-ADC3-4CD2-83F4-BFF656B5C227}"/>
    <cellStyle name="Normal 4 2 2 3 3 2 2 2 2 3" xfId="34354" xr:uid="{80FDC9BB-4E32-4301-8014-6869AA270AB4}"/>
    <cellStyle name="Normal 4 2 2 3 3 2 2 2 2 4" xfId="42801" xr:uid="{CEC49D52-CAD1-4674-94BB-E5010687FFE3}"/>
    <cellStyle name="Normal 4 2 2 3 3 2 2 2 2 5" xfId="16607" xr:uid="{33B4C586-A667-422A-B046-20243F2D7BB6}"/>
    <cellStyle name="Normal 4 2 2 3 3 2 2 2 3" xfId="21690" xr:uid="{86CB4C6C-318B-4B4E-952E-D633C9943E69}"/>
    <cellStyle name="Normal 4 2 2 3 3 2 2 2 4" xfId="30137" xr:uid="{48458254-E64A-4B5F-9840-3710610AFDD7}"/>
    <cellStyle name="Normal 4 2 2 3 3 2 2 2 5" xfId="38584" xr:uid="{249CFA39-A24C-463E-9922-4F4D7EBB9EE3}"/>
    <cellStyle name="Normal 4 2 2 3 3 2 2 2 6" xfId="12390" xr:uid="{9E80A6D8-CEE2-4585-86AA-91C4C153D420}"/>
    <cellStyle name="Normal 4 2 2 3 3 2 2 3" xfId="5136" xr:uid="{00000000-0005-0000-0000-000049120000}"/>
    <cellStyle name="Normal 4 2 2 3 3 2 2 3 2" xfId="23762" xr:uid="{EA0A30C9-C0F4-4474-BF19-48146282F7C7}"/>
    <cellStyle name="Normal 4 2 2 3 3 2 2 3 3" xfId="32209" xr:uid="{A5A7C2F0-14D2-4FD9-B89A-45F8FF9448A9}"/>
    <cellStyle name="Normal 4 2 2 3 3 2 2 3 4" xfId="40656" xr:uid="{ACE9AFC8-3C31-4CCB-BA42-B5CE2D3F0F27}"/>
    <cellStyle name="Normal 4 2 2 3 3 2 2 3 5" xfId="14462" xr:uid="{1532B5C6-91F6-4548-B6F5-D9F970EEA782}"/>
    <cellStyle name="Normal 4 2 2 3 3 2 2 4" xfId="9519" xr:uid="{FB4BBD6E-D73B-4ABD-8656-6C15D7932E02}"/>
    <cellStyle name="Normal 4 2 2 3 3 2 2 4 2" xfId="18835" xr:uid="{17BDE33E-6372-4E52-A467-BECCA7F90FDA}"/>
    <cellStyle name="Normal 4 2 2 3 3 2 2 5" xfId="19545" xr:uid="{B26B3917-8225-4DF8-87E4-E2488708EF79}"/>
    <cellStyle name="Normal 4 2 2 3 3 2 2 6" xfId="27992" xr:uid="{EDC7563D-4EB3-4F54-992B-4C832EA3AE84}"/>
    <cellStyle name="Normal 4 2 2 3 3 2 2 7" xfId="36439" xr:uid="{4384845F-D7D4-4C0D-BDD5-E9EF13D0B278}"/>
    <cellStyle name="Normal 4 2 2 3 3 2 2 8" xfId="10245" xr:uid="{643FF79D-7F59-4784-A75F-6EC9EA9BFF88}"/>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2 2 2" xfId="26320" xr:uid="{9FB133CD-AF51-41B3-9421-1DEE77F7BACE}"/>
    <cellStyle name="Normal 4 2 2 3 3 2 3 2 2 3" xfId="34767" xr:uid="{C3F19EE0-2874-4637-AD5F-14065D393D57}"/>
    <cellStyle name="Normal 4 2 2 3 3 2 3 2 2 4" xfId="43214" xr:uid="{0BD5902C-0F46-45ED-8B63-79DABEB51C43}"/>
    <cellStyle name="Normal 4 2 2 3 3 2 3 2 2 5" xfId="17020" xr:uid="{B7AE44F2-2150-46E3-81F0-51A80882C95C}"/>
    <cellStyle name="Normal 4 2 2 3 3 2 3 2 3" xfId="22103" xr:uid="{A6F59322-B16A-4124-8666-6FAA4E03F633}"/>
    <cellStyle name="Normal 4 2 2 3 3 2 3 2 4" xfId="30550" xr:uid="{8C8FA3C0-9EC8-4FE1-8E3D-011941022861}"/>
    <cellStyle name="Normal 4 2 2 3 3 2 3 2 5" xfId="38997" xr:uid="{3F66A239-C8E8-4CD6-9B81-FB22248C372A}"/>
    <cellStyle name="Normal 4 2 2 3 3 2 3 2 6" xfId="12803" xr:uid="{D7BC3F4A-0B99-49A9-9E99-495E819DCBE2}"/>
    <cellStyle name="Normal 4 2 2 3 3 2 3 3" xfId="5549" xr:uid="{00000000-0005-0000-0000-00004D120000}"/>
    <cellStyle name="Normal 4 2 2 3 3 2 3 3 2" xfId="24175" xr:uid="{46A02B9E-F9B4-499F-81BD-F7750D802E9F}"/>
    <cellStyle name="Normal 4 2 2 3 3 2 3 3 3" xfId="32622" xr:uid="{D73BE1F7-8C49-4967-83CF-24F18CFB8704}"/>
    <cellStyle name="Normal 4 2 2 3 3 2 3 3 4" xfId="41069" xr:uid="{1990A3A9-D896-45C3-BD63-B837899117AC}"/>
    <cellStyle name="Normal 4 2 2 3 3 2 3 3 5" xfId="14875" xr:uid="{1307D036-CE04-4740-9915-2CBCBCD4D4A4}"/>
    <cellStyle name="Normal 4 2 2 3 3 2 3 4" xfId="19958" xr:uid="{93ABC876-F51D-4FB8-A840-A5C0981496C9}"/>
    <cellStyle name="Normal 4 2 2 3 3 2 3 5" xfId="28405" xr:uid="{4963A6AD-42AF-4B1D-9D58-44A7F01980CA}"/>
    <cellStyle name="Normal 4 2 2 3 3 2 3 6" xfId="36852" xr:uid="{F9BAD5E4-CA79-459E-B3F6-AD497A9820A8}"/>
    <cellStyle name="Normal 4 2 2 3 3 2 3 7" xfId="10658" xr:uid="{58953DF2-E556-4664-90CE-B392E18A6DDB}"/>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2 2 2" xfId="26733" xr:uid="{D035E68B-72B5-4E17-95DB-013C87B4DAFC}"/>
    <cellStyle name="Normal 4 2 2 3 3 2 4 2 2 3" xfId="35180" xr:uid="{4BA8CF58-1463-480C-B55B-65DD176B0F7C}"/>
    <cellStyle name="Normal 4 2 2 3 3 2 4 2 2 4" xfId="43627" xr:uid="{0C16577B-EA8E-4455-AA3E-AE26A89AE071}"/>
    <cellStyle name="Normal 4 2 2 3 3 2 4 2 2 5" xfId="17433" xr:uid="{0EC8918C-5F16-4736-A2C5-9825623F5C61}"/>
    <cellStyle name="Normal 4 2 2 3 3 2 4 2 3" xfId="22516" xr:uid="{976A15AB-F263-40DC-9B63-506F73C291A1}"/>
    <cellStyle name="Normal 4 2 2 3 3 2 4 2 4" xfId="30963" xr:uid="{30642550-4CB4-4D8C-ACF1-E6999DE78F67}"/>
    <cellStyle name="Normal 4 2 2 3 3 2 4 2 5" xfId="39410" xr:uid="{590879FA-2904-4789-9CB2-941476D3112D}"/>
    <cellStyle name="Normal 4 2 2 3 3 2 4 2 6" xfId="13216" xr:uid="{7D529906-B42B-4721-B19E-8BE198138540}"/>
    <cellStyle name="Normal 4 2 2 3 3 2 4 3" xfId="5962" xr:uid="{00000000-0005-0000-0000-000051120000}"/>
    <cellStyle name="Normal 4 2 2 3 3 2 4 3 2" xfId="24588" xr:uid="{50E3A1C1-A161-49A5-B73E-4C362B1EA44E}"/>
    <cellStyle name="Normal 4 2 2 3 3 2 4 3 3" xfId="33035" xr:uid="{CAFFCBB9-0C27-4446-888E-5539475D027F}"/>
    <cellStyle name="Normal 4 2 2 3 3 2 4 3 4" xfId="41482" xr:uid="{2BEAF5FE-39B7-414C-93D9-3B42CCB11FF1}"/>
    <cellStyle name="Normal 4 2 2 3 3 2 4 3 5" xfId="15288" xr:uid="{508AB4B6-907D-4288-BBE1-6753F1F0053C}"/>
    <cellStyle name="Normal 4 2 2 3 3 2 4 4" xfId="20371" xr:uid="{40A57BB8-74E1-46CA-994D-0C32233CB583}"/>
    <cellStyle name="Normal 4 2 2 3 3 2 4 5" xfId="28818" xr:uid="{FAFCE855-1C4E-419E-94E0-8D75CE3B3AA8}"/>
    <cellStyle name="Normal 4 2 2 3 3 2 4 6" xfId="37265" xr:uid="{E55D7011-E17B-4530-8FAA-3E7839E2278B}"/>
    <cellStyle name="Normal 4 2 2 3 3 2 4 7" xfId="11071" xr:uid="{3FF8A3C9-25BD-4DC6-A107-9C8DC99DF345}"/>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2 2 2" xfId="27146" xr:uid="{867F6095-04E5-4DB0-84FE-E9AC6220A88A}"/>
    <cellStyle name="Normal 4 2 2 3 3 2 5 2 2 3" xfId="35593" xr:uid="{46C30237-E4E8-4F1A-A2CF-121981E777C5}"/>
    <cellStyle name="Normal 4 2 2 3 3 2 5 2 2 4" xfId="44040" xr:uid="{07400EE4-E92B-4210-8137-D3D5979FBE73}"/>
    <cellStyle name="Normal 4 2 2 3 3 2 5 2 2 5" xfId="17846" xr:uid="{0178F5E8-111B-4F14-A965-5930FD32EB76}"/>
    <cellStyle name="Normal 4 2 2 3 3 2 5 2 3" xfId="22929" xr:uid="{736BC3A2-6463-4078-A0BC-5EF4295FB088}"/>
    <cellStyle name="Normal 4 2 2 3 3 2 5 2 4" xfId="31376" xr:uid="{482A4446-D562-497E-A684-2DA1B3F23A48}"/>
    <cellStyle name="Normal 4 2 2 3 3 2 5 2 5" xfId="39823" xr:uid="{5845B4EC-B579-40E5-A023-766F967B5001}"/>
    <cellStyle name="Normal 4 2 2 3 3 2 5 2 6" xfId="13629" xr:uid="{493929CD-5682-437D-837A-C7FE730C873F}"/>
    <cellStyle name="Normal 4 2 2 3 3 2 5 3" xfId="6375" xr:uid="{00000000-0005-0000-0000-000055120000}"/>
    <cellStyle name="Normal 4 2 2 3 3 2 5 3 2" xfId="25001" xr:uid="{6C3D7CD1-3D67-42B6-BC6C-854029D2D1D3}"/>
    <cellStyle name="Normal 4 2 2 3 3 2 5 3 3" xfId="33448" xr:uid="{DF7D1AA9-85ED-46B6-8AA0-FD842BD37600}"/>
    <cellStyle name="Normal 4 2 2 3 3 2 5 3 4" xfId="41895" xr:uid="{66AAFFA4-7591-47B9-98EC-29FE5F18EBA3}"/>
    <cellStyle name="Normal 4 2 2 3 3 2 5 3 5" xfId="15701" xr:uid="{F1BF7952-154F-48B1-97C7-C17022F33896}"/>
    <cellStyle name="Normal 4 2 2 3 3 2 5 4" xfId="20784" xr:uid="{31E12790-FD66-4F6C-BD5C-F6A2E527C6D8}"/>
    <cellStyle name="Normal 4 2 2 3 3 2 5 5" xfId="29231" xr:uid="{1C208238-2217-4DBE-8879-50031D3D3EB9}"/>
    <cellStyle name="Normal 4 2 2 3 3 2 5 6" xfId="37678" xr:uid="{92428340-A11C-4C1A-88C8-89A70A48978D}"/>
    <cellStyle name="Normal 4 2 2 3 3 2 5 7" xfId="11484" xr:uid="{292FC112-9500-46F2-8917-761D99134ED8}"/>
    <cellStyle name="Normal 4 2 2 3 3 2 6" xfId="2505" xr:uid="{00000000-0005-0000-0000-000056120000}"/>
    <cellStyle name="Normal 4 2 2 3 3 2 6 2" xfId="6788" xr:uid="{00000000-0005-0000-0000-000057120000}"/>
    <cellStyle name="Normal 4 2 2 3 3 2 6 2 2" xfId="25414" xr:uid="{C632928F-1812-47BB-AE00-D14B4A5C0449}"/>
    <cellStyle name="Normal 4 2 2 3 3 2 6 2 3" xfId="33861" xr:uid="{F0AFDA20-D754-4B91-A5A2-65FEE5FE0982}"/>
    <cellStyle name="Normal 4 2 2 3 3 2 6 2 4" xfId="42308" xr:uid="{30D4C8E5-2FFB-4734-B0EB-5E7136749B9B}"/>
    <cellStyle name="Normal 4 2 2 3 3 2 6 2 5" xfId="16114" xr:uid="{9BB22AA9-928D-4D36-AE6C-5BE0918CE8DD}"/>
    <cellStyle name="Normal 4 2 2 3 3 2 6 3" xfId="21197" xr:uid="{40CD754D-A2A8-4379-A700-92F0CAF48544}"/>
    <cellStyle name="Normal 4 2 2 3 3 2 6 4" xfId="29644" xr:uid="{3E0D4AE3-ADCF-4C86-9E68-1FC8EB967D87}"/>
    <cellStyle name="Normal 4 2 2 3 3 2 6 5" xfId="38091" xr:uid="{AD10694E-E5CF-44DB-914F-06DE86868461}"/>
    <cellStyle name="Normal 4 2 2 3 3 2 6 6" xfId="11897" xr:uid="{979A142F-05C3-4405-A97A-7C73BB2DA585}"/>
    <cellStyle name="Normal 4 2 2 3 3 2 7" xfId="4723" xr:uid="{00000000-0005-0000-0000-000058120000}"/>
    <cellStyle name="Normal 4 2 2 3 3 2 7 2" xfId="23349" xr:uid="{13626DAF-6EA3-4319-A133-ACA58E648A95}"/>
    <cellStyle name="Normal 4 2 2 3 3 2 7 3" xfId="31796" xr:uid="{B1701B75-057F-4A26-A91F-21612F1FF22B}"/>
    <cellStyle name="Normal 4 2 2 3 3 2 7 4" xfId="40243" xr:uid="{30BFCD54-FF78-47AF-8C79-D2A5549F0FB2}"/>
    <cellStyle name="Normal 4 2 2 3 3 2 7 5" xfId="14049" xr:uid="{E1098498-9DE2-43B6-B9F2-AF87B2CF1143}"/>
    <cellStyle name="Normal 4 2 2 3 3 2 8" xfId="9094" xr:uid="{1333D468-E252-4686-88C1-38A56B910A8E}"/>
    <cellStyle name="Normal 4 2 2 3 3 2 8 2" xfId="18418" xr:uid="{FDF46D27-6DED-44AF-9B55-019EAFD8C433}"/>
    <cellStyle name="Normal 4 2 2 3 3 2 9" xfId="19132" xr:uid="{58C19680-9A9E-43CA-83A5-D539F11AE5B4}"/>
    <cellStyle name="Normal 4 2 2 3 3 3" xfId="821" xr:uid="{00000000-0005-0000-0000-000059120000}"/>
    <cellStyle name="Normal 4 2 2 3 3 3 2" xfId="3058" xr:uid="{00000000-0005-0000-0000-00005A120000}"/>
    <cellStyle name="Normal 4 2 2 3 3 3 2 2" xfId="7280" xr:uid="{00000000-0005-0000-0000-00005B120000}"/>
    <cellStyle name="Normal 4 2 2 3 3 3 2 2 2" xfId="25906" xr:uid="{227A5D6E-E32D-466B-AE36-A8EBB30E124D}"/>
    <cellStyle name="Normal 4 2 2 3 3 3 2 2 3" xfId="34353" xr:uid="{5928A3BB-F9E3-4CA1-B162-6C2696C91187}"/>
    <cellStyle name="Normal 4 2 2 3 3 3 2 2 4" xfId="42800" xr:uid="{5AE97EE6-795D-47EE-80F9-1F4503D70156}"/>
    <cellStyle name="Normal 4 2 2 3 3 3 2 2 5" xfId="16606" xr:uid="{F1DED3B4-416A-45BF-8C1C-BC5CAD6F4FEC}"/>
    <cellStyle name="Normal 4 2 2 3 3 3 2 3" xfId="21689" xr:uid="{D7FE1B1F-888E-46C2-B712-85BB3D780D27}"/>
    <cellStyle name="Normal 4 2 2 3 3 3 2 4" xfId="30136" xr:uid="{F62E4A06-8794-4FEC-808D-F0504B206BF0}"/>
    <cellStyle name="Normal 4 2 2 3 3 3 2 5" xfId="38583" xr:uid="{3D134B7B-34EA-4276-B6A8-6A08C670AFED}"/>
    <cellStyle name="Normal 4 2 2 3 3 3 2 6" xfId="12389" xr:uid="{6397AF67-AAC0-44AC-BE52-0D8D38D59FCB}"/>
    <cellStyle name="Normal 4 2 2 3 3 3 3" xfId="5135" xr:uid="{00000000-0005-0000-0000-00005C120000}"/>
    <cellStyle name="Normal 4 2 2 3 3 3 3 2" xfId="23761" xr:uid="{8993FF6C-1C0C-44BA-874A-3108E85C621C}"/>
    <cellStyle name="Normal 4 2 2 3 3 3 3 3" xfId="32208" xr:uid="{009DEF21-B6B6-47EE-AF4F-BE097ABE530D}"/>
    <cellStyle name="Normal 4 2 2 3 3 3 3 4" xfId="40655" xr:uid="{AF5B233A-FBC2-46E8-ADB4-FB5502BAEEBD}"/>
    <cellStyle name="Normal 4 2 2 3 3 3 3 5" xfId="14461" xr:uid="{06DA2901-7B7B-428B-ADAF-F557CB80FDAC}"/>
    <cellStyle name="Normal 4 2 2 3 3 3 4" xfId="9312" xr:uid="{0065946C-778C-4913-8F8B-68BBB1A30769}"/>
    <cellStyle name="Normal 4 2 2 3 3 3 4 2" xfId="18628" xr:uid="{317A4612-BFAD-44A1-830C-94C41A752BB1}"/>
    <cellStyle name="Normal 4 2 2 3 3 3 5" xfId="19544" xr:uid="{FEA8B691-5EAC-4689-B788-AF49DA697C22}"/>
    <cellStyle name="Normal 4 2 2 3 3 3 6" xfId="27991" xr:uid="{B579FB78-FA2F-42E3-A684-703A13C6FFBE}"/>
    <cellStyle name="Normal 4 2 2 3 3 3 7" xfId="36438" xr:uid="{765064FD-A395-4C38-834B-A84F8E563D5C}"/>
    <cellStyle name="Normal 4 2 2 3 3 3 8" xfId="10244" xr:uid="{9070F488-36D4-4765-BCF3-E4D08D027D7D}"/>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2 2 2" xfId="26319" xr:uid="{F0901D5B-BE47-47D0-B90D-02EB4A4C0A5F}"/>
    <cellStyle name="Normal 4 2 2 3 3 4 2 2 3" xfId="34766" xr:uid="{B20D190B-702A-4606-9690-FA3CFF6A2DC3}"/>
    <cellStyle name="Normal 4 2 2 3 3 4 2 2 4" xfId="43213" xr:uid="{8AECB510-C94A-4456-8D9A-7181BCC1DE0A}"/>
    <cellStyle name="Normal 4 2 2 3 3 4 2 2 5" xfId="17019" xr:uid="{94C812FE-2915-4710-85BF-B36F9F10A693}"/>
    <cellStyle name="Normal 4 2 2 3 3 4 2 3" xfId="22102" xr:uid="{6AB0F683-7D92-4B31-93C8-A8D5D07068C8}"/>
    <cellStyle name="Normal 4 2 2 3 3 4 2 4" xfId="30549" xr:uid="{1190D0D8-FCB1-4ADB-AA3B-314AACEB1F78}"/>
    <cellStyle name="Normal 4 2 2 3 3 4 2 5" xfId="38996" xr:uid="{1759AFB6-CABC-4C39-B651-18CF9584FAB6}"/>
    <cellStyle name="Normal 4 2 2 3 3 4 2 6" xfId="12802" xr:uid="{6F785CC1-5B5A-4C18-873F-8859F650F745}"/>
    <cellStyle name="Normal 4 2 2 3 3 4 3" xfId="5548" xr:uid="{00000000-0005-0000-0000-000060120000}"/>
    <cellStyle name="Normal 4 2 2 3 3 4 3 2" xfId="24174" xr:uid="{E618A7D9-7316-484E-BF68-D471A0F8BADC}"/>
    <cellStyle name="Normal 4 2 2 3 3 4 3 3" xfId="32621" xr:uid="{85FEA33F-AEB0-48EE-85AA-20FBD623C596}"/>
    <cellStyle name="Normal 4 2 2 3 3 4 3 4" xfId="41068" xr:uid="{525D3D66-64F1-4A92-818C-6C0564802377}"/>
    <cellStyle name="Normal 4 2 2 3 3 4 3 5" xfId="14874" xr:uid="{F3563BAB-AA48-445C-83A0-9AACA4A0D22F}"/>
    <cellStyle name="Normal 4 2 2 3 3 4 4" xfId="19957" xr:uid="{04146EF7-B422-465E-A89B-2791FE4EC6BD}"/>
    <cellStyle name="Normal 4 2 2 3 3 4 5" xfId="28404" xr:uid="{5FA63519-732E-4593-A44D-54EC679193FD}"/>
    <cellStyle name="Normal 4 2 2 3 3 4 6" xfId="36851" xr:uid="{DFFBF2C9-1490-4D4A-9660-FB1CB35669E7}"/>
    <cellStyle name="Normal 4 2 2 3 3 4 7" xfId="10657" xr:uid="{CCBE3F10-C163-486B-AA19-C0B17621B967}"/>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2 2 2" xfId="26732" xr:uid="{256D6438-D2CD-4398-97FF-4506AEBA6108}"/>
    <cellStyle name="Normal 4 2 2 3 3 5 2 2 3" xfId="35179" xr:uid="{CC2AC10D-FBA2-474B-A30A-D13F0D0F35E7}"/>
    <cellStyle name="Normal 4 2 2 3 3 5 2 2 4" xfId="43626" xr:uid="{2F781869-3DCC-4E99-8C7E-E9798FDBFEF5}"/>
    <cellStyle name="Normal 4 2 2 3 3 5 2 2 5" xfId="17432" xr:uid="{80B3A277-A9AB-42BF-A98A-7466304E960F}"/>
    <cellStyle name="Normal 4 2 2 3 3 5 2 3" xfId="22515" xr:uid="{26D73F06-BC4C-41E6-9170-2BC2C5300C67}"/>
    <cellStyle name="Normal 4 2 2 3 3 5 2 4" xfId="30962" xr:uid="{407682A2-A106-4165-BE71-40B388996575}"/>
    <cellStyle name="Normal 4 2 2 3 3 5 2 5" xfId="39409" xr:uid="{01E37A94-BC39-4BE6-AC36-C63D6E38E1CE}"/>
    <cellStyle name="Normal 4 2 2 3 3 5 2 6" xfId="13215" xr:uid="{2C41C1D9-E220-46D1-97FB-B1487C67A5F6}"/>
    <cellStyle name="Normal 4 2 2 3 3 5 3" xfId="5961" xr:uid="{00000000-0005-0000-0000-000064120000}"/>
    <cellStyle name="Normal 4 2 2 3 3 5 3 2" xfId="24587" xr:uid="{6C31A9A2-95DB-4772-8FD9-2E8EC5EB961E}"/>
    <cellStyle name="Normal 4 2 2 3 3 5 3 3" xfId="33034" xr:uid="{4C5255A2-5060-42E7-A090-1A3CFFB96989}"/>
    <cellStyle name="Normal 4 2 2 3 3 5 3 4" xfId="41481" xr:uid="{54B4C074-7C72-44DE-97AC-00F3C785C3CA}"/>
    <cellStyle name="Normal 4 2 2 3 3 5 3 5" xfId="15287" xr:uid="{98535191-432C-4A98-A906-F69EB7060F83}"/>
    <cellStyle name="Normal 4 2 2 3 3 5 4" xfId="20370" xr:uid="{6C9FDE66-0050-43FE-A8E8-B44542FB6C5D}"/>
    <cellStyle name="Normal 4 2 2 3 3 5 5" xfId="28817" xr:uid="{30F939DC-DC98-48DE-BDAB-470F432F24B2}"/>
    <cellStyle name="Normal 4 2 2 3 3 5 6" xfId="37264" xr:uid="{A35FA393-A67A-45E0-99E7-84E46EB50C13}"/>
    <cellStyle name="Normal 4 2 2 3 3 5 7" xfId="11070" xr:uid="{7EE9F554-BA31-4D8D-82B0-F9F9D27D7E9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2 2 2" xfId="27145" xr:uid="{AEE56B88-A375-4D8A-A256-CD338EAE1C11}"/>
    <cellStyle name="Normal 4 2 2 3 3 6 2 2 3" xfId="35592" xr:uid="{5A01EFB4-BEB9-4425-94F7-5F73F711F8E7}"/>
    <cellStyle name="Normal 4 2 2 3 3 6 2 2 4" xfId="44039" xr:uid="{F12FFFB7-DDCF-418C-9FB9-A995F036E2AC}"/>
    <cellStyle name="Normal 4 2 2 3 3 6 2 2 5" xfId="17845" xr:uid="{17A5B509-1D65-4A60-A96E-E8BDE25BC25C}"/>
    <cellStyle name="Normal 4 2 2 3 3 6 2 3" xfId="22928" xr:uid="{AFD64C22-2931-4AEC-A81A-0AF0049AC7EC}"/>
    <cellStyle name="Normal 4 2 2 3 3 6 2 4" xfId="31375" xr:uid="{7379981D-193B-4ACD-A6F7-3A1DAA204758}"/>
    <cellStyle name="Normal 4 2 2 3 3 6 2 5" xfId="39822" xr:uid="{B2D8C8FC-C9AB-4DEE-804C-2006D7E346FA}"/>
    <cellStyle name="Normal 4 2 2 3 3 6 2 6" xfId="13628" xr:uid="{1D430708-B168-4F68-A869-F88532C1E32C}"/>
    <cellStyle name="Normal 4 2 2 3 3 6 3" xfId="6374" xr:uid="{00000000-0005-0000-0000-000068120000}"/>
    <cellStyle name="Normal 4 2 2 3 3 6 3 2" xfId="25000" xr:uid="{9149F653-A5C9-4B64-896D-C4E77767D34A}"/>
    <cellStyle name="Normal 4 2 2 3 3 6 3 3" xfId="33447" xr:uid="{14013125-EB0C-4303-88EA-3BD8039DA417}"/>
    <cellStyle name="Normal 4 2 2 3 3 6 3 4" xfId="41894" xr:uid="{BB3B8E70-AEAA-496D-8DFC-1B35EC0360E3}"/>
    <cellStyle name="Normal 4 2 2 3 3 6 3 5" xfId="15700" xr:uid="{E1F5C2A9-00A4-4B50-B6CF-1F47190E5877}"/>
    <cellStyle name="Normal 4 2 2 3 3 6 4" xfId="20783" xr:uid="{9D6BBD92-663B-4494-AE1B-C5F58AA3BE85}"/>
    <cellStyle name="Normal 4 2 2 3 3 6 5" xfId="29230" xr:uid="{EF786F73-5A2F-408E-94B7-E74FF9A0E5B3}"/>
    <cellStyle name="Normal 4 2 2 3 3 6 6" xfId="37677" xr:uid="{CB3D9B47-D567-4BB1-AE9F-20DB247E18D5}"/>
    <cellStyle name="Normal 4 2 2 3 3 6 7" xfId="11483" xr:uid="{939D0C6A-477F-44F7-AAC2-2B5DACA0078A}"/>
    <cellStyle name="Normal 4 2 2 3 3 7" xfId="2504" xr:uid="{00000000-0005-0000-0000-000069120000}"/>
    <cellStyle name="Normal 4 2 2 3 3 7 2" xfId="6787" xr:uid="{00000000-0005-0000-0000-00006A120000}"/>
    <cellStyle name="Normal 4 2 2 3 3 7 2 2" xfId="25413" xr:uid="{8EA66EDC-75E7-40EB-AA1E-5B010038A2AC}"/>
    <cellStyle name="Normal 4 2 2 3 3 7 2 3" xfId="33860" xr:uid="{A4E0EEFC-88D8-4FBE-8523-6C7D90E3FEE6}"/>
    <cellStyle name="Normal 4 2 2 3 3 7 2 4" xfId="42307" xr:uid="{EFA51A41-C833-4B50-95EF-7CAD00565B30}"/>
    <cellStyle name="Normal 4 2 2 3 3 7 2 5" xfId="16113" xr:uid="{707F92F3-9766-43BE-9D0C-6962C15D05A8}"/>
    <cellStyle name="Normal 4 2 2 3 3 7 3" xfId="21196" xr:uid="{448F1E82-FF5C-4B7F-804B-2DA23C184313}"/>
    <cellStyle name="Normal 4 2 2 3 3 7 4" xfId="29643" xr:uid="{BC17C68D-6E21-4CBD-B13C-C986E529059C}"/>
    <cellStyle name="Normal 4 2 2 3 3 7 5" xfId="38090" xr:uid="{A1E82FA3-EF09-46B6-BB1E-45EDC6CA8878}"/>
    <cellStyle name="Normal 4 2 2 3 3 7 6" xfId="11896" xr:uid="{D70CB39E-B4AE-4548-A73A-ED88CE9CD28C}"/>
    <cellStyle name="Normal 4 2 2 3 3 8" xfId="4722" xr:uid="{00000000-0005-0000-0000-00006B120000}"/>
    <cellStyle name="Normal 4 2 2 3 3 8 2" xfId="23348" xr:uid="{B951ABFD-9255-41DF-95CC-BE38E22DE81C}"/>
    <cellStyle name="Normal 4 2 2 3 3 8 3" xfId="31795" xr:uid="{91542E41-8E26-4B6C-B859-4835592ECAED}"/>
    <cellStyle name="Normal 4 2 2 3 3 8 4" xfId="40242" xr:uid="{79F7B9C1-8919-4C80-B9DD-4292253C80F8}"/>
    <cellStyle name="Normal 4 2 2 3 3 8 5" xfId="14048" xr:uid="{D78C1077-FFC2-4B27-A023-887B39BCB79E}"/>
    <cellStyle name="Normal 4 2 2 3 3 9" xfId="8887" xr:uid="{FD79599D-FD4F-44F4-A7A6-B948A2C15DD2}"/>
    <cellStyle name="Normal 4 2 2 3 3 9 2" xfId="18211" xr:uid="{F7827204-D0F2-42C7-BF1F-A4F6606A8A78}"/>
    <cellStyle name="Normal 4 2 2 3 4" xfId="346" xr:uid="{00000000-0005-0000-0000-00006C120000}"/>
    <cellStyle name="Normal 4 2 2 3 4 10" xfId="27580" xr:uid="{BF71519F-2292-4B50-B716-C706CE7971BB}"/>
    <cellStyle name="Normal 4 2 2 3 4 11" xfId="36027" xr:uid="{DEC6B364-3514-482C-8BC5-3A95896E6AF0}"/>
    <cellStyle name="Normal 4 2 2 3 4 12" xfId="9833" xr:uid="{827AE4CB-7001-42F4-95C7-217C3E8DAFD4}"/>
    <cellStyle name="Normal 4 2 2 3 4 2" xfId="823" xr:uid="{00000000-0005-0000-0000-00006D120000}"/>
    <cellStyle name="Normal 4 2 2 3 4 2 2" xfId="3060" xr:uid="{00000000-0005-0000-0000-00006E120000}"/>
    <cellStyle name="Normal 4 2 2 3 4 2 2 2" xfId="7282" xr:uid="{00000000-0005-0000-0000-00006F120000}"/>
    <cellStyle name="Normal 4 2 2 3 4 2 2 2 2" xfId="25908" xr:uid="{ED6EF6EA-F681-4578-8B74-A42C85612C8E}"/>
    <cellStyle name="Normal 4 2 2 3 4 2 2 2 3" xfId="34355" xr:uid="{FB737405-60F5-4A13-81AE-9704E252C49F}"/>
    <cellStyle name="Normal 4 2 2 3 4 2 2 2 4" xfId="42802" xr:uid="{D08EC18C-6200-4091-BF65-662D5A675D75}"/>
    <cellStyle name="Normal 4 2 2 3 4 2 2 2 5" xfId="16608" xr:uid="{D5C0514A-1E96-455C-AF07-3614E2168E73}"/>
    <cellStyle name="Normal 4 2 2 3 4 2 2 3" xfId="21691" xr:uid="{6E29BD2F-15E0-4668-B031-B6543E6936D7}"/>
    <cellStyle name="Normal 4 2 2 3 4 2 2 4" xfId="30138" xr:uid="{71DD0938-64B9-4669-BA68-C54A7161B451}"/>
    <cellStyle name="Normal 4 2 2 3 4 2 2 5" xfId="38585" xr:uid="{8944554D-9B08-4CDA-98FD-2371D51E5001}"/>
    <cellStyle name="Normal 4 2 2 3 4 2 2 6" xfId="12391" xr:uid="{E0F11C1E-5240-4964-AA59-200D2E0336E5}"/>
    <cellStyle name="Normal 4 2 2 3 4 2 3" xfId="5137" xr:uid="{00000000-0005-0000-0000-000070120000}"/>
    <cellStyle name="Normal 4 2 2 3 4 2 3 2" xfId="23763" xr:uid="{A7A87A37-A1AB-4461-BCD5-A6A4D5C91447}"/>
    <cellStyle name="Normal 4 2 2 3 4 2 3 3" xfId="32210" xr:uid="{650A6570-3FDB-4063-8375-2D17E3C2B88E}"/>
    <cellStyle name="Normal 4 2 2 3 4 2 3 4" xfId="40657" xr:uid="{8385C288-9B63-4B06-934A-D2E8E106A130}"/>
    <cellStyle name="Normal 4 2 2 3 4 2 3 5" xfId="14463" xr:uid="{D868327E-8278-4B0E-AF40-2AF24D87B7FD}"/>
    <cellStyle name="Normal 4 2 2 3 4 2 4" xfId="9416" xr:uid="{B0F1A5CD-0EDE-48A7-9669-6902681F696C}"/>
    <cellStyle name="Normal 4 2 2 3 4 2 4 2" xfId="18732" xr:uid="{C6FABAF2-B3AB-4732-83C8-AB198C02D4E0}"/>
    <cellStyle name="Normal 4 2 2 3 4 2 5" xfId="19546" xr:uid="{DCA09855-47EB-4535-8B4E-697564953A93}"/>
    <cellStyle name="Normal 4 2 2 3 4 2 6" xfId="27993" xr:uid="{8A8DEFCB-592D-4447-AF04-AA876A85D581}"/>
    <cellStyle name="Normal 4 2 2 3 4 2 7" xfId="36440" xr:uid="{35728BC6-9746-44C8-9157-7955B9B5641E}"/>
    <cellStyle name="Normal 4 2 2 3 4 2 8" xfId="10246" xr:uid="{915B91DB-874E-45D0-8D59-0A87E4A99116}"/>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2 2 2" xfId="26321" xr:uid="{3552F727-29C5-41E9-838A-065E32207BCF}"/>
    <cellStyle name="Normal 4 2 2 3 4 3 2 2 3" xfId="34768" xr:uid="{230B1F88-267D-4380-87D4-19EDDEA38F5D}"/>
    <cellStyle name="Normal 4 2 2 3 4 3 2 2 4" xfId="43215" xr:uid="{DFA82237-EBD1-4B60-85A0-0671B781FEE0}"/>
    <cellStyle name="Normal 4 2 2 3 4 3 2 2 5" xfId="17021" xr:uid="{9A309D88-2FCF-4339-8552-ACFAF07D2186}"/>
    <cellStyle name="Normal 4 2 2 3 4 3 2 3" xfId="22104" xr:uid="{E6AD2A5E-F926-4A94-A07D-307FB48A8E83}"/>
    <cellStyle name="Normal 4 2 2 3 4 3 2 4" xfId="30551" xr:uid="{BBF8333B-2428-4E30-ADB8-1A13F076F9F6}"/>
    <cellStyle name="Normal 4 2 2 3 4 3 2 5" xfId="38998" xr:uid="{684619EC-8556-4944-9B3C-1093DB5B6EBB}"/>
    <cellStyle name="Normal 4 2 2 3 4 3 2 6" xfId="12804" xr:uid="{97697910-8AF9-4673-A36F-DBBA92A0DE44}"/>
    <cellStyle name="Normal 4 2 2 3 4 3 3" xfId="5550" xr:uid="{00000000-0005-0000-0000-000074120000}"/>
    <cellStyle name="Normal 4 2 2 3 4 3 3 2" xfId="24176" xr:uid="{05DB4A53-31E2-4FB4-8979-9453B80A8E6C}"/>
    <cellStyle name="Normal 4 2 2 3 4 3 3 3" xfId="32623" xr:uid="{FD7E67CA-CF05-4E3E-8EF3-534D8DD6B39A}"/>
    <cellStyle name="Normal 4 2 2 3 4 3 3 4" xfId="41070" xr:uid="{A543F16A-795A-497F-A288-49AB6BADA444}"/>
    <cellStyle name="Normal 4 2 2 3 4 3 3 5" xfId="14876" xr:uid="{08767703-86ED-4A19-BFB2-EB46C405D014}"/>
    <cellStyle name="Normal 4 2 2 3 4 3 4" xfId="19959" xr:uid="{71E588E2-3E09-49DD-B8B5-B12290AEB996}"/>
    <cellStyle name="Normal 4 2 2 3 4 3 5" xfId="28406" xr:uid="{E58504DC-D4A1-4E03-943F-FA01155EF8C7}"/>
    <cellStyle name="Normal 4 2 2 3 4 3 6" xfId="36853" xr:uid="{2F358605-A159-489C-AEED-8DE9C7806AC5}"/>
    <cellStyle name="Normal 4 2 2 3 4 3 7" xfId="10659" xr:uid="{92A1EC9B-7A0E-436D-9D50-54D4CDC520A1}"/>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2 2 2" xfId="26734" xr:uid="{7B6C229A-4DF2-4977-84F2-D8C54505CC81}"/>
    <cellStyle name="Normal 4 2 2 3 4 4 2 2 3" xfId="35181" xr:uid="{0531D7B9-461D-4F37-8065-F0E2B302DADC}"/>
    <cellStyle name="Normal 4 2 2 3 4 4 2 2 4" xfId="43628" xr:uid="{818F6BB6-D91A-4B85-A24F-9DE378FBE448}"/>
    <cellStyle name="Normal 4 2 2 3 4 4 2 2 5" xfId="17434" xr:uid="{FA2FF629-8F72-4BF2-BA74-25D43805A117}"/>
    <cellStyle name="Normal 4 2 2 3 4 4 2 3" xfId="22517" xr:uid="{40C1761E-53B0-449D-B851-63E21432DECB}"/>
    <cellStyle name="Normal 4 2 2 3 4 4 2 4" xfId="30964" xr:uid="{9522F127-15DC-441E-9356-61C569889AC6}"/>
    <cellStyle name="Normal 4 2 2 3 4 4 2 5" xfId="39411" xr:uid="{DE69E744-EE07-4E95-AC1D-9CA73783A826}"/>
    <cellStyle name="Normal 4 2 2 3 4 4 2 6" xfId="13217" xr:uid="{F1572BA1-314D-4F48-AF03-329A5A4C64D3}"/>
    <cellStyle name="Normal 4 2 2 3 4 4 3" xfId="5963" xr:uid="{00000000-0005-0000-0000-000078120000}"/>
    <cellStyle name="Normal 4 2 2 3 4 4 3 2" xfId="24589" xr:uid="{4B394F5B-324A-470D-827D-0E78F7D7384B}"/>
    <cellStyle name="Normal 4 2 2 3 4 4 3 3" xfId="33036" xr:uid="{5032F31D-A999-4928-A5A9-DDCA3195F53F}"/>
    <cellStyle name="Normal 4 2 2 3 4 4 3 4" xfId="41483" xr:uid="{0A1CBD45-2576-4560-97F8-8E4626068019}"/>
    <cellStyle name="Normal 4 2 2 3 4 4 3 5" xfId="15289" xr:uid="{C02FD4AC-A62D-464C-A751-4AB11001CBE9}"/>
    <cellStyle name="Normal 4 2 2 3 4 4 4" xfId="20372" xr:uid="{3663FF01-7E78-441C-94AC-9858BEA4AD6E}"/>
    <cellStyle name="Normal 4 2 2 3 4 4 5" xfId="28819" xr:uid="{4A0CABF9-69D0-4DB6-AB79-660B6D85C1EA}"/>
    <cellStyle name="Normal 4 2 2 3 4 4 6" xfId="37266" xr:uid="{8B56D999-D456-4A55-BFCF-B9A6058402FF}"/>
    <cellStyle name="Normal 4 2 2 3 4 4 7" xfId="11072" xr:uid="{4F1778EB-4B65-483D-8184-10FA88635906}"/>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2 2 2" xfId="27147" xr:uid="{6F1762EF-3635-4579-ABD3-C2992F74B2E7}"/>
    <cellStyle name="Normal 4 2 2 3 4 5 2 2 3" xfId="35594" xr:uid="{7571C3FD-9462-4CCF-BCF8-B43D082F9BE4}"/>
    <cellStyle name="Normal 4 2 2 3 4 5 2 2 4" xfId="44041" xr:uid="{B5F602D5-A1D9-427C-BC46-6A332ACBD2DA}"/>
    <cellStyle name="Normal 4 2 2 3 4 5 2 2 5" xfId="17847" xr:uid="{6A6A11EF-4FCE-4E0B-825C-E4210C83ECA3}"/>
    <cellStyle name="Normal 4 2 2 3 4 5 2 3" xfId="22930" xr:uid="{980EF244-5A44-4892-B30E-6371E15B5FE7}"/>
    <cellStyle name="Normal 4 2 2 3 4 5 2 4" xfId="31377" xr:uid="{BCE988EE-6B73-4895-B9F4-EF7C75ACD112}"/>
    <cellStyle name="Normal 4 2 2 3 4 5 2 5" xfId="39824" xr:uid="{477A4814-4AC2-473A-A681-82922C9F7AEE}"/>
    <cellStyle name="Normal 4 2 2 3 4 5 2 6" xfId="13630" xr:uid="{2641D4E6-B057-408B-9BA0-710E8DAB091F}"/>
    <cellStyle name="Normal 4 2 2 3 4 5 3" xfId="6376" xr:uid="{00000000-0005-0000-0000-00007C120000}"/>
    <cellStyle name="Normal 4 2 2 3 4 5 3 2" xfId="25002" xr:uid="{B1373F34-91C8-416F-9ED1-5DD1744A1066}"/>
    <cellStyle name="Normal 4 2 2 3 4 5 3 3" xfId="33449" xr:uid="{A11A3B17-34AA-444E-8AA9-EE8551FE9907}"/>
    <cellStyle name="Normal 4 2 2 3 4 5 3 4" xfId="41896" xr:uid="{31C857D7-053E-40C0-8F28-72EC62EDBAF6}"/>
    <cellStyle name="Normal 4 2 2 3 4 5 3 5" xfId="15702" xr:uid="{397BDC1D-5599-40AC-BFD2-C4AAE1CC1530}"/>
    <cellStyle name="Normal 4 2 2 3 4 5 4" xfId="20785" xr:uid="{AA60BC16-8EEA-43A3-AECD-139450CB19E7}"/>
    <cellStyle name="Normal 4 2 2 3 4 5 5" xfId="29232" xr:uid="{436A2345-D692-4EA4-B930-096E3C6CFC7C}"/>
    <cellStyle name="Normal 4 2 2 3 4 5 6" xfId="37679" xr:uid="{F73B67A7-1C81-48E3-AF3C-F2AC30781F42}"/>
    <cellStyle name="Normal 4 2 2 3 4 5 7" xfId="11485" xr:uid="{090F153C-257B-42B9-AB99-DD2FA4A209A7}"/>
    <cellStyle name="Normal 4 2 2 3 4 6" xfId="2506" xr:uid="{00000000-0005-0000-0000-00007D120000}"/>
    <cellStyle name="Normal 4 2 2 3 4 6 2" xfId="6789" xr:uid="{00000000-0005-0000-0000-00007E120000}"/>
    <cellStyle name="Normal 4 2 2 3 4 6 2 2" xfId="25415" xr:uid="{8B58C194-2DB8-4B71-93E2-C0AA811E0771}"/>
    <cellStyle name="Normal 4 2 2 3 4 6 2 3" xfId="33862" xr:uid="{6F1BF5DF-4304-4938-B15A-2E8BE770BCE4}"/>
    <cellStyle name="Normal 4 2 2 3 4 6 2 4" xfId="42309" xr:uid="{8316D264-DD5B-4F05-B3B6-BE69E525216C}"/>
    <cellStyle name="Normal 4 2 2 3 4 6 2 5" xfId="16115" xr:uid="{2A4D4B2E-53A1-4EFA-BC56-ED8D27E87D75}"/>
    <cellStyle name="Normal 4 2 2 3 4 6 3" xfId="21198" xr:uid="{12C37410-27F1-465C-AE96-BC22A6C25409}"/>
    <cellStyle name="Normal 4 2 2 3 4 6 4" xfId="29645" xr:uid="{E7FF471E-814F-4CAE-A58C-6727C6E426AF}"/>
    <cellStyle name="Normal 4 2 2 3 4 6 5" xfId="38092" xr:uid="{6F15E7D4-0C1F-4C3B-A2CF-F40AD8863CA6}"/>
    <cellStyle name="Normal 4 2 2 3 4 6 6" xfId="11898" xr:uid="{72A649F2-681B-472E-A493-7AD16A8C76F4}"/>
    <cellStyle name="Normal 4 2 2 3 4 7" xfId="4724" xr:uid="{00000000-0005-0000-0000-00007F120000}"/>
    <cellStyle name="Normal 4 2 2 3 4 7 2" xfId="23350" xr:uid="{075D7F19-E148-4624-BA91-8E6B1EC98182}"/>
    <cellStyle name="Normal 4 2 2 3 4 7 3" xfId="31797" xr:uid="{412CB565-0582-4621-B461-EDBF83DCF15F}"/>
    <cellStyle name="Normal 4 2 2 3 4 7 4" xfId="40244" xr:uid="{90E5DFCB-3F8A-4BD5-938B-B864DE3331C0}"/>
    <cellStyle name="Normal 4 2 2 3 4 7 5" xfId="14050" xr:uid="{C3BE6824-D1E4-4F0A-B509-04C776C4616C}"/>
    <cellStyle name="Normal 4 2 2 3 4 8" xfId="8991" xr:uid="{84464EC3-90C2-4B18-8399-135C935528F7}"/>
    <cellStyle name="Normal 4 2 2 3 4 8 2" xfId="18315" xr:uid="{FB6808E9-E6DF-4A49-87C8-B8A93C2C7BD6}"/>
    <cellStyle name="Normal 4 2 2 3 4 9" xfId="19133" xr:uid="{1024F005-9E9F-43C0-A82E-80C1DFD52826}"/>
    <cellStyle name="Normal 4 2 2 3 5" xfId="816" xr:uid="{00000000-0005-0000-0000-000080120000}"/>
    <cellStyle name="Normal 4 2 2 3 5 2" xfId="3053" xr:uid="{00000000-0005-0000-0000-000081120000}"/>
    <cellStyle name="Normal 4 2 2 3 5 2 2" xfId="7275" xr:uid="{00000000-0005-0000-0000-000082120000}"/>
    <cellStyle name="Normal 4 2 2 3 5 2 2 2" xfId="25901" xr:uid="{27B58819-ADD2-42DF-B976-49BD912DE8D6}"/>
    <cellStyle name="Normal 4 2 2 3 5 2 2 3" xfId="34348" xr:uid="{994031A3-45E3-45EB-9E99-68E65AE8BC69}"/>
    <cellStyle name="Normal 4 2 2 3 5 2 2 4" xfId="42795" xr:uid="{220D6159-52F9-4592-BA04-A9A6BA07E5DA}"/>
    <cellStyle name="Normal 4 2 2 3 5 2 2 5" xfId="16601" xr:uid="{9E56580A-C203-4456-AF56-3BC992D587BA}"/>
    <cellStyle name="Normal 4 2 2 3 5 2 3" xfId="21684" xr:uid="{2E4EFD05-9288-421C-B62E-4719C80297E1}"/>
    <cellStyle name="Normal 4 2 2 3 5 2 4" xfId="30131" xr:uid="{AB69A10E-E5F0-40B3-A5FB-706E1798C0F8}"/>
    <cellStyle name="Normal 4 2 2 3 5 2 5" xfId="38578" xr:uid="{4B11FBAA-1B8E-4B13-8E24-A35EADFF477F}"/>
    <cellStyle name="Normal 4 2 2 3 5 2 6" xfId="12384" xr:uid="{1133B0B5-539F-4108-99D4-1AEDBD5FCA84}"/>
    <cellStyle name="Normal 4 2 2 3 5 3" xfId="5130" xr:uid="{00000000-0005-0000-0000-000083120000}"/>
    <cellStyle name="Normal 4 2 2 3 5 3 2" xfId="23756" xr:uid="{8FC266E1-2E3F-484D-8368-2D432B507284}"/>
    <cellStyle name="Normal 4 2 2 3 5 3 3" xfId="32203" xr:uid="{CE7F31DF-3CB7-4F7A-BB97-5E6D325F84AA}"/>
    <cellStyle name="Normal 4 2 2 3 5 3 4" xfId="40650" xr:uid="{B4F1D864-9A57-443D-91EE-B114D22B8D16}"/>
    <cellStyle name="Normal 4 2 2 3 5 3 5" xfId="14456" xr:uid="{A260D308-A5EE-4AB6-86DF-B74524E124C3}"/>
    <cellStyle name="Normal 4 2 2 3 5 4" xfId="9208" xr:uid="{7BF9CD11-B90D-42F2-928D-A8BE344C6F46}"/>
    <cellStyle name="Normal 4 2 2 3 5 4 2" xfId="18525" xr:uid="{B5891DE9-37DB-45E2-8208-90A05C7398B4}"/>
    <cellStyle name="Normal 4 2 2 3 5 5" xfId="19539" xr:uid="{0B23FA7F-8BA9-40C1-98F9-01744CCF6FA2}"/>
    <cellStyle name="Normal 4 2 2 3 5 6" xfId="27986" xr:uid="{76838137-54B8-4B7B-9CF1-AD718F002B42}"/>
    <cellStyle name="Normal 4 2 2 3 5 7" xfId="36433" xr:uid="{5812BFAC-746D-4488-B977-B4AF96C593BF}"/>
    <cellStyle name="Normal 4 2 2 3 5 8" xfId="10239" xr:uid="{DBEE7F14-0E12-4250-B801-74213D58D97D}"/>
    <cellStyle name="Normal 4 2 2 3 6" xfId="1236" xr:uid="{00000000-0005-0000-0000-000084120000}"/>
    <cellStyle name="Normal 4 2 2 3 6 2" xfId="3466" xr:uid="{00000000-0005-0000-0000-000085120000}"/>
    <cellStyle name="Normal 4 2 2 3 6 2 2" xfId="7688" xr:uid="{00000000-0005-0000-0000-000086120000}"/>
    <cellStyle name="Normal 4 2 2 3 6 2 2 2" xfId="26314" xr:uid="{BD0CAB75-7A83-4793-9FCD-8859633A7C8B}"/>
    <cellStyle name="Normal 4 2 2 3 6 2 2 3" xfId="34761" xr:uid="{C01236B0-33E5-416E-A20C-0F5549EB6863}"/>
    <cellStyle name="Normal 4 2 2 3 6 2 2 4" xfId="43208" xr:uid="{BC212436-BCB6-4A20-A239-BBD162A2798F}"/>
    <cellStyle name="Normal 4 2 2 3 6 2 2 5" xfId="17014" xr:uid="{E68B9580-BD00-46B2-B6B5-C8A783C1F765}"/>
    <cellStyle name="Normal 4 2 2 3 6 2 3" xfId="22097" xr:uid="{E9321330-CA50-48E1-93B8-C1EB3A9D3C11}"/>
    <cellStyle name="Normal 4 2 2 3 6 2 4" xfId="30544" xr:uid="{FE3D9FDD-2514-4A70-A3B2-A7C1460EF4F9}"/>
    <cellStyle name="Normal 4 2 2 3 6 2 5" xfId="38991" xr:uid="{1FAB4E57-7CA9-4A70-BB39-701B9225E76F}"/>
    <cellStyle name="Normal 4 2 2 3 6 2 6" xfId="12797" xr:uid="{46F4C8BB-8E3F-4D39-B088-34580AC311D2}"/>
    <cellStyle name="Normal 4 2 2 3 6 3" xfId="5543" xr:uid="{00000000-0005-0000-0000-000087120000}"/>
    <cellStyle name="Normal 4 2 2 3 6 3 2" xfId="24169" xr:uid="{22050C4E-7058-4DDD-BCA6-593B8F781468}"/>
    <cellStyle name="Normal 4 2 2 3 6 3 3" xfId="32616" xr:uid="{D20C76AE-7A76-4590-B0E6-4343EB7020B3}"/>
    <cellStyle name="Normal 4 2 2 3 6 3 4" xfId="41063" xr:uid="{F0A3A25B-3240-4512-835B-04235395271A}"/>
    <cellStyle name="Normal 4 2 2 3 6 3 5" xfId="14869" xr:uid="{713A81E3-D1DE-4020-851C-0B4B30A0F751}"/>
    <cellStyle name="Normal 4 2 2 3 6 4" xfId="19952" xr:uid="{56EFEB3C-CC23-4CC9-A01C-970DE8495B48}"/>
    <cellStyle name="Normal 4 2 2 3 6 5" xfId="28399" xr:uid="{C6E22618-2F03-4F35-8437-2C78E0888531}"/>
    <cellStyle name="Normal 4 2 2 3 6 6" xfId="36846" xr:uid="{31F47F2F-6EA6-482B-AFC1-D2ED5477804C}"/>
    <cellStyle name="Normal 4 2 2 3 6 7" xfId="10652" xr:uid="{960F0AB3-B785-4949-9359-2BC5AF83E36F}"/>
    <cellStyle name="Normal 4 2 2 3 7" xfId="1649" xr:uid="{00000000-0005-0000-0000-000088120000}"/>
    <cellStyle name="Normal 4 2 2 3 7 2" xfId="3879" xr:uid="{00000000-0005-0000-0000-000089120000}"/>
    <cellStyle name="Normal 4 2 2 3 7 2 2" xfId="8101" xr:uid="{00000000-0005-0000-0000-00008A120000}"/>
    <cellStyle name="Normal 4 2 2 3 7 2 2 2" xfId="26727" xr:uid="{9A9F9C51-E530-4513-BC46-EFEBB18BEA45}"/>
    <cellStyle name="Normal 4 2 2 3 7 2 2 3" xfId="35174" xr:uid="{0620C0D3-042B-48FA-9168-D8502593949E}"/>
    <cellStyle name="Normal 4 2 2 3 7 2 2 4" xfId="43621" xr:uid="{5D405131-6951-448F-8087-AF7EB6F7B226}"/>
    <cellStyle name="Normal 4 2 2 3 7 2 2 5" xfId="17427" xr:uid="{9FC1BDF5-4F8F-48EB-A23B-65FAEE5B6E46}"/>
    <cellStyle name="Normal 4 2 2 3 7 2 3" xfId="22510" xr:uid="{73CDAC49-13A8-4F62-B3C3-B347FEC1C057}"/>
    <cellStyle name="Normal 4 2 2 3 7 2 4" xfId="30957" xr:uid="{859A857D-2F69-4E4D-B6EE-00A47F80F15F}"/>
    <cellStyle name="Normal 4 2 2 3 7 2 5" xfId="39404" xr:uid="{720A7ACD-7E2B-4EF7-B994-0A59A11EF0DA}"/>
    <cellStyle name="Normal 4 2 2 3 7 2 6" xfId="13210" xr:uid="{3A4FC13B-52F7-42F3-A541-B39BE0E02728}"/>
    <cellStyle name="Normal 4 2 2 3 7 3" xfId="5956" xr:uid="{00000000-0005-0000-0000-00008B120000}"/>
    <cellStyle name="Normal 4 2 2 3 7 3 2" xfId="24582" xr:uid="{60F40313-E21E-4C3C-B8FC-C4E24D5DCAA7}"/>
    <cellStyle name="Normal 4 2 2 3 7 3 3" xfId="33029" xr:uid="{62F37C9D-462F-4491-9DD0-4BCA0D38916B}"/>
    <cellStyle name="Normal 4 2 2 3 7 3 4" xfId="41476" xr:uid="{E954911E-ED59-4956-9486-63BF6B2FB18D}"/>
    <cellStyle name="Normal 4 2 2 3 7 3 5" xfId="15282" xr:uid="{62900EE3-3E2F-49ED-A67E-BC1041318FED}"/>
    <cellStyle name="Normal 4 2 2 3 7 4" xfId="20365" xr:uid="{6CB9FB68-CB3E-4D9B-9E4E-CD5673C103DE}"/>
    <cellStyle name="Normal 4 2 2 3 7 5" xfId="28812" xr:uid="{3FA92833-50EC-4BF4-B60D-0D68A3A99DD0}"/>
    <cellStyle name="Normal 4 2 2 3 7 6" xfId="37259" xr:uid="{5531F020-3FFE-439C-93CB-4A74D4D61AFA}"/>
    <cellStyle name="Normal 4 2 2 3 7 7" xfId="11065" xr:uid="{2EBC7ADE-6954-437B-9F2D-BFCADF724A84}"/>
    <cellStyle name="Normal 4 2 2 3 8" xfId="2063" xr:uid="{00000000-0005-0000-0000-00008C120000}"/>
    <cellStyle name="Normal 4 2 2 3 8 2" xfId="4292" xr:uid="{00000000-0005-0000-0000-00008D120000}"/>
    <cellStyle name="Normal 4 2 2 3 8 2 2" xfId="8514" xr:uid="{00000000-0005-0000-0000-00008E120000}"/>
    <cellStyle name="Normal 4 2 2 3 8 2 2 2" xfId="27140" xr:uid="{44224B43-74A3-4040-A122-AC141F0E7AAD}"/>
    <cellStyle name="Normal 4 2 2 3 8 2 2 3" xfId="35587" xr:uid="{DC8F81A0-9070-45C2-A7A7-CB9191163B0C}"/>
    <cellStyle name="Normal 4 2 2 3 8 2 2 4" xfId="44034" xr:uid="{91D15806-C7E4-46C3-8D92-0A70F1792E0B}"/>
    <cellStyle name="Normal 4 2 2 3 8 2 2 5" xfId="17840" xr:uid="{2F301F8A-0408-492C-AEA4-1D6508AA6205}"/>
    <cellStyle name="Normal 4 2 2 3 8 2 3" xfId="22923" xr:uid="{BB60672E-51C8-4CDB-9390-1C2774F66143}"/>
    <cellStyle name="Normal 4 2 2 3 8 2 4" xfId="31370" xr:uid="{5778B625-3C5B-4C47-BA2C-7C71BC11969F}"/>
    <cellStyle name="Normal 4 2 2 3 8 2 5" xfId="39817" xr:uid="{FB334D62-EF79-4FBD-BF02-0960613DF18C}"/>
    <cellStyle name="Normal 4 2 2 3 8 2 6" xfId="13623" xr:uid="{B58F03A5-F036-43F1-A920-8ECFBCC4D8D5}"/>
    <cellStyle name="Normal 4 2 2 3 8 3" xfId="6369" xr:uid="{00000000-0005-0000-0000-00008F120000}"/>
    <cellStyle name="Normal 4 2 2 3 8 3 2" xfId="24995" xr:uid="{60ADA066-1AFE-45E0-8C64-A221BADC93E1}"/>
    <cellStyle name="Normal 4 2 2 3 8 3 3" xfId="33442" xr:uid="{1E6BF616-10B7-4E5E-8CDA-6B839DFCB278}"/>
    <cellStyle name="Normal 4 2 2 3 8 3 4" xfId="41889" xr:uid="{5082AE84-EEB4-4BD8-83C7-F9A87ECC234E}"/>
    <cellStyle name="Normal 4 2 2 3 8 3 5" xfId="15695" xr:uid="{EE1FE474-749F-4EB8-88AD-12F269920B2E}"/>
    <cellStyle name="Normal 4 2 2 3 8 4" xfId="20778" xr:uid="{2565017D-9E27-41EF-AFBD-778FE142C2EA}"/>
    <cellStyle name="Normal 4 2 2 3 8 5" xfId="29225" xr:uid="{84076BCE-476E-42CD-A05B-C7B8DD083709}"/>
    <cellStyle name="Normal 4 2 2 3 8 6" xfId="37672" xr:uid="{111308B4-A77B-406D-BCBB-34D44BEAF108}"/>
    <cellStyle name="Normal 4 2 2 3 8 7" xfId="11478" xr:uid="{6A79195F-2D42-4F45-9AEF-41BFC3506180}"/>
    <cellStyle name="Normal 4 2 2 3 9" xfId="2499" xr:uid="{00000000-0005-0000-0000-000090120000}"/>
    <cellStyle name="Normal 4 2 2 3 9 2" xfId="6782" xr:uid="{00000000-0005-0000-0000-000091120000}"/>
    <cellStyle name="Normal 4 2 2 3 9 2 2" xfId="25408" xr:uid="{00CF784F-388C-4744-A742-BFB828186E85}"/>
    <cellStyle name="Normal 4 2 2 3 9 2 3" xfId="33855" xr:uid="{039DA5BC-BAA4-455E-BA07-A8F660690ED7}"/>
    <cellStyle name="Normal 4 2 2 3 9 2 4" xfId="42302" xr:uid="{6EBBCCCB-323E-4470-91B8-CA7ACDF46726}"/>
    <cellStyle name="Normal 4 2 2 3 9 2 5" xfId="16108" xr:uid="{89B31B02-07B8-4C77-8DEE-D2986241B0E7}"/>
    <cellStyle name="Normal 4 2 2 3 9 3" xfId="21191" xr:uid="{C6153105-9D6C-442E-8204-FF6664F9BF2D}"/>
    <cellStyle name="Normal 4 2 2 3 9 4" xfId="29638" xr:uid="{FDA317D5-E461-44EA-B723-0AF3DA31AF15}"/>
    <cellStyle name="Normal 4 2 2 3 9 5" xfId="38085" xr:uid="{AD5E41F3-274A-49F9-9C33-C4D44AB71A1B}"/>
    <cellStyle name="Normal 4 2 2 3 9 6" xfId="11891" xr:uid="{EE6E547E-9B83-494F-804D-7D6E2EA4A6DA}"/>
    <cellStyle name="Normal 4 2 2 4" xfId="347" xr:uid="{00000000-0005-0000-0000-000092120000}"/>
    <cellStyle name="Normal 4 2 2 4 10" xfId="8818" xr:uid="{A73977A7-52C6-4368-9F59-166E1B99BBDE}"/>
    <cellStyle name="Normal 4 2 2 4 10 2" xfId="18142" xr:uid="{3078056D-1C95-4FD1-9B36-B24FC8A9210A}"/>
    <cellStyle name="Normal 4 2 2 4 11" xfId="19134" xr:uid="{2E117B8C-9963-45E3-A7F7-B2B88254BF1B}"/>
    <cellStyle name="Normal 4 2 2 4 12" xfId="27581" xr:uid="{8D163617-0183-4F9D-870C-D516599811AC}"/>
    <cellStyle name="Normal 4 2 2 4 13" xfId="36028" xr:uid="{31B55C0B-4B10-4774-94CC-82DD4EB85ED3}"/>
    <cellStyle name="Normal 4 2 2 4 14" xfId="9834" xr:uid="{222FA220-D820-49C1-873A-4B1906B27FE5}"/>
    <cellStyle name="Normal 4 2 2 4 2" xfId="348" xr:uid="{00000000-0005-0000-0000-000093120000}"/>
    <cellStyle name="Normal 4 2 2 4 2 10" xfId="19135" xr:uid="{5F658476-6B8A-47CB-9240-22753356E312}"/>
    <cellStyle name="Normal 4 2 2 4 2 11" xfId="27582" xr:uid="{66CF5C9C-D73A-45B4-844D-CCC0FCD5300A}"/>
    <cellStyle name="Normal 4 2 2 4 2 12" xfId="36029" xr:uid="{7F099D61-73DE-43D0-A0E0-E907B7D75556}"/>
    <cellStyle name="Normal 4 2 2 4 2 13" xfId="9835" xr:uid="{D5A69C1A-E372-43C8-B883-D17471DE97DE}"/>
    <cellStyle name="Normal 4 2 2 4 2 2" xfId="349" xr:uid="{00000000-0005-0000-0000-000094120000}"/>
    <cellStyle name="Normal 4 2 2 4 2 2 10" xfId="27583" xr:uid="{8ECE2DA6-8A90-4E16-B8AA-4051A769E63D}"/>
    <cellStyle name="Normal 4 2 2 4 2 2 11" xfId="36030" xr:uid="{7BF48DD7-0B48-4EC7-B39C-D4AF698EF476}"/>
    <cellStyle name="Normal 4 2 2 4 2 2 12" xfId="9836" xr:uid="{67C2B963-666A-449B-B71D-7485C644B4D2}"/>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2 2 2" xfId="25911" xr:uid="{81109A4A-6D6D-4D6E-A164-1B354AEE6952}"/>
    <cellStyle name="Normal 4 2 2 4 2 2 2 2 2 3" xfId="34358" xr:uid="{636EBF6D-348C-4654-AD0E-1C5606EECB6C}"/>
    <cellStyle name="Normal 4 2 2 4 2 2 2 2 2 4" xfId="42805" xr:uid="{373D9752-0D9D-4E74-89B3-424BEDAAFE08}"/>
    <cellStyle name="Normal 4 2 2 4 2 2 2 2 2 5" xfId="16611" xr:uid="{4C8B9EF9-5BF8-40AD-96EE-A23F59F0ADD6}"/>
    <cellStyle name="Normal 4 2 2 4 2 2 2 2 3" xfId="21694" xr:uid="{40C8E6B6-EB08-4260-8868-3E7479B0FA3C}"/>
    <cellStyle name="Normal 4 2 2 4 2 2 2 2 4" xfId="30141" xr:uid="{9F226801-32A5-469E-8813-76D6F7A90447}"/>
    <cellStyle name="Normal 4 2 2 4 2 2 2 2 5" xfId="38588" xr:uid="{D8375628-898D-4960-A58D-32763A892194}"/>
    <cellStyle name="Normal 4 2 2 4 2 2 2 2 6" xfId="12394" xr:uid="{513B4A44-EBE1-4230-8CE3-0CC23F474B64}"/>
    <cellStyle name="Normal 4 2 2 4 2 2 2 3" xfId="5140" xr:uid="{00000000-0005-0000-0000-000098120000}"/>
    <cellStyle name="Normal 4 2 2 4 2 2 2 3 2" xfId="23766" xr:uid="{6FEEFB18-B944-4132-9D65-48330984C4B4}"/>
    <cellStyle name="Normal 4 2 2 4 2 2 2 3 3" xfId="32213" xr:uid="{A4E99D1B-C9DA-4AAD-BF2A-21D027063D87}"/>
    <cellStyle name="Normal 4 2 2 4 2 2 2 3 4" xfId="40660" xr:uid="{0356F00A-EAC2-48A1-BF87-73D7D2BB3E16}"/>
    <cellStyle name="Normal 4 2 2 4 2 2 2 3 5" xfId="14466" xr:uid="{0EA2A30B-E586-4A0D-A4E3-4CFAA16EC837}"/>
    <cellStyle name="Normal 4 2 2 4 2 2 2 4" xfId="9553" xr:uid="{7FCAF883-2374-4470-BA95-AD8EB054639C}"/>
    <cellStyle name="Normal 4 2 2 4 2 2 2 4 2" xfId="18869" xr:uid="{E699CC8E-0832-4484-802F-F1DB022EE1CF}"/>
    <cellStyle name="Normal 4 2 2 4 2 2 2 5" xfId="19549" xr:uid="{67F42228-96D2-4732-A8D4-B7706A50CC88}"/>
    <cellStyle name="Normal 4 2 2 4 2 2 2 6" xfId="27996" xr:uid="{352DF01F-33AF-4AA7-B7FF-781A05EF3C73}"/>
    <cellStyle name="Normal 4 2 2 4 2 2 2 7" xfId="36443" xr:uid="{C6BF9057-172F-40BB-AAC5-F5676E97ED22}"/>
    <cellStyle name="Normal 4 2 2 4 2 2 2 8" xfId="10249" xr:uid="{55F1A142-95C4-441A-A72F-0C545165B3D9}"/>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2 2 2" xfId="26324" xr:uid="{99290E9F-B2BC-4B24-9CE1-1F98FC766485}"/>
    <cellStyle name="Normal 4 2 2 4 2 2 3 2 2 3" xfId="34771" xr:uid="{B6288784-FEF9-490B-8BB1-9DD1E5C039D2}"/>
    <cellStyle name="Normal 4 2 2 4 2 2 3 2 2 4" xfId="43218" xr:uid="{9BD70049-8AD8-4B30-888E-619EFB5A6387}"/>
    <cellStyle name="Normal 4 2 2 4 2 2 3 2 2 5" xfId="17024" xr:uid="{0819ECFB-E685-4D7E-B17E-3DE8ED506F68}"/>
    <cellStyle name="Normal 4 2 2 4 2 2 3 2 3" xfId="22107" xr:uid="{C4D7744B-E33E-4ED1-B1E1-920B734964DA}"/>
    <cellStyle name="Normal 4 2 2 4 2 2 3 2 4" xfId="30554" xr:uid="{855FE680-3FA4-45C2-8361-7F18EC66C4FE}"/>
    <cellStyle name="Normal 4 2 2 4 2 2 3 2 5" xfId="39001" xr:uid="{3D760F5E-7ADD-467C-A77A-A723492BF452}"/>
    <cellStyle name="Normal 4 2 2 4 2 2 3 2 6" xfId="12807" xr:uid="{FC0ADDF8-4260-4F28-9307-873E0F251E27}"/>
    <cellStyle name="Normal 4 2 2 4 2 2 3 3" xfId="5553" xr:uid="{00000000-0005-0000-0000-00009C120000}"/>
    <cellStyle name="Normal 4 2 2 4 2 2 3 3 2" xfId="24179" xr:uid="{E49E9DCD-9C77-49B6-8D61-43CED6358CD7}"/>
    <cellStyle name="Normal 4 2 2 4 2 2 3 3 3" xfId="32626" xr:uid="{F2FEBE87-74F0-483A-9D58-F614BA7A15A1}"/>
    <cellStyle name="Normal 4 2 2 4 2 2 3 3 4" xfId="41073" xr:uid="{F8F0D260-C5B1-43B1-9EE7-89C817B4B455}"/>
    <cellStyle name="Normal 4 2 2 4 2 2 3 3 5" xfId="14879" xr:uid="{007B10FE-3521-420E-B0F8-C7D06A6DFFD3}"/>
    <cellStyle name="Normal 4 2 2 4 2 2 3 4" xfId="19962" xr:uid="{050FA465-6815-41A4-8AC0-DDA5001A8BC3}"/>
    <cellStyle name="Normal 4 2 2 4 2 2 3 5" xfId="28409" xr:uid="{16587D91-73C3-4487-A778-8AAB13847B53}"/>
    <cellStyle name="Normal 4 2 2 4 2 2 3 6" xfId="36856" xr:uid="{6561666D-1E88-4256-8F07-0EF4A1D18F5F}"/>
    <cellStyle name="Normal 4 2 2 4 2 2 3 7" xfId="10662" xr:uid="{58848293-FB74-4D6C-80CB-E42DE6D3FC77}"/>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2 2 2" xfId="26737" xr:uid="{D88043C7-73C9-49FC-B333-5507A6789493}"/>
    <cellStyle name="Normal 4 2 2 4 2 2 4 2 2 3" xfId="35184" xr:uid="{C230DFBB-1C43-4668-B1A2-C0E07110B8E7}"/>
    <cellStyle name="Normal 4 2 2 4 2 2 4 2 2 4" xfId="43631" xr:uid="{63714C9E-3ECD-4C9D-A7EB-0E2672D049B3}"/>
    <cellStyle name="Normal 4 2 2 4 2 2 4 2 2 5" xfId="17437" xr:uid="{F8AEE9F7-8C3C-4CD0-AD30-B52E08C58678}"/>
    <cellStyle name="Normal 4 2 2 4 2 2 4 2 3" xfId="22520" xr:uid="{C2875A82-7DA8-4C19-B6B6-E2E137A835B4}"/>
    <cellStyle name="Normal 4 2 2 4 2 2 4 2 4" xfId="30967" xr:uid="{FE7B038E-D726-4768-8469-E335F1EAEF61}"/>
    <cellStyle name="Normal 4 2 2 4 2 2 4 2 5" xfId="39414" xr:uid="{C97BA674-1161-4F1A-9E39-792F1D15FCA4}"/>
    <cellStyle name="Normal 4 2 2 4 2 2 4 2 6" xfId="13220" xr:uid="{6C1C8392-8072-4614-AD5D-0DF2CAE95B8D}"/>
    <cellStyle name="Normal 4 2 2 4 2 2 4 3" xfId="5966" xr:uid="{00000000-0005-0000-0000-0000A0120000}"/>
    <cellStyle name="Normal 4 2 2 4 2 2 4 3 2" xfId="24592" xr:uid="{1075FF1E-3F25-4DDE-A71C-0F698292C247}"/>
    <cellStyle name="Normal 4 2 2 4 2 2 4 3 3" xfId="33039" xr:uid="{09C3EE98-C955-4DB7-8A5A-2830C5961A42}"/>
    <cellStyle name="Normal 4 2 2 4 2 2 4 3 4" xfId="41486" xr:uid="{97B4A681-50A9-4008-806F-0FD4C5644D92}"/>
    <cellStyle name="Normal 4 2 2 4 2 2 4 3 5" xfId="15292" xr:uid="{C0AC6233-097E-4D85-99A2-CA7A2A6745A6}"/>
    <cellStyle name="Normal 4 2 2 4 2 2 4 4" xfId="20375" xr:uid="{BA69411A-50E0-4E9A-9664-CA4A56C66DD0}"/>
    <cellStyle name="Normal 4 2 2 4 2 2 4 5" xfId="28822" xr:uid="{EADFAE7C-8C0F-4160-8A81-18B9381E758D}"/>
    <cellStyle name="Normal 4 2 2 4 2 2 4 6" xfId="37269" xr:uid="{DB1966DA-26D4-4144-92BA-70BD7BFD1FC8}"/>
    <cellStyle name="Normal 4 2 2 4 2 2 4 7" xfId="11075" xr:uid="{B579B1FF-FEBE-4D54-9F3E-AC2823606038}"/>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2 2 2" xfId="27150" xr:uid="{3B89A364-BED8-437C-87EB-3D3A5E1A2A1B}"/>
    <cellStyle name="Normal 4 2 2 4 2 2 5 2 2 3" xfId="35597" xr:uid="{FD0EDBB9-74E3-4D16-9954-89E896A2A1A2}"/>
    <cellStyle name="Normal 4 2 2 4 2 2 5 2 2 4" xfId="44044" xr:uid="{09E30A37-DCC8-4E02-9F51-45082E0A4174}"/>
    <cellStyle name="Normal 4 2 2 4 2 2 5 2 2 5" xfId="17850" xr:uid="{96BC6827-4CC8-44E2-8438-0BDC3F9595B4}"/>
    <cellStyle name="Normal 4 2 2 4 2 2 5 2 3" xfId="22933" xr:uid="{525E32D1-EA0A-4D24-BF9B-0887DB91F4BC}"/>
    <cellStyle name="Normal 4 2 2 4 2 2 5 2 4" xfId="31380" xr:uid="{4CFB2C56-14B0-43BC-93CE-A450965FFC50}"/>
    <cellStyle name="Normal 4 2 2 4 2 2 5 2 5" xfId="39827" xr:uid="{CB867523-109A-4E45-A9BC-FD0652B8618F}"/>
    <cellStyle name="Normal 4 2 2 4 2 2 5 2 6" xfId="13633" xr:uid="{F8B1538C-2C2F-4B3E-9584-B8777464268C}"/>
    <cellStyle name="Normal 4 2 2 4 2 2 5 3" xfId="6379" xr:uid="{00000000-0005-0000-0000-0000A4120000}"/>
    <cellStyle name="Normal 4 2 2 4 2 2 5 3 2" xfId="25005" xr:uid="{CD34C3B2-23E2-4482-8952-6095A262C226}"/>
    <cellStyle name="Normal 4 2 2 4 2 2 5 3 3" xfId="33452" xr:uid="{9C8EB681-F81C-4E6A-9A0A-583F97BF6B0C}"/>
    <cellStyle name="Normal 4 2 2 4 2 2 5 3 4" xfId="41899" xr:uid="{83F5F74E-930F-4305-BE03-9B4F6BC0EF9D}"/>
    <cellStyle name="Normal 4 2 2 4 2 2 5 3 5" xfId="15705" xr:uid="{98C2716C-8604-4DCF-AFDB-BBC9B2C94589}"/>
    <cellStyle name="Normal 4 2 2 4 2 2 5 4" xfId="20788" xr:uid="{70A23835-78F4-4815-A531-B8FD0D0D0054}"/>
    <cellStyle name="Normal 4 2 2 4 2 2 5 5" xfId="29235" xr:uid="{70A6D460-6733-4E55-B3FC-A7AC63956629}"/>
    <cellStyle name="Normal 4 2 2 4 2 2 5 6" xfId="37682" xr:uid="{78316838-28B0-47BC-9A5C-15A13516BA34}"/>
    <cellStyle name="Normal 4 2 2 4 2 2 5 7" xfId="11488" xr:uid="{E09E3B18-391E-48C9-8104-07CFBFE8C21D}"/>
    <cellStyle name="Normal 4 2 2 4 2 2 6" xfId="2509" xr:uid="{00000000-0005-0000-0000-0000A5120000}"/>
    <cellStyle name="Normal 4 2 2 4 2 2 6 2" xfId="6792" xr:uid="{00000000-0005-0000-0000-0000A6120000}"/>
    <cellStyle name="Normal 4 2 2 4 2 2 6 2 2" xfId="25418" xr:uid="{0CEF7D68-84B6-4FFB-8688-719F2709E5AF}"/>
    <cellStyle name="Normal 4 2 2 4 2 2 6 2 3" xfId="33865" xr:uid="{9906D826-A4D1-4D3D-BC06-F09A4AFAC932}"/>
    <cellStyle name="Normal 4 2 2 4 2 2 6 2 4" xfId="42312" xr:uid="{2A5A1B67-7ADD-4F8B-A2DE-45F902F1CB7E}"/>
    <cellStyle name="Normal 4 2 2 4 2 2 6 2 5" xfId="16118" xr:uid="{DE2D45A8-2016-4C7A-81B9-B1A1A8644BFF}"/>
    <cellStyle name="Normal 4 2 2 4 2 2 6 3" xfId="21201" xr:uid="{F282D9A0-F91F-44BA-9B5F-5F5EDB38C4B3}"/>
    <cellStyle name="Normal 4 2 2 4 2 2 6 4" xfId="29648" xr:uid="{28DBD30B-7233-4A4C-8C9C-99CF0C5452B3}"/>
    <cellStyle name="Normal 4 2 2 4 2 2 6 5" xfId="38095" xr:uid="{648EC569-3B29-4C40-8894-BBDEDA5F02E2}"/>
    <cellStyle name="Normal 4 2 2 4 2 2 6 6" xfId="11901" xr:uid="{F301541E-4858-49FE-AB98-BD053D995C81}"/>
    <cellStyle name="Normal 4 2 2 4 2 2 7" xfId="4727" xr:uid="{00000000-0005-0000-0000-0000A7120000}"/>
    <cellStyle name="Normal 4 2 2 4 2 2 7 2" xfId="23353" xr:uid="{542C4E9D-B47B-421D-A2E7-37DC93BDD97D}"/>
    <cellStyle name="Normal 4 2 2 4 2 2 7 3" xfId="31800" xr:uid="{41638FF0-7208-40A8-B9C8-DD4169ABADD1}"/>
    <cellStyle name="Normal 4 2 2 4 2 2 7 4" xfId="40247" xr:uid="{C3B85D5C-18A4-48BC-BB2F-DE0541D7FC93}"/>
    <cellStyle name="Normal 4 2 2 4 2 2 7 5" xfId="14053" xr:uid="{69FEBEBA-E0B6-47A5-A37D-69E5B20C41FD}"/>
    <cellStyle name="Normal 4 2 2 4 2 2 8" xfId="9128" xr:uid="{3D9AD2A4-E3D1-4BAF-8F43-BFB1FE8E222D}"/>
    <cellStyle name="Normal 4 2 2 4 2 2 8 2" xfId="18452" xr:uid="{D3D23B3A-0E47-416D-9D05-8081528481C9}"/>
    <cellStyle name="Normal 4 2 2 4 2 2 9" xfId="19136" xr:uid="{A9E571BC-0C72-48EB-A3FC-ED72A7DE6060}"/>
    <cellStyle name="Normal 4 2 2 4 2 3" xfId="825" xr:uid="{00000000-0005-0000-0000-0000A8120000}"/>
    <cellStyle name="Normal 4 2 2 4 2 3 2" xfId="3062" xr:uid="{00000000-0005-0000-0000-0000A9120000}"/>
    <cellStyle name="Normal 4 2 2 4 2 3 2 2" xfId="7284" xr:uid="{00000000-0005-0000-0000-0000AA120000}"/>
    <cellStyle name="Normal 4 2 2 4 2 3 2 2 2" xfId="25910" xr:uid="{DC0BA6EB-BD7B-4D8D-AE23-DF9AF6E428D3}"/>
    <cellStyle name="Normal 4 2 2 4 2 3 2 2 3" xfId="34357" xr:uid="{75EE724A-AC0A-4C8F-8AE8-A83076F4D0E9}"/>
    <cellStyle name="Normal 4 2 2 4 2 3 2 2 4" xfId="42804" xr:uid="{5C770783-D7E5-427F-A9BB-4E7D3ABFFE3C}"/>
    <cellStyle name="Normal 4 2 2 4 2 3 2 2 5" xfId="16610" xr:uid="{2CEAFEBE-D99E-4777-A79A-F73DBAA805C9}"/>
    <cellStyle name="Normal 4 2 2 4 2 3 2 3" xfId="21693" xr:uid="{5AB87785-3D35-4534-B414-6207411D0A0F}"/>
    <cellStyle name="Normal 4 2 2 4 2 3 2 4" xfId="30140" xr:uid="{DA1640BF-EDCA-45E3-9FF3-DF414B89B8D9}"/>
    <cellStyle name="Normal 4 2 2 4 2 3 2 5" xfId="38587" xr:uid="{0C8EBBB6-5606-4380-A412-5E5179592CF5}"/>
    <cellStyle name="Normal 4 2 2 4 2 3 2 6" xfId="12393" xr:uid="{853367E1-3DE6-4393-A2E5-7396CB8D370D}"/>
    <cellStyle name="Normal 4 2 2 4 2 3 3" xfId="5139" xr:uid="{00000000-0005-0000-0000-0000AB120000}"/>
    <cellStyle name="Normal 4 2 2 4 2 3 3 2" xfId="23765" xr:uid="{AB708D11-0312-447C-80AC-8FC5CFAD8967}"/>
    <cellStyle name="Normal 4 2 2 4 2 3 3 3" xfId="32212" xr:uid="{D0B1D39D-B27A-46D0-9D9C-AC1F485B665A}"/>
    <cellStyle name="Normal 4 2 2 4 2 3 3 4" xfId="40659" xr:uid="{1AB5206A-BC26-4A88-BA7A-679AAA570730}"/>
    <cellStyle name="Normal 4 2 2 4 2 3 3 5" xfId="14465" xr:uid="{0C7E7E67-6648-48A1-A7CC-E55579D27DCD}"/>
    <cellStyle name="Normal 4 2 2 4 2 3 4" xfId="9346" xr:uid="{11110DEC-01F5-467C-B0F9-3286FF7E57CB}"/>
    <cellStyle name="Normal 4 2 2 4 2 3 4 2" xfId="18662" xr:uid="{2EA0FF4C-6A7D-403A-A85F-3A4A7E7CD57E}"/>
    <cellStyle name="Normal 4 2 2 4 2 3 5" xfId="19548" xr:uid="{37DEAC5C-4491-427D-B4D3-5D2DBCA9E466}"/>
    <cellStyle name="Normal 4 2 2 4 2 3 6" xfId="27995" xr:uid="{5805E332-D88A-4EB6-A9FC-B3EA3F7246F6}"/>
    <cellStyle name="Normal 4 2 2 4 2 3 7" xfId="36442" xr:uid="{5933262E-E0E8-495C-88CB-EE0E15052725}"/>
    <cellStyle name="Normal 4 2 2 4 2 3 8" xfId="10248" xr:uid="{0B0AB2C1-5C56-4716-9E1C-E6650053C4CC}"/>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2 2 2" xfId="26323" xr:uid="{48A0B478-115E-4986-A500-D561A9C510FB}"/>
    <cellStyle name="Normal 4 2 2 4 2 4 2 2 3" xfId="34770" xr:uid="{002E6ECD-65E5-4659-8596-A8297D801954}"/>
    <cellStyle name="Normal 4 2 2 4 2 4 2 2 4" xfId="43217" xr:uid="{23B7D9A1-EDFD-413C-8293-03F9D59F0B9E}"/>
    <cellStyle name="Normal 4 2 2 4 2 4 2 2 5" xfId="17023" xr:uid="{9F896CC3-00B7-47C8-8CD6-D45CF768F447}"/>
    <cellStyle name="Normal 4 2 2 4 2 4 2 3" xfId="22106" xr:uid="{F2549309-2263-440E-A748-A0C3CAEDDAA7}"/>
    <cellStyle name="Normal 4 2 2 4 2 4 2 4" xfId="30553" xr:uid="{D9B4612E-69EC-4C3C-A0AB-A5419BA7AD7D}"/>
    <cellStyle name="Normal 4 2 2 4 2 4 2 5" xfId="39000" xr:uid="{8D18F3E2-25CC-43F4-AB4F-1AC2283673E3}"/>
    <cellStyle name="Normal 4 2 2 4 2 4 2 6" xfId="12806" xr:uid="{5981D6C6-A273-4B94-9E1F-A921AC9CF6A4}"/>
    <cellStyle name="Normal 4 2 2 4 2 4 3" xfId="5552" xr:uid="{00000000-0005-0000-0000-0000AF120000}"/>
    <cellStyle name="Normal 4 2 2 4 2 4 3 2" xfId="24178" xr:uid="{A54DBC4E-57B4-4024-8090-87D6F56E5300}"/>
    <cellStyle name="Normal 4 2 2 4 2 4 3 3" xfId="32625" xr:uid="{0BE21E40-CC51-4C75-B534-3DB03B1C5EFB}"/>
    <cellStyle name="Normal 4 2 2 4 2 4 3 4" xfId="41072" xr:uid="{B069EBFC-4654-42AD-8186-2256F5633087}"/>
    <cellStyle name="Normal 4 2 2 4 2 4 3 5" xfId="14878" xr:uid="{F9E3DB99-DFF8-445A-A282-FD50AA07E1BE}"/>
    <cellStyle name="Normal 4 2 2 4 2 4 4" xfId="19961" xr:uid="{01F094C1-98BA-43E7-99D9-34D524505596}"/>
    <cellStyle name="Normal 4 2 2 4 2 4 5" xfId="28408" xr:uid="{A18393C6-8FAE-42EB-8814-BD5FAC378B67}"/>
    <cellStyle name="Normal 4 2 2 4 2 4 6" xfId="36855" xr:uid="{C75638FC-AC77-4440-B07A-04F57C5628BA}"/>
    <cellStyle name="Normal 4 2 2 4 2 4 7" xfId="10661" xr:uid="{5A941360-814F-467C-8083-52AC697F9AF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2 2 2" xfId="26736" xr:uid="{EB6D4C02-B1E7-4255-88BE-4D393E33D42C}"/>
    <cellStyle name="Normal 4 2 2 4 2 5 2 2 3" xfId="35183" xr:uid="{3EE614D0-CD80-4471-9304-1F51EBECCAE4}"/>
    <cellStyle name="Normal 4 2 2 4 2 5 2 2 4" xfId="43630" xr:uid="{DC130D32-2531-45AB-A9B6-B6351994686C}"/>
    <cellStyle name="Normal 4 2 2 4 2 5 2 2 5" xfId="17436" xr:uid="{5AF90341-C727-4C4D-93CC-7FB8D37DEE5F}"/>
    <cellStyle name="Normal 4 2 2 4 2 5 2 3" xfId="22519" xr:uid="{79C5C780-AE0A-41C1-ABE2-4405E1844813}"/>
    <cellStyle name="Normal 4 2 2 4 2 5 2 4" xfId="30966" xr:uid="{2A73D0FE-9E4F-4BB1-9678-0D40B4B68CFE}"/>
    <cellStyle name="Normal 4 2 2 4 2 5 2 5" xfId="39413" xr:uid="{E52F560D-C8AE-41A8-B190-A768AA6E3703}"/>
    <cellStyle name="Normal 4 2 2 4 2 5 2 6" xfId="13219" xr:uid="{383576A7-9F70-4DB5-B050-01CE9C9CB61F}"/>
    <cellStyle name="Normal 4 2 2 4 2 5 3" xfId="5965" xr:uid="{00000000-0005-0000-0000-0000B3120000}"/>
    <cellStyle name="Normal 4 2 2 4 2 5 3 2" xfId="24591" xr:uid="{1B272E97-421B-4BB1-AB09-02B9C532677D}"/>
    <cellStyle name="Normal 4 2 2 4 2 5 3 3" xfId="33038" xr:uid="{74AA775E-C5E7-4359-AE01-8ADDA0917A22}"/>
    <cellStyle name="Normal 4 2 2 4 2 5 3 4" xfId="41485" xr:uid="{15502C9E-FA8D-4FEC-9E87-0864ED8DA963}"/>
    <cellStyle name="Normal 4 2 2 4 2 5 3 5" xfId="15291" xr:uid="{F64DA440-94E1-4EB1-B26C-E8E577544113}"/>
    <cellStyle name="Normal 4 2 2 4 2 5 4" xfId="20374" xr:uid="{3DCA2CAD-56C2-4DB9-BA70-66239420D77E}"/>
    <cellStyle name="Normal 4 2 2 4 2 5 5" xfId="28821" xr:uid="{172FDC17-B824-487D-8484-75AC441A940D}"/>
    <cellStyle name="Normal 4 2 2 4 2 5 6" xfId="37268" xr:uid="{C4C59515-1C99-4990-BDFB-CDBA8084629E}"/>
    <cellStyle name="Normal 4 2 2 4 2 5 7" xfId="11074" xr:uid="{0E963874-27B4-4CBC-AE5C-4FF87B4F0103}"/>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2 2 2" xfId="27149" xr:uid="{1A819EA2-EF08-4977-BFAC-C6709171D594}"/>
    <cellStyle name="Normal 4 2 2 4 2 6 2 2 3" xfId="35596" xr:uid="{6CB29DAE-99DC-4DA6-AFD1-699210010B1D}"/>
    <cellStyle name="Normal 4 2 2 4 2 6 2 2 4" xfId="44043" xr:uid="{F543E577-BC5E-44F4-99F7-537A72415E2C}"/>
    <cellStyle name="Normal 4 2 2 4 2 6 2 2 5" xfId="17849" xr:uid="{F87E6CFD-1BC9-432C-B48D-566AC3A08BFD}"/>
    <cellStyle name="Normal 4 2 2 4 2 6 2 3" xfId="22932" xr:uid="{B85782E1-40F2-42F2-A9FD-B2E04EB7542C}"/>
    <cellStyle name="Normal 4 2 2 4 2 6 2 4" xfId="31379" xr:uid="{FF42FB38-ABC2-461B-856E-F599C489EFEE}"/>
    <cellStyle name="Normal 4 2 2 4 2 6 2 5" xfId="39826" xr:uid="{B974581C-13E3-4D62-ACE4-0BA56A152F2A}"/>
    <cellStyle name="Normal 4 2 2 4 2 6 2 6" xfId="13632" xr:uid="{FB8B7A1B-74AD-4392-BD93-E4106FF852E6}"/>
    <cellStyle name="Normal 4 2 2 4 2 6 3" xfId="6378" xr:uid="{00000000-0005-0000-0000-0000B7120000}"/>
    <cellStyle name="Normal 4 2 2 4 2 6 3 2" xfId="25004" xr:uid="{94F9D8E8-5275-4A52-A0A6-CFB7F749937F}"/>
    <cellStyle name="Normal 4 2 2 4 2 6 3 3" xfId="33451" xr:uid="{51E100A9-8F82-4DBB-9D2C-F4B73F03658B}"/>
    <cellStyle name="Normal 4 2 2 4 2 6 3 4" xfId="41898" xr:uid="{BC605441-C143-40D5-A826-E7660B3085EE}"/>
    <cellStyle name="Normal 4 2 2 4 2 6 3 5" xfId="15704" xr:uid="{7B7F12CA-1B87-488F-A737-AE3E0C12275A}"/>
    <cellStyle name="Normal 4 2 2 4 2 6 4" xfId="20787" xr:uid="{A0B55CF7-2FF8-44A3-8F25-C7BF580797F5}"/>
    <cellStyle name="Normal 4 2 2 4 2 6 5" xfId="29234" xr:uid="{38EFD811-10BA-433F-97BC-CFAE5221C25A}"/>
    <cellStyle name="Normal 4 2 2 4 2 6 6" xfId="37681" xr:uid="{70EC3214-FB82-4839-B593-2FE71DF4CB71}"/>
    <cellStyle name="Normal 4 2 2 4 2 6 7" xfId="11487" xr:uid="{A83B611C-1AFF-4678-8E48-F4EBF28B6C80}"/>
    <cellStyle name="Normal 4 2 2 4 2 7" xfId="2508" xr:uid="{00000000-0005-0000-0000-0000B8120000}"/>
    <cellStyle name="Normal 4 2 2 4 2 7 2" xfId="6791" xr:uid="{00000000-0005-0000-0000-0000B9120000}"/>
    <cellStyle name="Normal 4 2 2 4 2 7 2 2" xfId="25417" xr:uid="{B1C93A3A-5207-4DEE-9387-FCF184C1CC5A}"/>
    <cellStyle name="Normal 4 2 2 4 2 7 2 3" xfId="33864" xr:uid="{B09E6149-1D25-4A9B-A287-0049B93A161F}"/>
    <cellStyle name="Normal 4 2 2 4 2 7 2 4" xfId="42311" xr:uid="{20686D10-FD17-4803-A60D-CC30F6B5FE2A}"/>
    <cellStyle name="Normal 4 2 2 4 2 7 2 5" xfId="16117" xr:uid="{39D37CDF-3CD4-46F1-B665-859A6D0E4DC0}"/>
    <cellStyle name="Normal 4 2 2 4 2 7 3" xfId="21200" xr:uid="{0FE5D5B3-4AC7-41B6-9996-FCE15731D3E0}"/>
    <cellStyle name="Normal 4 2 2 4 2 7 4" xfId="29647" xr:uid="{96BB63F5-14F6-4606-9D7E-3D06B2347502}"/>
    <cellStyle name="Normal 4 2 2 4 2 7 5" xfId="38094" xr:uid="{7D5E14D2-16D2-4F6F-A053-E89959EC8AAB}"/>
    <cellStyle name="Normal 4 2 2 4 2 7 6" xfId="11900" xr:uid="{C6D4C064-D6AB-46FF-996D-4E845CB7BE54}"/>
    <cellStyle name="Normal 4 2 2 4 2 8" xfId="4726" xr:uid="{00000000-0005-0000-0000-0000BA120000}"/>
    <cellStyle name="Normal 4 2 2 4 2 8 2" xfId="23352" xr:uid="{A5BED1F4-4007-4815-ADBB-45C6184FEF50}"/>
    <cellStyle name="Normal 4 2 2 4 2 8 3" xfId="31799" xr:uid="{FD173D2F-B7F5-44CF-ABA4-AE025E2080EA}"/>
    <cellStyle name="Normal 4 2 2 4 2 8 4" xfId="40246" xr:uid="{42D49B95-AEC4-440C-8DD7-E814407CC326}"/>
    <cellStyle name="Normal 4 2 2 4 2 8 5" xfId="14052" xr:uid="{C4276327-E115-47D2-BBEB-580AA05B0387}"/>
    <cellStyle name="Normal 4 2 2 4 2 9" xfId="8921" xr:uid="{43AA3CA1-A6D2-47CC-8276-CBFAB7238AA6}"/>
    <cellStyle name="Normal 4 2 2 4 2 9 2" xfId="18245" xr:uid="{0BF97788-38E3-455C-86EC-513F6023AFA8}"/>
    <cellStyle name="Normal 4 2 2 4 3" xfId="350" xr:uid="{00000000-0005-0000-0000-0000BB120000}"/>
    <cellStyle name="Normal 4 2 2 4 3 10" xfId="27584" xr:uid="{82593AB9-9E57-4C96-8F3F-EA55CD607B98}"/>
    <cellStyle name="Normal 4 2 2 4 3 11" xfId="36031" xr:uid="{21D004BA-7177-4039-A91C-237C11586FB3}"/>
    <cellStyle name="Normal 4 2 2 4 3 12" xfId="9837" xr:uid="{0CCC216F-5588-4CBC-A3C4-EB591ABEC0A6}"/>
    <cellStyle name="Normal 4 2 2 4 3 2" xfId="827" xr:uid="{00000000-0005-0000-0000-0000BC120000}"/>
    <cellStyle name="Normal 4 2 2 4 3 2 2" xfId="3064" xr:uid="{00000000-0005-0000-0000-0000BD120000}"/>
    <cellStyle name="Normal 4 2 2 4 3 2 2 2" xfId="7286" xr:uid="{00000000-0005-0000-0000-0000BE120000}"/>
    <cellStyle name="Normal 4 2 2 4 3 2 2 2 2" xfId="25912" xr:uid="{794716BE-4316-448C-9F7B-02848D0FB869}"/>
    <cellStyle name="Normal 4 2 2 4 3 2 2 2 3" xfId="34359" xr:uid="{554EB91C-3E0E-4194-9836-E70C8E4B16AC}"/>
    <cellStyle name="Normal 4 2 2 4 3 2 2 2 4" xfId="42806" xr:uid="{3AFEF2E0-AD82-403F-8B37-5337722E8724}"/>
    <cellStyle name="Normal 4 2 2 4 3 2 2 2 5" xfId="16612" xr:uid="{877D8CC2-1FBF-45F1-8D09-45535C241B4C}"/>
    <cellStyle name="Normal 4 2 2 4 3 2 2 3" xfId="21695" xr:uid="{F94CB314-0763-4A70-9A07-A44D932D3D1F}"/>
    <cellStyle name="Normal 4 2 2 4 3 2 2 4" xfId="30142" xr:uid="{DFC77783-F712-441A-82B6-4A8922687B9F}"/>
    <cellStyle name="Normal 4 2 2 4 3 2 2 5" xfId="38589" xr:uid="{0F5F6874-9ABD-4CD2-B5A2-A86CCC21B384}"/>
    <cellStyle name="Normal 4 2 2 4 3 2 2 6" xfId="12395" xr:uid="{46669825-7820-421A-B163-80649B2AF164}"/>
    <cellStyle name="Normal 4 2 2 4 3 2 3" xfId="5141" xr:uid="{00000000-0005-0000-0000-0000BF120000}"/>
    <cellStyle name="Normal 4 2 2 4 3 2 3 2" xfId="23767" xr:uid="{955DB374-E96E-4824-89EE-A419C4939792}"/>
    <cellStyle name="Normal 4 2 2 4 3 2 3 3" xfId="32214" xr:uid="{92D04B3F-7582-4E2E-B6DA-8EF52B8B6FDA}"/>
    <cellStyle name="Normal 4 2 2 4 3 2 3 4" xfId="40661" xr:uid="{BCBF486D-AC40-4329-99A8-C3CEB70055B6}"/>
    <cellStyle name="Normal 4 2 2 4 3 2 3 5" xfId="14467" xr:uid="{292B6A3B-A218-4AAB-994F-F88C889D9BFC}"/>
    <cellStyle name="Normal 4 2 2 4 3 2 4" xfId="9450" xr:uid="{0F54578A-5DA3-4B6E-9E36-71CC7CD6BFE8}"/>
    <cellStyle name="Normal 4 2 2 4 3 2 4 2" xfId="18766" xr:uid="{DDBB65A6-005B-4F79-91A4-0DB2BFEA3C64}"/>
    <cellStyle name="Normal 4 2 2 4 3 2 5" xfId="19550" xr:uid="{1EC6001A-5754-4749-A18A-BBF6526F1C29}"/>
    <cellStyle name="Normal 4 2 2 4 3 2 6" xfId="27997" xr:uid="{C623A787-79FB-452E-80EB-5A0907F794A7}"/>
    <cellStyle name="Normal 4 2 2 4 3 2 7" xfId="36444" xr:uid="{AE846843-DEB2-4E3C-BD73-2E36DA1063AD}"/>
    <cellStyle name="Normal 4 2 2 4 3 2 8" xfId="10250" xr:uid="{192CF16E-E7AB-4D99-B470-B4B8964CBBA9}"/>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2 2 2" xfId="26325" xr:uid="{4E24F652-0FA0-49C3-8EE5-1FB4B1E08C57}"/>
    <cellStyle name="Normal 4 2 2 4 3 3 2 2 3" xfId="34772" xr:uid="{0C1BFE2B-8922-49EC-B278-F500611F5106}"/>
    <cellStyle name="Normal 4 2 2 4 3 3 2 2 4" xfId="43219" xr:uid="{A091E4E2-740B-46FB-A3E1-E0968785BF0A}"/>
    <cellStyle name="Normal 4 2 2 4 3 3 2 2 5" xfId="17025" xr:uid="{67733C34-8FB1-4868-8455-77352E2A0B06}"/>
    <cellStyle name="Normal 4 2 2 4 3 3 2 3" xfId="22108" xr:uid="{CDCBD13B-883B-490A-B105-DC2964C1419E}"/>
    <cellStyle name="Normal 4 2 2 4 3 3 2 4" xfId="30555" xr:uid="{2E4EE6B6-4721-45F9-89F2-596E88FA373D}"/>
    <cellStyle name="Normal 4 2 2 4 3 3 2 5" xfId="39002" xr:uid="{E767D05B-BE7E-48E5-9BAC-7263500B25C8}"/>
    <cellStyle name="Normal 4 2 2 4 3 3 2 6" xfId="12808" xr:uid="{7B6AB36E-9A4B-4A0F-ADA7-AAD3D2C375D9}"/>
    <cellStyle name="Normal 4 2 2 4 3 3 3" xfId="5554" xr:uid="{00000000-0005-0000-0000-0000C3120000}"/>
    <cellStyle name="Normal 4 2 2 4 3 3 3 2" xfId="24180" xr:uid="{9AACAA54-4D71-4698-86AA-D59A86DD7D1A}"/>
    <cellStyle name="Normal 4 2 2 4 3 3 3 3" xfId="32627" xr:uid="{B71C0DDB-5B32-43A9-A725-588E2DA3CD9D}"/>
    <cellStyle name="Normal 4 2 2 4 3 3 3 4" xfId="41074" xr:uid="{4F9B675A-AEE7-4B1B-98D1-16D5AD975600}"/>
    <cellStyle name="Normal 4 2 2 4 3 3 3 5" xfId="14880" xr:uid="{A7479320-943C-46E9-89EC-B0B4B877C869}"/>
    <cellStyle name="Normal 4 2 2 4 3 3 4" xfId="19963" xr:uid="{1B5C945F-464F-4728-A785-CB6046AF68B5}"/>
    <cellStyle name="Normal 4 2 2 4 3 3 5" xfId="28410" xr:uid="{0E6EE9D7-5414-49A9-9D8E-93E79F028A6B}"/>
    <cellStyle name="Normal 4 2 2 4 3 3 6" xfId="36857" xr:uid="{7A98F21B-2530-4BB2-93D8-4129297C4976}"/>
    <cellStyle name="Normal 4 2 2 4 3 3 7" xfId="10663" xr:uid="{463928EF-A5DB-4ED2-81EE-E7DC5AADE26E}"/>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2 2 2" xfId="26738" xr:uid="{C8EF40BB-A5E4-4BAC-8BEE-B14096EA77B3}"/>
    <cellStyle name="Normal 4 2 2 4 3 4 2 2 3" xfId="35185" xr:uid="{9D7DDA7A-50EF-4E00-85EF-494414DD733B}"/>
    <cellStyle name="Normal 4 2 2 4 3 4 2 2 4" xfId="43632" xr:uid="{5072E597-FFF0-4150-BC3A-6EFA49D63274}"/>
    <cellStyle name="Normal 4 2 2 4 3 4 2 2 5" xfId="17438" xr:uid="{384545A4-0EB4-44D2-8282-2C90CA3858E0}"/>
    <cellStyle name="Normal 4 2 2 4 3 4 2 3" xfId="22521" xr:uid="{9DC4B1B2-B161-4B69-B9FC-3F9B0E32897F}"/>
    <cellStyle name="Normal 4 2 2 4 3 4 2 4" xfId="30968" xr:uid="{76A1B8FB-118C-4006-951B-D741BFEFEE4B}"/>
    <cellStyle name="Normal 4 2 2 4 3 4 2 5" xfId="39415" xr:uid="{389C953B-95DB-4625-9D69-D6B23AD962BC}"/>
    <cellStyle name="Normal 4 2 2 4 3 4 2 6" xfId="13221" xr:uid="{959AFD9C-28F1-4027-9C41-915CA6DB2790}"/>
    <cellStyle name="Normal 4 2 2 4 3 4 3" xfId="5967" xr:uid="{00000000-0005-0000-0000-0000C7120000}"/>
    <cellStyle name="Normal 4 2 2 4 3 4 3 2" xfId="24593" xr:uid="{F3DF4C2A-4A68-4F9D-B89A-8BF4A5C31C2B}"/>
    <cellStyle name="Normal 4 2 2 4 3 4 3 3" xfId="33040" xr:uid="{FB0BFE45-2012-4027-95C5-0DF34BB29396}"/>
    <cellStyle name="Normal 4 2 2 4 3 4 3 4" xfId="41487" xr:uid="{DD1E05DE-E7FC-4610-ACDD-9E61BD0CB973}"/>
    <cellStyle name="Normal 4 2 2 4 3 4 3 5" xfId="15293" xr:uid="{11C85944-DDAE-43CA-9D4C-0BE3D5D4391A}"/>
    <cellStyle name="Normal 4 2 2 4 3 4 4" xfId="20376" xr:uid="{EE0155E7-F5C8-4CF9-B4F7-6E36AB69FBB9}"/>
    <cellStyle name="Normal 4 2 2 4 3 4 5" xfId="28823" xr:uid="{160F7BD4-61EE-4EAF-9866-012DA53EB249}"/>
    <cellStyle name="Normal 4 2 2 4 3 4 6" xfId="37270" xr:uid="{2E90921E-AB36-49FB-BCD0-6E4F303D255C}"/>
    <cellStyle name="Normal 4 2 2 4 3 4 7" xfId="11076" xr:uid="{B844C2F2-E6E1-4169-99EF-4B4B37935B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2 2 2" xfId="27151" xr:uid="{506625E8-51E1-4E56-A9AB-965E3D626AFA}"/>
    <cellStyle name="Normal 4 2 2 4 3 5 2 2 3" xfId="35598" xr:uid="{918559A0-4287-4E03-BAE0-42B6EEDEE994}"/>
    <cellStyle name="Normal 4 2 2 4 3 5 2 2 4" xfId="44045" xr:uid="{67FF8544-1885-4934-A07F-77BE3F04BEFD}"/>
    <cellStyle name="Normal 4 2 2 4 3 5 2 2 5" xfId="17851" xr:uid="{46017ABF-AB6F-4D4C-9AFE-3C1CB7ADCA82}"/>
    <cellStyle name="Normal 4 2 2 4 3 5 2 3" xfId="22934" xr:uid="{4C10890E-74D5-45B9-B2B1-274381C16204}"/>
    <cellStyle name="Normal 4 2 2 4 3 5 2 4" xfId="31381" xr:uid="{E51D66D0-EF15-41E2-869C-4D11FB2A8E5F}"/>
    <cellStyle name="Normal 4 2 2 4 3 5 2 5" xfId="39828" xr:uid="{6F8E7232-2D4C-470B-B7BE-562E1AE75C94}"/>
    <cellStyle name="Normal 4 2 2 4 3 5 2 6" xfId="13634" xr:uid="{EF2C40B3-9AB4-4AB1-B554-13CC0D2BCF06}"/>
    <cellStyle name="Normal 4 2 2 4 3 5 3" xfId="6380" xr:uid="{00000000-0005-0000-0000-0000CB120000}"/>
    <cellStyle name="Normal 4 2 2 4 3 5 3 2" xfId="25006" xr:uid="{F57959B2-6325-4CB5-A642-EDF890AF3B06}"/>
    <cellStyle name="Normal 4 2 2 4 3 5 3 3" xfId="33453" xr:uid="{B8CE2365-0EAA-4C8E-A44D-A29649DECA94}"/>
    <cellStyle name="Normal 4 2 2 4 3 5 3 4" xfId="41900" xr:uid="{C1637B24-5096-41A0-B645-C6C9BC7A971E}"/>
    <cellStyle name="Normal 4 2 2 4 3 5 3 5" xfId="15706" xr:uid="{DD89C64C-F620-4BAB-81B5-BDC1D21F825C}"/>
    <cellStyle name="Normal 4 2 2 4 3 5 4" xfId="20789" xr:uid="{894F1A03-3086-4FFB-9D75-DA9F75C2410E}"/>
    <cellStyle name="Normal 4 2 2 4 3 5 5" xfId="29236" xr:uid="{2979C175-FFF9-4DD3-9B96-F60CE5846C0C}"/>
    <cellStyle name="Normal 4 2 2 4 3 5 6" xfId="37683" xr:uid="{2CFE276B-2599-485C-8A41-731E907DA9E7}"/>
    <cellStyle name="Normal 4 2 2 4 3 5 7" xfId="11489" xr:uid="{B0EB80EB-9E81-4D10-811C-17059FB451CD}"/>
    <cellStyle name="Normal 4 2 2 4 3 6" xfId="2510" xr:uid="{00000000-0005-0000-0000-0000CC120000}"/>
    <cellStyle name="Normal 4 2 2 4 3 6 2" xfId="6793" xr:uid="{00000000-0005-0000-0000-0000CD120000}"/>
    <cellStyle name="Normal 4 2 2 4 3 6 2 2" xfId="25419" xr:uid="{128ED67C-5C75-4226-97EC-C4CEC74FE608}"/>
    <cellStyle name="Normal 4 2 2 4 3 6 2 3" xfId="33866" xr:uid="{73DE6A70-7275-49C2-8AAF-8A25EF6DD143}"/>
    <cellStyle name="Normal 4 2 2 4 3 6 2 4" xfId="42313" xr:uid="{86308405-A657-43A7-97D3-352973E84B94}"/>
    <cellStyle name="Normal 4 2 2 4 3 6 2 5" xfId="16119" xr:uid="{18C8B56D-C4F4-43F9-87EC-E6C071696748}"/>
    <cellStyle name="Normal 4 2 2 4 3 6 3" xfId="21202" xr:uid="{1B597ECB-1753-4254-8B3B-8830F8498F3D}"/>
    <cellStyle name="Normal 4 2 2 4 3 6 4" xfId="29649" xr:uid="{DEA1474E-C2B1-40C4-9908-0EEA53676FF5}"/>
    <cellStyle name="Normal 4 2 2 4 3 6 5" xfId="38096" xr:uid="{E202B459-1042-4ED9-A165-5ACD7EBC73C7}"/>
    <cellStyle name="Normal 4 2 2 4 3 6 6" xfId="11902" xr:uid="{2016645B-2CEB-4066-91EE-3F6FBC105928}"/>
    <cellStyle name="Normal 4 2 2 4 3 7" xfId="4728" xr:uid="{00000000-0005-0000-0000-0000CE120000}"/>
    <cellStyle name="Normal 4 2 2 4 3 7 2" xfId="23354" xr:uid="{5ACF3647-4839-4A9C-BF0C-ACEF8FCFE1C4}"/>
    <cellStyle name="Normal 4 2 2 4 3 7 3" xfId="31801" xr:uid="{37EC6E9D-1AC2-4F47-8357-849605FC75C7}"/>
    <cellStyle name="Normal 4 2 2 4 3 7 4" xfId="40248" xr:uid="{EA7B58FF-B077-4AF0-BBBD-03BBEF1385B5}"/>
    <cellStyle name="Normal 4 2 2 4 3 7 5" xfId="14054" xr:uid="{26DD50E7-E592-4366-8C8D-70E802E346E4}"/>
    <cellStyle name="Normal 4 2 2 4 3 8" xfId="9025" xr:uid="{436CB353-A916-4AB2-B5E2-8C1BDAEA1182}"/>
    <cellStyle name="Normal 4 2 2 4 3 8 2" xfId="18349" xr:uid="{43C4890A-BB35-426C-BA75-DF0B93247D30}"/>
    <cellStyle name="Normal 4 2 2 4 3 9" xfId="19137" xr:uid="{D227A6D9-D5AA-4440-BE4F-48FD4DD2A777}"/>
    <cellStyle name="Normal 4 2 2 4 4" xfId="824" xr:uid="{00000000-0005-0000-0000-0000CF120000}"/>
    <cellStyle name="Normal 4 2 2 4 4 2" xfId="3061" xr:uid="{00000000-0005-0000-0000-0000D0120000}"/>
    <cellStyle name="Normal 4 2 2 4 4 2 2" xfId="7283" xr:uid="{00000000-0005-0000-0000-0000D1120000}"/>
    <cellStyle name="Normal 4 2 2 4 4 2 2 2" xfId="25909" xr:uid="{FFDCF082-766D-4675-9A6F-7AC2A90C3F21}"/>
    <cellStyle name="Normal 4 2 2 4 4 2 2 3" xfId="34356" xr:uid="{12C357E4-ABAB-4727-9CAF-6042D04E768B}"/>
    <cellStyle name="Normal 4 2 2 4 4 2 2 4" xfId="42803" xr:uid="{BFDE0960-30F3-4E0C-AEE5-E5AC54AD312F}"/>
    <cellStyle name="Normal 4 2 2 4 4 2 2 5" xfId="16609" xr:uid="{C9BC49CF-24A7-46D0-A4FE-532E0443D550}"/>
    <cellStyle name="Normal 4 2 2 4 4 2 3" xfId="21692" xr:uid="{12F277F6-2D30-46E1-9B1E-2C1BFF2CDD12}"/>
    <cellStyle name="Normal 4 2 2 4 4 2 4" xfId="30139" xr:uid="{205D0082-AB54-4A1F-910C-F2F51DF3E4E9}"/>
    <cellStyle name="Normal 4 2 2 4 4 2 5" xfId="38586" xr:uid="{7FAB85B7-7E51-4957-804E-FFE03C2538D8}"/>
    <cellStyle name="Normal 4 2 2 4 4 2 6" xfId="12392" xr:uid="{4CCAA4B6-A9FD-421F-B7B3-EC80CFE4B16F}"/>
    <cellStyle name="Normal 4 2 2 4 4 3" xfId="5138" xr:uid="{00000000-0005-0000-0000-0000D2120000}"/>
    <cellStyle name="Normal 4 2 2 4 4 3 2" xfId="23764" xr:uid="{ABD08604-DCBF-4510-B92E-B3B0835765C6}"/>
    <cellStyle name="Normal 4 2 2 4 4 3 3" xfId="32211" xr:uid="{EEB398EB-2A56-4EFF-8A44-2F1E1BC93A0D}"/>
    <cellStyle name="Normal 4 2 2 4 4 3 4" xfId="40658" xr:uid="{B1F72482-43B9-4C2F-A1B3-0881505948EF}"/>
    <cellStyle name="Normal 4 2 2 4 4 3 5" xfId="14464" xr:uid="{777646AC-A094-4AAC-841B-89AAF2AEF67B}"/>
    <cellStyle name="Normal 4 2 2 4 4 4" xfId="9243" xr:uid="{FD46A281-F5BE-478B-950E-209D1D56FC0E}"/>
    <cellStyle name="Normal 4 2 2 4 4 4 2" xfId="18559" xr:uid="{B51D9065-88E3-4072-AC3B-0A9B49242AC3}"/>
    <cellStyle name="Normal 4 2 2 4 4 5" xfId="19547" xr:uid="{5FE5C389-30A1-4269-9CB0-C377B9EBA5DF}"/>
    <cellStyle name="Normal 4 2 2 4 4 6" xfId="27994" xr:uid="{F8E11AC1-64A4-4782-8187-274135C6649B}"/>
    <cellStyle name="Normal 4 2 2 4 4 7" xfId="36441" xr:uid="{F9FC6B07-BEF5-467B-B043-F98D709CC0D7}"/>
    <cellStyle name="Normal 4 2 2 4 4 8" xfId="10247" xr:uid="{0FEF34D6-3BE0-4CFF-AA95-A50E48FEF072}"/>
    <cellStyle name="Normal 4 2 2 4 5" xfId="1244" xr:uid="{00000000-0005-0000-0000-0000D3120000}"/>
    <cellStyle name="Normal 4 2 2 4 5 2" xfId="3474" xr:uid="{00000000-0005-0000-0000-0000D4120000}"/>
    <cellStyle name="Normal 4 2 2 4 5 2 2" xfId="7696" xr:uid="{00000000-0005-0000-0000-0000D5120000}"/>
    <cellStyle name="Normal 4 2 2 4 5 2 2 2" xfId="26322" xr:uid="{1B1A950D-08C0-4681-BE1A-CE41AA52E87D}"/>
    <cellStyle name="Normal 4 2 2 4 5 2 2 3" xfId="34769" xr:uid="{61B2CCA0-DBDB-4E6D-B121-DDA0D1CDB234}"/>
    <cellStyle name="Normal 4 2 2 4 5 2 2 4" xfId="43216" xr:uid="{E63FEC00-0906-4CDD-A535-8BE15EC903B0}"/>
    <cellStyle name="Normal 4 2 2 4 5 2 2 5" xfId="17022" xr:uid="{7560F77C-FDD3-4507-BFAF-47490ADA2ECC}"/>
    <cellStyle name="Normal 4 2 2 4 5 2 3" xfId="22105" xr:uid="{58D2B3C6-51B8-4DC4-8C0A-71871EF239A9}"/>
    <cellStyle name="Normal 4 2 2 4 5 2 4" xfId="30552" xr:uid="{5F2F692D-675B-4EF1-A299-A4DDE7B8786B}"/>
    <cellStyle name="Normal 4 2 2 4 5 2 5" xfId="38999" xr:uid="{15D30CEA-78BC-4281-877B-470A329F3D2E}"/>
    <cellStyle name="Normal 4 2 2 4 5 2 6" xfId="12805" xr:uid="{3A80ED25-C90C-48C0-9B18-D3995BF7B15F}"/>
    <cellStyle name="Normal 4 2 2 4 5 3" xfId="5551" xr:uid="{00000000-0005-0000-0000-0000D6120000}"/>
    <cellStyle name="Normal 4 2 2 4 5 3 2" xfId="24177" xr:uid="{26726F1C-5446-4736-8D59-B637F1DB4160}"/>
    <cellStyle name="Normal 4 2 2 4 5 3 3" xfId="32624" xr:uid="{EFBEA837-51FE-4049-A185-032CA95D6C6D}"/>
    <cellStyle name="Normal 4 2 2 4 5 3 4" xfId="41071" xr:uid="{0E774D7F-C5D9-4DF4-889C-EDD40D984387}"/>
    <cellStyle name="Normal 4 2 2 4 5 3 5" xfId="14877" xr:uid="{591A4BBA-6572-4967-B953-4C9760C0C028}"/>
    <cellStyle name="Normal 4 2 2 4 5 4" xfId="19960" xr:uid="{383665DD-0776-44B7-B542-BCDB84DE45DE}"/>
    <cellStyle name="Normal 4 2 2 4 5 5" xfId="28407" xr:uid="{13F6AD28-3CC1-4C21-AF6F-085952489B1C}"/>
    <cellStyle name="Normal 4 2 2 4 5 6" xfId="36854" xr:uid="{C4C1B230-064C-47CB-8E5D-471EEB61A904}"/>
    <cellStyle name="Normal 4 2 2 4 5 7" xfId="10660" xr:uid="{B9DF945F-01D6-4C46-BD4D-1F682290A47C}"/>
    <cellStyle name="Normal 4 2 2 4 6" xfId="1657" xr:uid="{00000000-0005-0000-0000-0000D7120000}"/>
    <cellStyle name="Normal 4 2 2 4 6 2" xfId="3887" xr:uid="{00000000-0005-0000-0000-0000D8120000}"/>
    <cellStyle name="Normal 4 2 2 4 6 2 2" xfId="8109" xr:uid="{00000000-0005-0000-0000-0000D9120000}"/>
    <cellStyle name="Normal 4 2 2 4 6 2 2 2" xfId="26735" xr:uid="{61D5DDF6-AE61-4B35-A667-B8A7AD509486}"/>
    <cellStyle name="Normal 4 2 2 4 6 2 2 3" xfId="35182" xr:uid="{452FFE94-389C-4B4D-85AB-8364F9D2D487}"/>
    <cellStyle name="Normal 4 2 2 4 6 2 2 4" xfId="43629" xr:uid="{81208EB5-31EF-4E3A-8A12-F40F1684758A}"/>
    <cellStyle name="Normal 4 2 2 4 6 2 2 5" xfId="17435" xr:uid="{FDB07744-831E-41EC-96D4-E77A9B0BA824}"/>
    <cellStyle name="Normal 4 2 2 4 6 2 3" xfId="22518" xr:uid="{0B5A305D-30B5-4EE0-B17D-74A52C302812}"/>
    <cellStyle name="Normal 4 2 2 4 6 2 4" xfId="30965" xr:uid="{9BC4C4F4-7265-45B9-8A16-A27952BF292F}"/>
    <cellStyle name="Normal 4 2 2 4 6 2 5" xfId="39412" xr:uid="{7ED55DFD-FABE-443E-8726-D8B2F0DE310A}"/>
    <cellStyle name="Normal 4 2 2 4 6 2 6" xfId="13218" xr:uid="{EA8A1D6E-B838-408C-AEDE-1CADCBFF1D64}"/>
    <cellStyle name="Normal 4 2 2 4 6 3" xfId="5964" xr:uid="{00000000-0005-0000-0000-0000DA120000}"/>
    <cellStyle name="Normal 4 2 2 4 6 3 2" xfId="24590" xr:uid="{8D9150CB-84C2-41D4-8CDC-6484260F9FDA}"/>
    <cellStyle name="Normal 4 2 2 4 6 3 3" xfId="33037" xr:uid="{19D888ED-82CD-4D57-A612-3F972C2C28E3}"/>
    <cellStyle name="Normal 4 2 2 4 6 3 4" xfId="41484" xr:uid="{5660BFD8-30E1-4822-8F4A-B157AF9E3F45}"/>
    <cellStyle name="Normal 4 2 2 4 6 3 5" xfId="15290" xr:uid="{53613D8B-0AAF-47F9-87DD-32FA3EF17CD7}"/>
    <cellStyle name="Normal 4 2 2 4 6 4" xfId="20373" xr:uid="{E8BF25F8-85CB-416D-A50E-985A201B8E1D}"/>
    <cellStyle name="Normal 4 2 2 4 6 5" xfId="28820" xr:uid="{E2871ED8-8601-42ED-8F99-76F29BFC7057}"/>
    <cellStyle name="Normal 4 2 2 4 6 6" xfId="37267" xr:uid="{A9059DA7-0883-4815-90F5-4AC8136516FB}"/>
    <cellStyle name="Normal 4 2 2 4 6 7" xfId="11073" xr:uid="{38AEB146-3022-40A3-ABC9-5FF2F22C3AB2}"/>
    <cellStyle name="Normal 4 2 2 4 7" xfId="2071" xr:uid="{00000000-0005-0000-0000-0000DB120000}"/>
    <cellStyle name="Normal 4 2 2 4 7 2" xfId="4300" xr:uid="{00000000-0005-0000-0000-0000DC120000}"/>
    <cellStyle name="Normal 4 2 2 4 7 2 2" xfId="8522" xr:uid="{00000000-0005-0000-0000-0000DD120000}"/>
    <cellStyle name="Normal 4 2 2 4 7 2 2 2" xfId="27148" xr:uid="{6AA1C17F-6639-4511-B216-D1432FE8CF96}"/>
    <cellStyle name="Normal 4 2 2 4 7 2 2 3" xfId="35595" xr:uid="{D1927AEB-F730-4BCD-B42E-F22E1A39B5A2}"/>
    <cellStyle name="Normal 4 2 2 4 7 2 2 4" xfId="44042" xr:uid="{11237190-EF92-4987-9F43-375E3D017DC8}"/>
    <cellStyle name="Normal 4 2 2 4 7 2 2 5" xfId="17848" xr:uid="{5616D78D-419C-4F9A-9B55-A27E092D787E}"/>
    <cellStyle name="Normal 4 2 2 4 7 2 3" xfId="22931" xr:uid="{0DAB56CE-A88A-456A-AA1B-C1B821F4D735}"/>
    <cellStyle name="Normal 4 2 2 4 7 2 4" xfId="31378" xr:uid="{FE265375-E7EC-48D3-91A4-76B714844E9C}"/>
    <cellStyle name="Normal 4 2 2 4 7 2 5" xfId="39825" xr:uid="{15029A5F-F3CC-421E-BD42-D62CD95E962D}"/>
    <cellStyle name="Normal 4 2 2 4 7 2 6" xfId="13631" xr:uid="{85C3BD9C-4CA9-4B09-A222-6292D0C2BE18}"/>
    <cellStyle name="Normal 4 2 2 4 7 3" xfId="6377" xr:uid="{00000000-0005-0000-0000-0000DE120000}"/>
    <cellStyle name="Normal 4 2 2 4 7 3 2" xfId="25003" xr:uid="{F993B927-EC78-43DD-88CF-379D6229144C}"/>
    <cellStyle name="Normal 4 2 2 4 7 3 3" xfId="33450" xr:uid="{7F5C7856-0607-4980-AC96-A0771137464C}"/>
    <cellStyle name="Normal 4 2 2 4 7 3 4" xfId="41897" xr:uid="{E584EEC1-CF93-4273-8B2F-AD9B4CE5C4F9}"/>
    <cellStyle name="Normal 4 2 2 4 7 3 5" xfId="15703" xr:uid="{0B94D822-9C5E-47A5-8013-1CD83AC86D50}"/>
    <cellStyle name="Normal 4 2 2 4 7 4" xfId="20786" xr:uid="{709001E5-33E5-470C-9B83-AA4847E3AB2E}"/>
    <cellStyle name="Normal 4 2 2 4 7 5" xfId="29233" xr:uid="{C0E68565-9645-4706-B615-6A37106B57CF}"/>
    <cellStyle name="Normal 4 2 2 4 7 6" xfId="37680" xr:uid="{2F176686-0B2A-4983-A40B-AEED22187A41}"/>
    <cellStyle name="Normal 4 2 2 4 7 7" xfId="11486" xr:uid="{089EEB93-F311-4D5A-B205-74FCDE63CAA6}"/>
    <cellStyle name="Normal 4 2 2 4 8" xfId="2507" xr:uid="{00000000-0005-0000-0000-0000DF120000}"/>
    <cellStyle name="Normal 4 2 2 4 8 2" xfId="6790" xr:uid="{00000000-0005-0000-0000-0000E0120000}"/>
    <cellStyle name="Normal 4 2 2 4 8 2 2" xfId="25416" xr:uid="{54B2E578-651D-49D0-B050-C83F95B3AB91}"/>
    <cellStyle name="Normal 4 2 2 4 8 2 3" xfId="33863" xr:uid="{5CF9261A-9CBD-4A95-9CFB-6DC1A9C755A4}"/>
    <cellStyle name="Normal 4 2 2 4 8 2 4" xfId="42310" xr:uid="{625A0F74-A602-459B-BD9C-174117A9069B}"/>
    <cellStyle name="Normal 4 2 2 4 8 2 5" xfId="16116" xr:uid="{4F802FC6-B10B-4907-B53E-F0468CCF238E}"/>
    <cellStyle name="Normal 4 2 2 4 8 3" xfId="21199" xr:uid="{93A6E6CC-172D-4EF7-8B57-D9A23CC2C45E}"/>
    <cellStyle name="Normal 4 2 2 4 8 4" xfId="29646" xr:uid="{EC7782A0-F0EB-42D2-BBCC-F9876CC76E0D}"/>
    <cellStyle name="Normal 4 2 2 4 8 5" xfId="38093" xr:uid="{721AF880-CD06-44AF-B2B5-21EC33EF59DB}"/>
    <cellStyle name="Normal 4 2 2 4 8 6" xfId="11899" xr:uid="{3EC7EB46-7FF6-4A43-8AC3-40E6F2872753}"/>
    <cellStyle name="Normal 4 2 2 4 9" xfId="4725" xr:uid="{00000000-0005-0000-0000-0000E1120000}"/>
    <cellStyle name="Normal 4 2 2 4 9 2" xfId="23351" xr:uid="{7DCF4F5E-96BB-4182-9F1F-D42B193A9FD4}"/>
    <cellStyle name="Normal 4 2 2 4 9 3" xfId="31798" xr:uid="{876CE55E-0086-4BB1-AD28-CC34B2B541C0}"/>
    <cellStyle name="Normal 4 2 2 4 9 4" xfId="40245" xr:uid="{655A8730-96CC-488B-A80E-530C84419762}"/>
    <cellStyle name="Normal 4 2 2 4 9 5" xfId="14051" xr:uid="{8D5CF811-6694-49BD-AFA4-0DE1A68A1A23}"/>
    <cellStyle name="Normal 4 2 2 5" xfId="351" xr:uid="{00000000-0005-0000-0000-0000E2120000}"/>
    <cellStyle name="Normal 4 2 2 5 10" xfId="19138" xr:uid="{06C8294D-5610-40B1-BD74-7568AE9E00C8}"/>
    <cellStyle name="Normal 4 2 2 5 11" xfId="27585" xr:uid="{C9CE8849-BCA3-4742-8F5A-917760E89FE4}"/>
    <cellStyle name="Normal 4 2 2 5 12" xfId="36032" xr:uid="{E2724F21-A92D-4BE2-86CF-6B2AAD7E2B71}"/>
    <cellStyle name="Normal 4 2 2 5 13" xfId="9838" xr:uid="{C27F6392-9E53-4D03-9FC7-BF56B4AD0C33}"/>
    <cellStyle name="Normal 4 2 2 5 2" xfId="352" xr:uid="{00000000-0005-0000-0000-0000E3120000}"/>
    <cellStyle name="Normal 4 2 2 5 2 10" xfId="27586" xr:uid="{C04F55A9-F2CF-4134-983F-E81F067C9621}"/>
    <cellStyle name="Normal 4 2 2 5 2 11" xfId="36033" xr:uid="{01172FE2-6F50-462C-B1BB-467B89127910}"/>
    <cellStyle name="Normal 4 2 2 5 2 12" xfId="9839" xr:uid="{5271024B-99B5-4F52-99D6-BBCFF83BE487}"/>
    <cellStyle name="Normal 4 2 2 5 2 2" xfId="829" xr:uid="{00000000-0005-0000-0000-0000E4120000}"/>
    <cellStyle name="Normal 4 2 2 5 2 2 2" xfId="3066" xr:uid="{00000000-0005-0000-0000-0000E5120000}"/>
    <cellStyle name="Normal 4 2 2 5 2 2 2 2" xfId="7288" xr:uid="{00000000-0005-0000-0000-0000E6120000}"/>
    <cellStyle name="Normal 4 2 2 5 2 2 2 2 2" xfId="25914" xr:uid="{0CB6CD6E-7D63-43C4-A3D6-FDB54BB539AB}"/>
    <cellStyle name="Normal 4 2 2 5 2 2 2 2 3" xfId="34361" xr:uid="{AC04B264-816D-4171-B8DB-49C890848245}"/>
    <cellStyle name="Normal 4 2 2 5 2 2 2 2 4" xfId="42808" xr:uid="{EF290802-315F-4CAA-9EBF-8EDBAD5C5612}"/>
    <cellStyle name="Normal 4 2 2 5 2 2 2 2 5" xfId="16614" xr:uid="{5F56D010-2E3A-4219-AB21-6073E138830F}"/>
    <cellStyle name="Normal 4 2 2 5 2 2 2 3" xfId="21697" xr:uid="{8332237D-C152-4C12-B9DA-00182BC9EE23}"/>
    <cellStyle name="Normal 4 2 2 5 2 2 2 4" xfId="30144" xr:uid="{CE9A6A91-A916-458E-AE1D-2261661B928C}"/>
    <cellStyle name="Normal 4 2 2 5 2 2 2 5" xfId="38591" xr:uid="{7201BD1D-44F8-4357-B8B1-6AA7105D465C}"/>
    <cellStyle name="Normal 4 2 2 5 2 2 2 6" xfId="12397" xr:uid="{9C356B46-584D-46B7-B61C-8E07DCB9493B}"/>
    <cellStyle name="Normal 4 2 2 5 2 2 3" xfId="5143" xr:uid="{00000000-0005-0000-0000-0000E7120000}"/>
    <cellStyle name="Normal 4 2 2 5 2 2 3 2" xfId="23769" xr:uid="{F1443BDA-0A4C-470E-AF3F-F63319EE960A}"/>
    <cellStyle name="Normal 4 2 2 5 2 2 3 3" xfId="32216" xr:uid="{3F970700-CBF1-4FD1-B2DD-0452C9C5014C}"/>
    <cellStyle name="Normal 4 2 2 5 2 2 3 4" xfId="40663" xr:uid="{D3290CD5-8E67-4630-A10A-0E3C7329AA10}"/>
    <cellStyle name="Normal 4 2 2 5 2 2 3 5" xfId="14469" xr:uid="{B092E434-7C21-46A9-8EF7-FEA37317B5C3}"/>
    <cellStyle name="Normal 4 2 2 5 2 2 4" xfId="9487" xr:uid="{83D2756E-B983-4EA9-AB48-FF4D3E821CE4}"/>
    <cellStyle name="Normal 4 2 2 5 2 2 4 2" xfId="18803" xr:uid="{A668D5EA-9342-42F0-A5CC-3CD21571C682}"/>
    <cellStyle name="Normal 4 2 2 5 2 2 5" xfId="19552" xr:uid="{82D1658E-2992-4BA4-BED8-5E8E4516B824}"/>
    <cellStyle name="Normal 4 2 2 5 2 2 6" xfId="27999" xr:uid="{AB0B45CF-89EB-4EEA-9B94-5EA973578CF5}"/>
    <cellStyle name="Normal 4 2 2 5 2 2 7" xfId="36446" xr:uid="{A43D2CEB-60C6-464D-BE8D-3A39C0A42ECC}"/>
    <cellStyle name="Normal 4 2 2 5 2 2 8" xfId="10252" xr:uid="{A5D17FF6-76E2-4B89-869A-0BDBD1873769}"/>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2 2 2" xfId="26327" xr:uid="{8E41EADE-4EE0-4BF0-B6D9-D5C2084C7872}"/>
    <cellStyle name="Normal 4 2 2 5 2 3 2 2 3" xfId="34774" xr:uid="{2F40AE2D-E00D-47E1-BD00-03B2E5FA55FA}"/>
    <cellStyle name="Normal 4 2 2 5 2 3 2 2 4" xfId="43221" xr:uid="{552C489A-F21E-4A8C-9076-AB97860FF145}"/>
    <cellStyle name="Normal 4 2 2 5 2 3 2 2 5" xfId="17027" xr:uid="{90908E0A-CA5D-454F-9172-092DFB772425}"/>
    <cellStyle name="Normal 4 2 2 5 2 3 2 3" xfId="22110" xr:uid="{0F12E7D3-CB0E-49D0-8A77-4F1336C67D9B}"/>
    <cellStyle name="Normal 4 2 2 5 2 3 2 4" xfId="30557" xr:uid="{7710DAC9-E318-45E2-B9C0-C84D628046E5}"/>
    <cellStyle name="Normal 4 2 2 5 2 3 2 5" xfId="39004" xr:uid="{B20444BA-F3A5-4BC8-8757-4BC362CC08F4}"/>
    <cellStyle name="Normal 4 2 2 5 2 3 2 6" xfId="12810" xr:uid="{40F93EB3-A7B3-477C-8169-0360F3FFE3D0}"/>
    <cellStyle name="Normal 4 2 2 5 2 3 3" xfId="5556" xr:uid="{00000000-0005-0000-0000-0000EB120000}"/>
    <cellStyle name="Normal 4 2 2 5 2 3 3 2" xfId="24182" xr:uid="{47E9097D-C274-4AB2-8935-DF29D07E6D7C}"/>
    <cellStyle name="Normal 4 2 2 5 2 3 3 3" xfId="32629" xr:uid="{33ECF93C-FAE3-4561-B418-8C64C905FF77}"/>
    <cellStyle name="Normal 4 2 2 5 2 3 3 4" xfId="41076" xr:uid="{CF0AF670-C2E1-4E8D-95B8-392487D24B71}"/>
    <cellStyle name="Normal 4 2 2 5 2 3 3 5" xfId="14882" xr:uid="{63F7FC63-9DCB-42B6-911F-A7616B8FD404}"/>
    <cellStyle name="Normal 4 2 2 5 2 3 4" xfId="19965" xr:uid="{F7CDD05D-5925-4F5E-89F6-FB7D6850DC2B}"/>
    <cellStyle name="Normal 4 2 2 5 2 3 5" xfId="28412" xr:uid="{E886E73D-FE6F-463C-BB49-69A430B6ADC7}"/>
    <cellStyle name="Normal 4 2 2 5 2 3 6" xfId="36859" xr:uid="{4CC68225-0B95-4613-8408-375C624A5963}"/>
    <cellStyle name="Normal 4 2 2 5 2 3 7" xfId="10665" xr:uid="{F92074D6-239D-4301-8221-C91BE92777BC}"/>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2 2 2" xfId="26740" xr:uid="{F86B8D70-20C5-489A-AE47-BD0EBACB8163}"/>
    <cellStyle name="Normal 4 2 2 5 2 4 2 2 3" xfId="35187" xr:uid="{76DFC0CE-1B2C-439F-9068-C547C6D8A373}"/>
    <cellStyle name="Normal 4 2 2 5 2 4 2 2 4" xfId="43634" xr:uid="{49F0D06C-3F5C-40CD-B105-78F1875C423F}"/>
    <cellStyle name="Normal 4 2 2 5 2 4 2 2 5" xfId="17440" xr:uid="{77437149-F79D-450B-94C3-DE26BFCCF354}"/>
    <cellStyle name="Normal 4 2 2 5 2 4 2 3" xfId="22523" xr:uid="{3E98EDD9-52D0-4744-83DC-C9CD4FB14A60}"/>
    <cellStyle name="Normal 4 2 2 5 2 4 2 4" xfId="30970" xr:uid="{ADA9A3B9-F5B8-4491-B8CC-983264EB9875}"/>
    <cellStyle name="Normal 4 2 2 5 2 4 2 5" xfId="39417" xr:uid="{DECB8BE8-F999-4F54-85EA-5CAF7D2ED50D}"/>
    <cellStyle name="Normal 4 2 2 5 2 4 2 6" xfId="13223" xr:uid="{2ED58898-66B9-434E-8B44-86CE65782379}"/>
    <cellStyle name="Normal 4 2 2 5 2 4 3" xfId="5969" xr:uid="{00000000-0005-0000-0000-0000EF120000}"/>
    <cellStyle name="Normal 4 2 2 5 2 4 3 2" xfId="24595" xr:uid="{95A38F4F-7CF9-4290-9537-D7172F9F268F}"/>
    <cellStyle name="Normal 4 2 2 5 2 4 3 3" xfId="33042" xr:uid="{BA2D0EB7-CEB4-4C5E-A53A-081DD319EA6C}"/>
    <cellStyle name="Normal 4 2 2 5 2 4 3 4" xfId="41489" xr:uid="{149017AC-2C93-466F-9630-E2B051AE804B}"/>
    <cellStyle name="Normal 4 2 2 5 2 4 3 5" xfId="15295" xr:uid="{2141EFDE-C490-4069-A7A6-60457DD4266A}"/>
    <cellStyle name="Normal 4 2 2 5 2 4 4" xfId="20378" xr:uid="{87579B91-C033-4AAC-8C9E-85A329A6EEDE}"/>
    <cellStyle name="Normal 4 2 2 5 2 4 5" xfId="28825" xr:uid="{AE9061CB-9F82-4DDB-8051-29841EE2F12B}"/>
    <cellStyle name="Normal 4 2 2 5 2 4 6" xfId="37272" xr:uid="{C26789D7-B692-449F-BFB1-4AFF465D1012}"/>
    <cellStyle name="Normal 4 2 2 5 2 4 7" xfId="11078" xr:uid="{6E32C1EE-FE0B-4504-A359-B6EDB0C1F0DB}"/>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2 2 2" xfId="27153" xr:uid="{87812198-896B-491B-8742-69B3D4788BA3}"/>
    <cellStyle name="Normal 4 2 2 5 2 5 2 2 3" xfId="35600" xr:uid="{A7659A40-2A94-4E0B-815B-3E991B050EA2}"/>
    <cellStyle name="Normal 4 2 2 5 2 5 2 2 4" xfId="44047" xr:uid="{0F8B6EC7-C616-43F9-AE01-5A85C4C457B3}"/>
    <cellStyle name="Normal 4 2 2 5 2 5 2 2 5" xfId="17853" xr:uid="{F8D7FCA7-CFD0-4344-A675-FB37455518D5}"/>
    <cellStyle name="Normal 4 2 2 5 2 5 2 3" xfId="22936" xr:uid="{3EA6A853-6EBB-4037-9E0A-9641A7989569}"/>
    <cellStyle name="Normal 4 2 2 5 2 5 2 4" xfId="31383" xr:uid="{75358DF2-D108-4EB6-9570-57F7F30B3A1D}"/>
    <cellStyle name="Normal 4 2 2 5 2 5 2 5" xfId="39830" xr:uid="{B71A15B2-DF13-4AA3-A50D-E99383F2D343}"/>
    <cellStyle name="Normal 4 2 2 5 2 5 2 6" xfId="13636" xr:uid="{481EEDF1-DFCC-41AE-8C01-25EC8228A76A}"/>
    <cellStyle name="Normal 4 2 2 5 2 5 3" xfId="6382" xr:uid="{00000000-0005-0000-0000-0000F3120000}"/>
    <cellStyle name="Normal 4 2 2 5 2 5 3 2" xfId="25008" xr:uid="{BA8AB5D3-6F31-438F-B305-A2FA8EE87109}"/>
    <cellStyle name="Normal 4 2 2 5 2 5 3 3" xfId="33455" xr:uid="{A13FFB07-1BD8-4D56-B263-F836792895BB}"/>
    <cellStyle name="Normal 4 2 2 5 2 5 3 4" xfId="41902" xr:uid="{D9C32F27-B1BC-449F-8C3B-2EA893910B9D}"/>
    <cellStyle name="Normal 4 2 2 5 2 5 3 5" xfId="15708" xr:uid="{60C5EDCE-E94C-49BD-8351-B51079FD3E8C}"/>
    <cellStyle name="Normal 4 2 2 5 2 5 4" xfId="20791" xr:uid="{5E92F749-2344-46CF-88BF-47E5C55DDC55}"/>
    <cellStyle name="Normal 4 2 2 5 2 5 5" xfId="29238" xr:uid="{34ABCE49-5FC6-4E14-9FAC-F7CFDB6DD0DE}"/>
    <cellStyle name="Normal 4 2 2 5 2 5 6" xfId="37685" xr:uid="{B4F22E05-F0AA-40D2-A48C-C7C91C4227EF}"/>
    <cellStyle name="Normal 4 2 2 5 2 5 7" xfId="11491" xr:uid="{7D158E6C-637D-431C-A84E-3331D60EC19B}"/>
    <cellStyle name="Normal 4 2 2 5 2 6" xfId="2512" xr:uid="{00000000-0005-0000-0000-0000F4120000}"/>
    <cellStyle name="Normal 4 2 2 5 2 6 2" xfId="6795" xr:uid="{00000000-0005-0000-0000-0000F5120000}"/>
    <cellStyle name="Normal 4 2 2 5 2 6 2 2" xfId="25421" xr:uid="{8C5FBDA2-3749-4B09-85D3-C9352EDFEE06}"/>
    <cellStyle name="Normal 4 2 2 5 2 6 2 3" xfId="33868" xr:uid="{7E0110B8-CA5D-4333-9EDD-78501C66A585}"/>
    <cellStyle name="Normal 4 2 2 5 2 6 2 4" xfId="42315" xr:uid="{EF4A0FA5-79D8-4A04-B706-BEC02B03BD9E}"/>
    <cellStyle name="Normal 4 2 2 5 2 6 2 5" xfId="16121" xr:uid="{5D0D500E-03D4-444F-B2F5-DE2475A5E557}"/>
    <cellStyle name="Normal 4 2 2 5 2 6 3" xfId="21204" xr:uid="{031E6BB4-129B-4185-B2AB-A4AA44A480F4}"/>
    <cellStyle name="Normal 4 2 2 5 2 6 4" xfId="29651" xr:uid="{E76FDB84-6F26-4271-91FB-1BEFD6AFE39E}"/>
    <cellStyle name="Normal 4 2 2 5 2 6 5" xfId="38098" xr:uid="{C0D31174-9A77-4377-B144-CF71287C9A73}"/>
    <cellStyle name="Normal 4 2 2 5 2 6 6" xfId="11904" xr:uid="{5B6A2052-984F-41FA-A9E6-491372602DE0}"/>
    <cellStyle name="Normal 4 2 2 5 2 7" xfId="4730" xr:uid="{00000000-0005-0000-0000-0000F6120000}"/>
    <cellStyle name="Normal 4 2 2 5 2 7 2" xfId="23356" xr:uid="{12DDC6F4-D654-4D04-AE63-B95AAF9D214C}"/>
    <cellStyle name="Normal 4 2 2 5 2 7 3" xfId="31803" xr:uid="{F44A0080-B14E-4FC0-9D54-8F4741B4E785}"/>
    <cellStyle name="Normal 4 2 2 5 2 7 4" xfId="40250" xr:uid="{EE023199-568C-4FD6-8D15-4264373AA7FE}"/>
    <cellStyle name="Normal 4 2 2 5 2 7 5" xfId="14056" xr:uid="{5E04A7E1-67E7-46A8-9AAF-D26852D9F035}"/>
    <cellStyle name="Normal 4 2 2 5 2 8" xfId="9062" xr:uid="{FED54422-C2E5-44B3-AA7C-C6088F47A385}"/>
    <cellStyle name="Normal 4 2 2 5 2 8 2" xfId="18386" xr:uid="{28CAFEB9-3F9B-4DF5-8255-3C764EA3CCE6}"/>
    <cellStyle name="Normal 4 2 2 5 2 9" xfId="19139" xr:uid="{330FA8A3-0A67-4FE5-8F4B-BB087F6684BC}"/>
    <cellStyle name="Normal 4 2 2 5 3" xfId="828" xr:uid="{00000000-0005-0000-0000-0000F7120000}"/>
    <cellStyle name="Normal 4 2 2 5 3 2" xfId="3065" xr:uid="{00000000-0005-0000-0000-0000F8120000}"/>
    <cellStyle name="Normal 4 2 2 5 3 2 2" xfId="7287" xr:uid="{00000000-0005-0000-0000-0000F9120000}"/>
    <cellStyle name="Normal 4 2 2 5 3 2 2 2" xfId="25913" xr:uid="{AAC557A7-8CAF-4DCF-81DE-CB6D7CC98738}"/>
    <cellStyle name="Normal 4 2 2 5 3 2 2 3" xfId="34360" xr:uid="{E4CB5371-7F28-4B11-AE02-9238FC5843A5}"/>
    <cellStyle name="Normal 4 2 2 5 3 2 2 4" xfId="42807" xr:uid="{D1477C62-6931-4B10-9737-ADDEF42EFC91}"/>
    <cellStyle name="Normal 4 2 2 5 3 2 2 5" xfId="16613" xr:uid="{3001D2F2-0117-45B6-AA19-D747B31A3C78}"/>
    <cellStyle name="Normal 4 2 2 5 3 2 3" xfId="21696" xr:uid="{0B684B95-7E92-4B38-97D2-ADED21FFC25D}"/>
    <cellStyle name="Normal 4 2 2 5 3 2 4" xfId="30143" xr:uid="{5140E1B8-ABE5-409F-9DEC-9534D8DFAE54}"/>
    <cellStyle name="Normal 4 2 2 5 3 2 5" xfId="38590" xr:uid="{920CC1A6-DAC5-4315-9D91-A8F84DEEF0A5}"/>
    <cellStyle name="Normal 4 2 2 5 3 2 6" xfId="12396" xr:uid="{2100FF9A-B51F-4BA7-8495-910FBA033DAF}"/>
    <cellStyle name="Normal 4 2 2 5 3 3" xfId="5142" xr:uid="{00000000-0005-0000-0000-0000FA120000}"/>
    <cellStyle name="Normal 4 2 2 5 3 3 2" xfId="23768" xr:uid="{C5E57B6B-CF1A-4322-82E7-BE0CEC837551}"/>
    <cellStyle name="Normal 4 2 2 5 3 3 3" xfId="32215" xr:uid="{87BE9320-6D84-4340-9520-2E747B28B335}"/>
    <cellStyle name="Normal 4 2 2 5 3 3 4" xfId="40662" xr:uid="{F5F1A881-8AAE-412F-9720-150D0158C5B6}"/>
    <cellStyle name="Normal 4 2 2 5 3 3 5" xfId="14468" xr:uid="{110EF472-402C-4A1D-AEF2-C81667CEE70E}"/>
    <cellStyle name="Normal 4 2 2 5 3 4" xfId="9280" xr:uid="{C70B18D8-E279-4D37-82EF-3177E9FA554F}"/>
    <cellStyle name="Normal 4 2 2 5 3 4 2" xfId="18596" xr:uid="{F46872E4-FF4F-4101-AE18-C1687FF4E39A}"/>
    <cellStyle name="Normal 4 2 2 5 3 5" xfId="19551" xr:uid="{C7F3DE23-0CBA-4A42-BC4C-C908F2474E36}"/>
    <cellStyle name="Normal 4 2 2 5 3 6" xfId="27998" xr:uid="{612B3C70-9214-4E35-8902-777C228B2E5E}"/>
    <cellStyle name="Normal 4 2 2 5 3 7" xfId="36445" xr:uid="{A42BF266-CE63-4F67-B7BA-DA637E5CEE81}"/>
    <cellStyle name="Normal 4 2 2 5 3 8" xfId="10251" xr:uid="{1B695D40-9B1B-4D35-8AD3-04FEA8FBE5D8}"/>
    <cellStyle name="Normal 4 2 2 5 4" xfId="1248" xr:uid="{00000000-0005-0000-0000-0000FB120000}"/>
    <cellStyle name="Normal 4 2 2 5 4 2" xfId="3478" xr:uid="{00000000-0005-0000-0000-0000FC120000}"/>
    <cellStyle name="Normal 4 2 2 5 4 2 2" xfId="7700" xr:uid="{00000000-0005-0000-0000-0000FD120000}"/>
    <cellStyle name="Normal 4 2 2 5 4 2 2 2" xfId="26326" xr:uid="{A73E4453-A7D3-4427-B7B5-600136102794}"/>
    <cellStyle name="Normal 4 2 2 5 4 2 2 3" xfId="34773" xr:uid="{7B164E9C-58DE-40CD-94C4-E8269E148D63}"/>
    <cellStyle name="Normal 4 2 2 5 4 2 2 4" xfId="43220" xr:uid="{DF4428F2-F5CC-4E76-8D51-DDBB7E9E5DD4}"/>
    <cellStyle name="Normal 4 2 2 5 4 2 2 5" xfId="17026" xr:uid="{8793B034-9EE0-4A29-8948-EEF8FEF630D5}"/>
    <cellStyle name="Normal 4 2 2 5 4 2 3" xfId="22109" xr:uid="{34921E14-4590-43CE-9BA1-C92584A14B49}"/>
    <cellStyle name="Normal 4 2 2 5 4 2 4" xfId="30556" xr:uid="{91C42630-4E93-4A55-86D7-71DF00214EFD}"/>
    <cellStyle name="Normal 4 2 2 5 4 2 5" xfId="39003" xr:uid="{0FB55A67-1800-497F-B9C9-63083BAC78F5}"/>
    <cellStyle name="Normal 4 2 2 5 4 2 6" xfId="12809" xr:uid="{95A1E19C-D34B-4798-B97F-5AF91FAC5AA2}"/>
    <cellStyle name="Normal 4 2 2 5 4 3" xfId="5555" xr:uid="{00000000-0005-0000-0000-0000FE120000}"/>
    <cellStyle name="Normal 4 2 2 5 4 3 2" xfId="24181" xr:uid="{02740CEE-2CBE-4FF6-AF74-415CF4D8F682}"/>
    <cellStyle name="Normal 4 2 2 5 4 3 3" xfId="32628" xr:uid="{75C19D3D-92E6-411D-9314-9DA1700C1EE7}"/>
    <cellStyle name="Normal 4 2 2 5 4 3 4" xfId="41075" xr:uid="{7ADD4A3D-0D28-41E7-9646-EBB8CC6D04E0}"/>
    <cellStyle name="Normal 4 2 2 5 4 3 5" xfId="14881" xr:uid="{5D78C955-D8BD-44E0-BA65-56F576B4BF94}"/>
    <cellStyle name="Normal 4 2 2 5 4 4" xfId="19964" xr:uid="{64D87105-FE6D-4411-9350-D2AD8A294DF6}"/>
    <cellStyle name="Normal 4 2 2 5 4 5" xfId="28411" xr:uid="{A0053985-D959-43C4-A5A6-2770EBD78A10}"/>
    <cellStyle name="Normal 4 2 2 5 4 6" xfId="36858" xr:uid="{82FE58F9-A2DC-4814-9D86-AA9883EB7355}"/>
    <cellStyle name="Normal 4 2 2 5 4 7" xfId="10664" xr:uid="{22BDCE86-A836-4360-967D-93C2FB2168EF}"/>
    <cellStyle name="Normal 4 2 2 5 5" xfId="1661" xr:uid="{00000000-0005-0000-0000-0000FF120000}"/>
    <cellStyle name="Normal 4 2 2 5 5 2" xfId="3891" xr:uid="{00000000-0005-0000-0000-000000130000}"/>
    <cellStyle name="Normal 4 2 2 5 5 2 2" xfId="8113" xr:uid="{00000000-0005-0000-0000-000001130000}"/>
    <cellStyle name="Normal 4 2 2 5 5 2 2 2" xfId="26739" xr:uid="{A6982388-B50F-4B8E-9D9E-7ED352993725}"/>
    <cellStyle name="Normal 4 2 2 5 5 2 2 3" xfId="35186" xr:uid="{2079EB7F-06B1-4CD5-A696-61E1FA04BE51}"/>
    <cellStyle name="Normal 4 2 2 5 5 2 2 4" xfId="43633" xr:uid="{2BF8C578-A10E-4DE6-A06F-2981D8A38A9F}"/>
    <cellStyle name="Normal 4 2 2 5 5 2 2 5" xfId="17439" xr:uid="{3F8D878E-6BE3-4570-A5DB-F0B21378C48D}"/>
    <cellStyle name="Normal 4 2 2 5 5 2 3" xfId="22522" xr:uid="{BDF49036-35F7-400B-A27D-67D05236721A}"/>
    <cellStyle name="Normal 4 2 2 5 5 2 4" xfId="30969" xr:uid="{55797F9A-2116-4E88-827F-F37E5720B8A9}"/>
    <cellStyle name="Normal 4 2 2 5 5 2 5" xfId="39416" xr:uid="{FB60D127-B147-4693-8DD8-92E85D79DE50}"/>
    <cellStyle name="Normal 4 2 2 5 5 2 6" xfId="13222" xr:uid="{E7B8BB43-C7DA-460A-A88E-1DE06BEE61AF}"/>
    <cellStyle name="Normal 4 2 2 5 5 3" xfId="5968" xr:uid="{00000000-0005-0000-0000-000002130000}"/>
    <cellStyle name="Normal 4 2 2 5 5 3 2" xfId="24594" xr:uid="{FB5C2EC8-883E-4E92-A364-6E9EA27D4593}"/>
    <cellStyle name="Normal 4 2 2 5 5 3 3" xfId="33041" xr:uid="{9ABB52D2-0DF3-45A9-BD48-D02E594775E6}"/>
    <cellStyle name="Normal 4 2 2 5 5 3 4" xfId="41488" xr:uid="{2E502807-EA2A-492E-9E2D-784533E137EC}"/>
    <cellStyle name="Normal 4 2 2 5 5 3 5" xfId="15294" xr:uid="{A043864F-101C-4931-BAD4-9E3EBFE939D4}"/>
    <cellStyle name="Normal 4 2 2 5 5 4" xfId="20377" xr:uid="{165E4BE8-5D97-4D63-A92F-23523C0151FF}"/>
    <cellStyle name="Normal 4 2 2 5 5 5" xfId="28824" xr:uid="{5534B037-B8BC-4683-85B7-91E7F0F09AB4}"/>
    <cellStyle name="Normal 4 2 2 5 5 6" xfId="37271" xr:uid="{262175BC-DFB0-4361-A04B-148B921E974B}"/>
    <cellStyle name="Normal 4 2 2 5 5 7" xfId="11077" xr:uid="{F395AE4A-5348-43B8-9A19-4EC6CE84AFA0}"/>
    <cellStyle name="Normal 4 2 2 5 6" xfId="2075" xr:uid="{00000000-0005-0000-0000-000003130000}"/>
    <cellStyle name="Normal 4 2 2 5 6 2" xfId="4304" xr:uid="{00000000-0005-0000-0000-000004130000}"/>
    <cellStyle name="Normal 4 2 2 5 6 2 2" xfId="8526" xr:uid="{00000000-0005-0000-0000-000005130000}"/>
    <cellStyle name="Normal 4 2 2 5 6 2 2 2" xfId="27152" xr:uid="{595DFD1B-C1DA-4EBA-B7DC-FDFFE28248E4}"/>
    <cellStyle name="Normal 4 2 2 5 6 2 2 3" xfId="35599" xr:uid="{2B35AA1A-70A6-4DB8-BF68-FF59191BCD03}"/>
    <cellStyle name="Normal 4 2 2 5 6 2 2 4" xfId="44046" xr:uid="{5422BB02-B3ED-462B-AB55-525C01042387}"/>
    <cellStyle name="Normal 4 2 2 5 6 2 2 5" xfId="17852" xr:uid="{AD07EECF-BB43-4314-B97D-DF13BC4CFA0B}"/>
    <cellStyle name="Normal 4 2 2 5 6 2 3" xfId="22935" xr:uid="{272B58E1-5D58-4AC2-B614-EA899C14C4D8}"/>
    <cellStyle name="Normal 4 2 2 5 6 2 4" xfId="31382" xr:uid="{7E8160F0-361B-46AF-B160-840BFD0E8683}"/>
    <cellStyle name="Normal 4 2 2 5 6 2 5" xfId="39829" xr:uid="{81893BAB-189D-4011-90C5-E84373C32EB8}"/>
    <cellStyle name="Normal 4 2 2 5 6 2 6" xfId="13635" xr:uid="{B4A05BD2-E67F-48CC-8DA7-D2B952DDFFBA}"/>
    <cellStyle name="Normal 4 2 2 5 6 3" xfId="6381" xr:uid="{00000000-0005-0000-0000-000006130000}"/>
    <cellStyle name="Normal 4 2 2 5 6 3 2" xfId="25007" xr:uid="{CECAB259-3CBA-49B7-8854-49B35AEB2C7B}"/>
    <cellStyle name="Normal 4 2 2 5 6 3 3" xfId="33454" xr:uid="{8F9BF390-E847-46DD-9872-66029A333933}"/>
    <cellStyle name="Normal 4 2 2 5 6 3 4" xfId="41901" xr:uid="{F561921A-0133-47C9-BF12-B2A23D6B8BE3}"/>
    <cellStyle name="Normal 4 2 2 5 6 3 5" xfId="15707" xr:uid="{ADE63F0B-A171-44A2-A970-59364B41C0D5}"/>
    <cellStyle name="Normal 4 2 2 5 6 4" xfId="20790" xr:uid="{DA4A78EA-E78D-4927-B6CC-830F1D102552}"/>
    <cellStyle name="Normal 4 2 2 5 6 5" xfId="29237" xr:uid="{38924B69-2C58-4B11-80EF-BD16C43565BC}"/>
    <cellStyle name="Normal 4 2 2 5 6 6" xfId="37684" xr:uid="{0CA77A8E-332C-499D-A7EC-25FE1B2861B3}"/>
    <cellStyle name="Normal 4 2 2 5 6 7" xfId="11490" xr:uid="{F8039998-3135-4FF9-B6FF-BB12EEE9AED2}"/>
    <cellStyle name="Normal 4 2 2 5 7" xfId="2511" xr:uid="{00000000-0005-0000-0000-000007130000}"/>
    <cellStyle name="Normal 4 2 2 5 7 2" xfId="6794" xr:uid="{00000000-0005-0000-0000-000008130000}"/>
    <cellStyle name="Normal 4 2 2 5 7 2 2" xfId="25420" xr:uid="{F0E72417-D382-43D9-966D-937307230C82}"/>
    <cellStyle name="Normal 4 2 2 5 7 2 3" xfId="33867" xr:uid="{92CCE3B7-685F-4B88-8022-2E889F10D4EE}"/>
    <cellStyle name="Normal 4 2 2 5 7 2 4" xfId="42314" xr:uid="{8B27E81A-23B0-486E-A37C-3ACF37D6BDE2}"/>
    <cellStyle name="Normal 4 2 2 5 7 2 5" xfId="16120" xr:uid="{3E63B40B-04C6-44B9-AB8D-1E5578B80780}"/>
    <cellStyle name="Normal 4 2 2 5 7 3" xfId="21203" xr:uid="{806F6370-5A11-486F-80CB-EB2A6BB59165}"/>
    <cellStyle name="Normal 4 2 2 5 7 4" xfId="29650" xr:uid="{0B486462-BD61-4C5D-AACD-720F356C9775}"/>
    <cellStyle name="Normal 4 2 2 5 7 5" xfId="38097" xr:uid="{306FDFFD-682C-42EE-A9B1-FAB92B0F4D22}"/>
    <cellStyle name="Normal 4 2 2 5 7 6" xfId="11903" xr:uid="{3A00E3D9-A332-4C3E-8FA4-138705A91F8B}"/>
    <cellStyle name="Normal 4 2 2 5 8" xfId="4729" xr:uid="{00000000-0005-0000-0000-000009130000}"/>
    <cellStyle name="Normal 4 2 2 5 8 2" xfId="23355" xr:uid="{6948F06F-D0AC-4889-9E12-2CC9C361E1BB}"/>
    <cellStyle name="Normal 4 2 2 5 8 3" xfId="31802" xr:uid="{E62D4244-6C46-49AA-B754-FAD452515A9F}"/>
    <cellStyle name="Normal 4 2 2 5 8 4" xfId="40249" xr:uid="{F8761B83-6DCF-403A-83E6-CD7255C2E04D}"/>
    <cellStyle name="Normal 4 2 2 5 8 5" xfId="14055" xr:uid="{2C5C2656-B986-4C2D-B6BF-A616A569132F}"/>
    <cellStyle name="Normal 4 2 2 5 9" xfId="8855" xr:uid="{894DEE8B-A5CD-4C4E-B41D-DCEB92717109}"/>
    <cellStyle name="Normal 4 2 2 5 9 2" xfId="18179" xr:uid="{A3EE1E88-EE9C-4E83-87D6-A8B8E022E25F}"/>
    <cellStyle name="Normal 4 2 2 6" xfId="353" xr:uid="{00000000-0005-0000-0000-00000A130000}"/>
    <cellStyle name="Normal 4 2 2 6 10" xfId="27587" xr:uid="{DA66CDC7-4191-4E28-93E0-C3D5169D898A}"/>
    <cellStyle name="Normal 4 2 2 6 11" xfId="36034" xr:uid="{51430997-BEBF-4ED5-8516-88DA2FF4F449}"/>
    <cellStyle name="Normal 4 2 2 6 12" xfId="9840" xr:uid="{C5490DB2-E072-47EE-9083-A0427D146791}"/>
    <cellStyle name="Normal 4 2 2 6 2" xfId="830" xr:uid="{00000000-0005-0000-0000-00000B130000}"/>
    <cellStyle name="Normal 4 2 2 6 2 2" xfId="3067" xr:uid="{00000000-0005-0000-0000-00000C130000}"/>
    <cellStyle name="Normal 4 2 2 6 2 2 2" xfId="7289" xr:uid="{00000000-0005-0000-0000-00000D130000}"/>
    <cellStyle name="Normal 4 2 2 6 2 2 2 2" xfId="25915" xr:uid="{902A1486-3157-44BA-AD5E-5B0240353C12}"/>
    <cellStyle name="Normal 4 2 2 6 2 2 2 3" xfId="34362" xr:uid="{72491B13-14B0-4BE3-ABD2-9B06D2D55261}"/>
    <cellStyle name="Normal 4 2 2 6 2 2 2 4" xfId="42809" xr:uid="{00D0B9FF-B192-44D2-AA9A-163BEBD1251B}"/>
    <cellStyle name="Normal 4 2 2 6 2 2 2 5" xfId="16615" xr:uid="{3979382D-E8C5-41AE-9D08-B0B4BFD315DB}"/>
    <cellStyle name="Normal 4 2 2 6 2 2 3" xfId="21698" xr:uid="{1C93370B-A264-45CF-8E3B-A88A7A8D79C1}"/>
    <cellStyle name="Normal 4 2 2 6 2 2 4" xfId="30145" xr:uid="{7F4B0CC3-43C6-46C9-86AE-D5C72D0F611D}"/>
    <cellStyle name="Normal 4 2 2 6 2 2 5" xfId="38592" xr:uid="{13E5012A-6D23-490C-8422-F51EDA9B9FCD}"/>
    <cellStyle name="Normal 4 2 2 6 2 2 6" xfId="12398" xr:uid="{19BE9696-8BB8-4091-AC95-A1BD842E8B4E}"/>
    <cellStyle name="Normal 4 2 2 6 2 3" xfId="5144" xr:uid="{00000000-0005-0000-0000-00000E130000}"/>
    <cellStyle name="Normal 4 2 2 6 2 3 2" xfId="23770" xr:uid="{10C92A4F-77B6-4344-8DAF-3F6DBA64607E}"/>
    <cellStyle name="Normal 4 2 2 6 2 3 3" xfId="32217" xr:uid="{EDE01859-60E3-4055-B79F-36B282EE6B78}"/>
    <cellStyle name="Normal 4 2 2 6 2 3 4" xfId="40664" xr:uid="{33690087-841C-4F29-850F-5EF45398506E}"/>
    <cellStyle name="Normal 4 2 2 6 2 3 5" xfId="14470" xr:uid="{3CFC5ED5-8A08-4322-8D55-2134513003CD}"/>
    <cellStyle name="Normal 4 2 2 6 2 4" xfId="9396" xr:uid="{5B10E6C6-987A-4149-BB81-321A07C7666F}"/>
    <cellStyle name="Normal 4 2 2 6 2 4 2" xfId="18712" xr:uid="{62DB6DF6-DFE6-4B3E-BBAF-1F81D38E1911}"/>
    <cellStyle name="Normal 4 2 2 6 2 5" xfId="19553" xr:uid="{4EA902FE-7108-4ED3-A299-C9CCF6D2680D}"/>
    <cellStyle name="Normal 4 2 2 6 2 6" xfId="28000" xr:uid="{6E7C28A6-5D88-43CC-88DC-C03EC0E9030B}"/>
    <cellStyle name="Normal 4 2 2 6 2 7" xfId="36447" xr:uid="{8D057EC3-A0C9-4857-8705-63C9D70D30A2}"/>
    <cellStyle name="Normal 4 2 2 6 2 8" xfId="10253" xr:uid="{697EA19A-A174-401E-A497-F8877F4FF976}"/>
    <cellStyle name="Normal 4 2 2 6 3" xfId="1250" xr:uid="{00000000-0005-0000-0000-00000F130000}"/>
    <cellStyle name="Normal 4 2 2 6 3 2" xfId="3480" xr:uid="{00000000-0005-0000-0000-000010130000}"/>
    <cellStyle name="Normal 4 2 2 6 3 2 2" xfId="7702" xr:uid="{00000000-0005-0000-0000-000011130000}"/>
    <cellStyle name="Normal 4 2 2 6 3 2 2 2" xfId="26328" xr:uid="{851B2351-7F45-49A2-8FDE-DEB3589185D0}"/>
    <cellStyle name="Normal 4 2 2 6 3 2 2 3" xfId="34775" xr:uid="{D66094F1-751F-4064-9F8C-E977D976760E}"/>
    <cellStyle name="Normal 4 2 2 6 3 2 2 4" xfId="43222" xr:uid="{93E53DAD-56EE-4498-AD54-323BCB59047A}"/>
    <cellStyle name="Normal 4 2 2 6 3 2 2 5" xfId="17028" xr:uid="{69E34612-C856-4547-988D-855CE8BC772A}"/>
    <cellStyle name="Normal 4 2 2 6 3 2 3" xfId="22111" xr:uid="{52CF3599-29DF-4F2F-852C-7A64DC58CFD2}"/>
    <cellStyle name="Normal 4 2 2 6 3 2 4" xfId="30558" xr:uid="{3B348600-E700-49AE-A213-C82E9CB2B3FA}"/>
    <cellStyle name="Normal 4 2 2 6 3 2 5" xfId="39005" xr:uid="{FEE1BAE9-2F0F-40D0-A894-58849E1EF319}"/>
    <cellStyle name="Normal 4 2 2 6 3 2 6" xfId="12811" xr:uid="{2C501347-AA7B-485A-937F-31AEB216DBCE}"/>
    <cellStyle name="Normal 4 2 2 6 3 3" xfId="5557" xr:uid="{00000000-0005-0000-0000-000012130000}"/>
    <cellStyle name="Normal 4 2 2 6 3 3 2" xfId="24183" xr:uid="{F76DE0DA-D2C0-43F0-AB45-7F68EBC5B18D}"/>
    <cellStyle name="Normal 4 2 2 6 3 3 3" xfId="32630" xr:uid="{A4650274-2D43-4EE3-A519-9FF5B5B8578C}"/>
    <cellStyle name="Normal 4 2 2 6 3 3 4" xfId="41077" xr:uid="{4E56C985-C109-4431-AB5B-FC58819C7777}"/>
    <cellStyle name="Normal 4 2 2 6 3 3 5" xfId="14883" xr:uid="{93CF8CCC-1850-40C1-9BAB-0F7FFD5FCFAE}"/>
    <cellStyle name="Normal 4 2 2 6 3 4" xfId="19966" xr:uid="{E74EE812-F87F-4F0F-8AB3-CFFDFC04C6D0}"/>
    <cellStyle name="Normal 4 2 2 6 3 5" xfId="28413" xr:uid="{95F5D8BC-712B-4219-9E60-E93E5A396A17}"/>
    <cellStyle name="Normal 4 2 2 6 3 6" xfId="36860" xr:uid="{E3C53580-9319-4C5D-8836-432CC9D072C4}"/>
    <cellStyle name="Normal 4 2 2 6 3 7" xfId="10666" xr:uid="{835D0EAD-D3BC-4A20-A0C7-6EA1B095798C}"/>
    <cellStyle name="Normal 4 2 2 6 4" xfId="1663" xr:uid="{00000000-0005-0000-0000-000013130000}"/>
    <cellStyle name="Normal 4 2 2 6 4 2" xfId="3893" xr:uid="{00000000-0005-0000-0000-000014130000}"/>
    <cellStyle name="Normal 4 2 2 6 4 2 2" xfId="8115" xr:uid="{00000000-0005-0000-0000-000015130000}"/>
    <cellStyle name="Normal 4 2 2 6 4 2 2 2" xfId="26741" xr:uid="{AB05C4A3-0C11-4513-968F-16B1307EBA7E}"/>
    <cellStyle name="Normal 4 2 2 6 4 2 2 3" xfId="35188" xr:uid="{F449F75D-3F1B-4A50-9A92-F7DE573EDAD0}"/>
    <cellStyle name="Normal 4 2 2 6 4 2 2 4" xfId="43635" xr:uid="{ADA0339D-F4B3-40C5-B1AF-D33029A3D4EE}"/>
    <cellStyle name="Normal 4 2 2 6 4 2 2 5" xfId="17441" xr:uid="{0C705168-9838-4DBB-8703-98D837C278AF}"/>
    <cellStyle name="Normal 4 2 2 6 4 2 3" xfId="22524" xr:uid="{AAB5C044-1FF3-4AB2-93E8-F47447B03379}"/>
    <cellStyle name="Normal 4 2 2 6 4 2 4" xfId="30971" xr:uid="{34FC68A9-2A38-4555-9820-5F268BFAAF86}"/>
    <cellStyle name="Normal 4 2 2 6 4 2 5" xfId="39418" xr:uid="{EAFD874A-5A72-4E0F-8964-59C0FB585D6A}"/>
    <cellStyle name="Normal 4 2 2 6 4 2 6" xfId="13224" xr:uid="{13F0F203-7A28-4DFD-A956-B966FFD08E04}"/>
    <cellStyle name="Normal 4 2 2 6 4 3" xfId="5970" xr:uid="{00000000-0005-0000-0000-000016130000}"/>
    <cellStyle name="Normal 4 2 2 6 4 3 2" xfId="24596" xr:uid="{CED6F19B-433D-418F-972E-55E984067809}"/>
    <cellStyle name="Normal 4 2 2 6 4 3 3" xfId="33043" xr:uid="{3869CADD-5039-48E9-98FC-E88826004092}"/>
    <cellStyle name="Normal 4 2 2 6 4 3 4" xfId="41490" xr:uid="{CB8BF8D3-BE14-4EF7-BBF8-DD415AB4A263}"/>
    <cellStyle name="Normal 4 2 2 6 4 3 5" xfId="15296" xr:uid="{CD0A6867-794C-49D0-8E62-1E42E1AA7ECC}"/>
    <cellStyle name="Normal 4 2 2 6 4 4" xfId="20379" xr:uid="{357B4141-7FF0-4367-86D3-785244B3676A}"/>
    <cellStyle name="Normal 4 2 2 6 4 5" xfId="28826" xr:uid="{B66821BE-D7DF-47A5-B409-28900DD60738}"/>
    <cellStyle name="Normal 4 2 2 6 4 6" xfId="37273" xr:uid="{8354265D-630B-4596-9D3A-B42DCAEC37FC}"/>
    <cellStyle name="Normal 4 2 2 6 4 7" xfId="11079" xr:uid="{58B3F196-00AB-403E-9E4C-C0A9AD13D7F2}"/>
    <cellStyle name="Normal 4 2 2 6 5" xfId="2077" xr:uid="{00000000-0005-0000-0000-000017130000}"/>
    <cellStyle name="Normal 4 2 2 6 5 2" xfId="4306" xr:uid="{00000000-0005-0000-0000-000018130000}"/>
    <cellStyle name="Normal 4 2 2 6 5 2 2" xfId="8528" xr:uid="{00000000-0005-0000-0000-000019130000}"/>
    <cellStyle name="Normal 4 2 2 6 5 2 2 2" xfId="27154" xr:uid="{52D802BE-5AD4-4393-BA88-D103590E0271}"/>
    <cellStyle name="Normal 4 2 2 6 5 2 2 3" xfId="35601" xr:uid="{28A1B1DA-5EB5-4FFA-8626-007AD756AEF8}"/>
    <cellStyle name="Normal 4 2 2 6 5 2 2 4" xfId="44048" xr:uid="{591C4925-51BC-4714-B19F-C4301E24AAD3}"/>
    <cellStyle name="Normal 4 2 2 6 5 2 2 5" xfId="17854" xr:uid="{F00EB465-66E4-4C14-85BC-DF277D69D997}"/>
    <cellStyle name="Normal 4 2 2 6 5 2 3" xfId="22937" xr:uid="{346317B7-3060-4AA9-B57E-2D2BF5EEDD22}"/>
    <cellStyle name="Normal 4 2 2 6 5 2 4" xfId="31384" xr:uid="{06580B0F-5478-4293-BE31-111C0C8AB340}"/>
    <cellStyle name="Normal 4 2 2 6 5 2 5" xfId="39831" xr:uid="{C94DAE7B-1EF6-4C93-951D-F45AE6EC9352}"/>
    <cellStyle name="Normal 4 2 2 6 5 2 6" xfId="13637" xr:uid="{81DF6BAC-DBAC-4FB6-9011-07EA68E9878E}"/>
    <cellStyle name="Normal 4 2 2 6 5 3" xfId="6383" xr:uid="{00000000-0005-0000-0000-00001A130000}"/>
    <cellStyle name="Normal 4 2 2 6 5 3 2" xfId="25009" xr:uid="{AE339480-CFEC-4BCF-96A1-24ACD0D16FEC}"/>
    <cellStyle name="Normal 4 2 2 6 5 3 3" xfId="33456" xr:uid="{29EF8874-C739-43E3-8A57-D40F4F024614}"/>
    <cellStyle name="Normal 4 2 2 6 5 3 4" xfId="41903" xr:uid="{EE6CE611-D097-4B2E-BEBE-E896947F2FB4}"/>
    <cellStyle name="Normal 4 2 2 6 5 3 5" xfId="15709" xr:uid="{DBE3279B-A361-4583-8413-0F484B038526}"/>
    <cellStyle name="Normal 4 2 2 6 5 4" xfId="20792" xr:uid="{9F7F3E31-4E6D-4A86-9D47-0523E33B6ED6}"/>
    <cellStyle name="Normal 4 2 2 6 5 5" xfId="29239" xr:uid="{9B67B85F-9142-45A4-8B30-4BE337777596}"/>
    <cellStyle name="Normal 4 2 2 6 5 6" xfId="37686" xr:uid="{5C23EA32-C803-46C8-A7C9-490BB61265F5}"/>
    <cellStyle name="Normal 4 2 2 6 5 7" xfId="11492" xr:uid="{F3DD7707-AE94-4837-9BEA-4B34E229382C}"/>
    <cellStyle name="Normal 4 2 2 6 6" xfId="2513" xr:uid="{00000000-0005-0000-0000-00001B130000}"/>
    <cellStyle name="Normal 4 2 2 6 6 2" xfId="6796" xr:uid="{00000000-0005-0000-0000-00001C130000}"/>
    <cellStyle name="Normal 4 2 2 6 6 2 2" xfId="25422" xr:uid="{5C677170-6838-460E-BD61-08E5FECE27CA}"/>
    <cellStyle name="Normal 4 2 2 6 6 2 3" xfId="33869" xr:uid="{E2777DA8-F7F6-40E2-9CAA-2DA179D5562F}"/>
    <cellStyle name="Normal 4 2 2 6 6 2 4" xfId="42316" xr:uid="{0AE680EB-E1FC-4082-A011-A621165D8C54}"/>
    <cellStyle name="Normal 4 2 2 6 6 2 5" xfId="16122" xr:uid="{AF190647-3725-453F-8B8B-5A7EA9B8E239}"/>
    <cellStyle name="Normal 4 2 2 6 6 3" xfId="21205" xr:uid="{AD0D0238-8A44-451F-AD63-0A16C1CF6888}"/>
    <cellStyle name="Normal 4 2 2 6 6 4" xfId="29652" xr:uid="{5CE0F5E6-ED12-4BA7-93D6-7D48DEFB86BA}"/>
    <cellStyle name="Normal 4 2 2 6 6 5" xfId="38099" xr:uid="{43E5CCB8-0BC8-42FE-94EF-28CE97A1B720}"/>
    <cellStyle name="Normal 4 2 2 6 6 6" xfId="11905" xr:uid="{DD278084-C9CC-496F-B836-93B1E75E6191}"/>
    <cellStyle name="Normal 4 2 2 6 7" xfId="4731" xr:uid="{00000000-0005-0000-0000-00001D130000}"/>
    <cellStyle name="Normal 4 2 2 6 7 2" xfId="23357" xr:uid="{178DA061-02C0-476A-B631-177CAF86B42A}"/>
    <cellStyle name="Normal 4 2 2 6 7 3" xfId="31804" xr:uid="{FF5153DE-0F85-4584-BAB0-295C75ACD9E2}"/>
    <cellStyle name="Normal 4 2 2 6 7 4" xfId="40251" xr:uid="{C6DC713E-C6D0-4BEA-A035-234E7DEBDF41}"/>
    <cellStyle name="Normal 4 2 2 6 7 5" xfId="14057" xr:uid="{AA8687ED-738D-43CB-BF0A-67BA1DA7464F}"/>
    <cellStyle name="Normal 4 2 2 6 8" xfId="8971" xr:uid="{7BBA3CD4-2D32-439A-A2D5-9F7EB5E5A47E}"/>
    <cellStyle name="Normal 4 2 2 6 8 2" xfId="18295" xr:uid="{C903A3B0-06FC-423C-9202-7959F311BA36}"/>
    <cellStyle name="Normal 4 2 2 6 9" xfId="19140" xr:uid="{9B7518E3-9B6E-4F98-9AE8-62ED59401E47}"/>
    <cellStyle name="Normal 4 2 2 7" xfId="815" xr:uid="{00000000-0005-0000-0000-00001E130000}"/>
    <cellStyle name="Normal 4 2 2 7 2" xfId="3052" xr:uid="{00000000-0005-0000-0000-00001F130000}"/>
    <cellStyle name="Normal 4 2 2 7 2 2" xfId="7274" xr:uid="{00000000-0005-0000-0000-000020130000}"/>
    <cellStyle name="Normal 4 2 2 7 2 2 2" xfId="25900" xr:uid="{D44C4D9E-CBB3-4BA7-856C-8A0774FE15E6}"/>
    <cellStyle name="Normal 4 2 2 7 2 2 3" xfId="34347" xr:uid="{AC646437-D05D-471B-868C-415FA256914B}"/>
    <cellStyle name="Normal 4 2 2 7 2 2 4" xfId="42794" xr:uid="{10F9DE4C-A944-4C7A-87C6-7A4895A43D72}"/>
    <cellStyle name="Normal 4 2 2 7 2 2 5" xfId="16600" xr:uid="{D5256871-3B2C-4CA8-B1E2-C7014AB992E9}"/>
    <cellStyle name="Normal 4 2 2 7 2 3" xfId="21683" xr:uid="{0E79102D-8A8E-47FE-937D-B9A95B2F35D4}"/>
    <cellStyle name="Normal 4 2 2 7 2 4" xfId="30130" xr:uid="{A1BB6498-3AA8-441C-BE2E-8D65C83E0992}"/>
    <cellStyle name="Normal 4 2 2 7 2 5" xfId="38577" xr:uid="{0963E427-0060-40DF-B9BE-1133AE7B980D}"/>
    <cellStyle name="Normal 4 2 2 7 2 6" xfId="12383" xr:uid="{1B93FFE8-7412-421B-9590-FE6E8AFC47E2}"/>
    <cellStyle name="Normal 4 2 2 7 3" xfId="5129" xr:uid="{00000000-0005-0000-0000-000021130000}"/>
    <cellStyle name="Normal 4 2 2 7 3 2" xfId="23755" xr:uid="{56F37736-B0CF-4379-B528-0A6C85959097}"/>
    <cellStyle name="Normal 4 2 2 7 3 3" xfId="32202" xr:uid="{5233312C-06BB-46B4-A313-454D927721D7}"/>
    <cellStyle name="Normal 4 2 2 7 3 4" xfId="40649" xr:uid="{36DBD148-1045-4BF7-9922-C9499407E123}"/>
    <cellStyle name="Normal 4 2 2 7 3 5" xfId="14455" xr:uid="{F6AB91FA-0489-4E29-AA36-E602B4B5C482}"/>
    <cellStyle name="Normal 4 2 2 7 4" xfId="9174" xr:uid="{5FB177AF-8B2E-4B7E-A1B7-4F6E323AF880}"/>
    <cellStyle name="Normal 4 2 2 7 4 2" xfId="18493" xr:uid="{C51C4051-7C5B-449A-9BDC-3870439BFE72}"/>
    <cellStyle name="Normal 4 2 2 7 5" xfId="19538" xr:uid="{99B6E311-0A66-4B35-B64F-845ABCB03B4B}"/>
    <cellStyle name="Normal 4 2 2 7 6" xfId="27985" xr:uid="{29F641CE-49E2-4027-8FD5-F3985B8B99F8}"/>
    <cellStyle name="Normal 4 2 2 7 7" xfId="36432" xr:uid="{19489DD7-8546-42BA-8E05-D750A6319693}"/>
    <cellStyle name="Normal 4 2 2 7 8" xfId="10238" xr:uid="{46D33E78-C7B8-4BA4-B533-D350709FD0C7}"/>
    <cellStyle name="Normal 4 2 2 8" xfId="1235" xr:uid="{00000000-0005-0000-0000-000022130000}"/>
    <cellStyle name="Normal 4 2 2 8 2" xfId="3465" xr:uid="{00000000-0005-0000-0000-000023130000}"/>
    <cellStyle name="Normal 4 2 2 8 2 2" xfId="7687" xr:uid="{00000000-0005-0000-0000-000024130000}"/>
    <cellStyle name="Normal 4 2 2 8 2 2 2" xfId="26313" xr:uid="{A9103E1B-25F3-4382-B5E1-79FFB84A4A2C}"/>
    <cellStyle name="Normal 4 2 2 8 2 2 3" xfId="34760" xr:uid="{7EAE0067-A945-4933-BDF7-096EF1AD5CBD}"/>
    <cellStyle name="Normal 4 2 2 8 2 2 4" xfId="43207" xr:uid="{F1625356-BA6D-48AD-A8E6-9D1620D1B4FF}"/>
    <cellStyle name="Normal 4 2 2 8 2 2 5" xfId="17013" xr:uid="{40EDFBF9-583B-4CD5-9A80-06CFD3B65A0C}"/>
    <cellStyle name="Normal 4 2 2 8 2 3" xfId="22096" xr:uid="{1C53221E-9575-458B-B815-10EFAE3DF045}"/>
    <cellStyle name="Normal 4 2 2 8 2 4" xfId="30543" xr:uid="{99759387-8F04-426D-AE56-EAE198678AB6}"/>
    <cellStyle name="Normal 4 2 2 8 2 5" xfId="38990" xr:uid="{AEC27353-9264-489C-B6A0-2E170C2B3A1A}"/>
    <cellStyle name="Normal 4 2 2 8 2 6" xfId="12796" xr:uid="{161197EA-8319-4CA7-85EA-16D41433C711}"/>
    <cellStyle name="Normal 4 2 2 8 3" xfId="5542" xr:uid="{00000000-0005-0000-0000-000025130000}"/>
    <cellStyle name="Normal 4 2 2 8 3 2" xfId="24168" xr:uid="{1AFF51CC-B59E-4C55-A7B1-77BFEB8FC055}"/>
    <cellStyle name="Normal 4 2 2 8 3 3" xfId="32615" xr:uid="{03C0764C-105D-429B-8871-5987D4BA33CC}"/>
    <cellStyle name="Normal 4 2 2 8 3 4" xfId="41062" xr:uid="{8CCB9F89-9CBE-438C-9931-DEB917CC251B}"/>
    <cellStyle name="Normal 4 2 2 8 3 5" xfId="14868" xr:uid="{36777FFA-619B-4EA5-BA72-BF93F91676C1}"/>
    <cellStyle name="Normal 4 2 2 8 4" xfId="19951" xr:uid="{5A40639D-6A90-4491-B683-46D332C50281}"/>
    <cellStyle name="Normal 4 2 2 8 5" xfId="28398" xr:uid="{1F2FF7C8-92E5-4387-991F-5DDF34BCC2DD}"/>
    <cellStyle name="Normal 4 2 2 8 6" xfId="36845" xr:uid="{6BFC9AA8-9BDF-46A9-BC7D-936925454E93}"/>
    <cellStyle name="Normal 4 2 2 8 7" xfId="10651" xr:uid="{D90857F1-8701-459A-843E-680121EBFA2D}"/>
    <cellStyle name="Normal 4 2 2 9" xfId="1648" xr:uid="{00000000-0005-0000-0000-000026130000}"/>
    <cellStyle name="Normal 4 2 2 9 2" xfId="3878" xr:uid="{00000000-0005-0000-0000-000027130000}"/>
    <cellStyle name="Normal 4 2 2 9 2 2" xfId="8100" xr:uid="{00000000-0005-0000-0000-000028130000}"/>
    <cellStyle name="Normal 4 2 2 9 2 2 2" xfId="26726" xr:uid="{1EF4DABE-7C87-4E27-A267-83000B5BA0B4}"/>
    <cellStyle name="Normal 4 2 2 9 2 2 3" xfId="35173" xr:uid="{2F3074ED-4018-4DC4-B716-B173DEBFCEB4}"/>
    <cellStyle name="Normal 4 2 2 9 2 2 4" xfId="43620" xr:uid="{86ED47B6-2B23-4B0E-ACEE-7FB5638292B0}"/>
    <cellStyle name="Normal 4 2 2 9 2 2 5" xfId="17426" xr:uid="{49A91EFB-69E0-4094-8BE3-9598C1F18197}"/>
    <cellStyle name="Normal 4 2 2 9 2 3" xfId="22509" xr:uid="{47E5A416-9D56-48DF-8FE9-6187BDF9E7EA}"/>
    <cellStyle name="Normal 4 2 2 9 2 4" xfId="30956" xr:uid="{C91A4C31-ADD0-42F0-BA02-07C70BCE0441}"/>
    <cellStyle name="Normal 4 2 2 9 2 5" xfId="39403" xr:uid="{CD88254D-6D8E-4A78-AB4D-13B040567335}"/>
    <cellStyle name="Normal 4 2 2 9 2 6" xfId="13209" xr:uid="{27CE2957-D8BC-4836-A16F-C874B97A99D3}"/>
    <cellStyle name="Normal 4 2 2 9 3" xfId="5955" xr:uid="{00000000-0005-0000-0000-000029130000}"/>
    <cellStyle name="Normal 4 2 2 9 3 2" xfId="24581" xr:uid="{693CBFFD-8988-48C7-BA9F-0BCDD303981D}"/>
    <cellStyle name="Normal 4 2 2 9 3 3" xfId="33028" xr:uid="{E9653128-F98F-4C3E-8785-2020584A3D68}"/>
    <cellStyle name="Normal 4 2 2 9 3 4" xfId="41475" xr:uid="{99078592-BA43-431B-A9F6-F46A604B9F34}"/>
    <cellStyle name="Normal 4 2 2 9 3 5" xfId="15281" xr:uid="{F16FBCC4-B175-41AF-9F29-30E30A2FC4DD}"/>
    <cellStyle name="Normal 4 2 2 9 4" xfId="20364" xr:uid="{88287854-7F37-47B3-9F2B-B0DB140FBDCE}"/>
    <cellStyle name="Normal 4 2 2 9 5" xfId="28811" xr:uid="{004C5DF1-DCFB-4799-B8B8-80A61F914893}"/>
    <cellStyle name="Normal 4 2 2 9 6" xfId="37258" xr:uid="{59E80144-58B9-4619-91EE-0A59E5548185}"/>
    <cellStyle name="Normal 4 2 2 9 7" xfId="11064" xr:uid="{F236B810-B7F8-4352-9734-4CC4E17D70B2}"/>
    <cellStyle name="Normal 4 2 3" xfId="354" xr:uid="{00000000-0005-0000-0000-00002A130000}"/>
    <cellStyle name="Normal 4 2 4" xfId="355" xr:uid="{00000000-0005-0000-0000-00002B130000}"/>
    <cellStyle name="Normal 4 2 4 10" xfId="4732" xr:uid="{00000000-0005-0000-0000-00002C130000}"/>
    <cellStyle name="Normal 4 2 4 10 2" xfId="23358" xr:uid="{D363DA4C-7CF1-4EF2-A9F1-0F79A021A362}"/>
    <cellStyle name="Normal 4 2 4 10 3" xfId="31805" xr:uid="{E94499D1-5528-408F-9F7D-1E124FCA42DD}"/>
    <cellStyle name="Normal 4 2 4 10 4" xfId="40252" xr:uid="{394677FA-3866-469D-8490-AE9D2525A8AE}"/>
    <cellStyle name="Normal 4 2 4 10 5" xfId="14058" xr:uid="{B06A12E5-E2A9-40D7-A56C-167B3796A745}"/>
    <cellStyle name="Normal 4 2 4 11" xfId="8775" xr:uid="{7AC259AB-9C32-4DC1-A787-2E2187A7C2D6}"/>
    <cellStyle name="Normal 4 2 4 11 2" xfId="18099" xr:uid="{1537DC41-059C-4116-BAC4-5C974420804B}"/>
    <cellStyle name="Normal 4 2 4 12" xfId="19141" xr:uid="{C8291044-4F7D-4A82-8F1A-1A2D0C269DBA}"/>
    <cellStyle name="Normal 4 2 4 13" xfId="27588" xr:uid="{42E0600A-1014-41C5-AC8E-E1B240DFACC0}"/>
    <cellStyle name="Normal 4 2 4 14" xfId="36035" xr:uid="{4C12E71E-2310-4954-BFD2-B3825CBB18CD}"/>
    <cellStyle name="Normal 4 2 4 15" xfId="9841" xr:uid="{594902C7-6AF9-41C2-AFB9-8443E227BB37}"/>
    <cellStyle name="Normal 4 2 4 2" xfId="356" xr:uid="{00000000-0005-0000-0000-00002D130000}"/>
    <cellStyle name="Normal 4 2 4 2 10" xfId="8820" xr:uid="{8B50D4F4-4786-467C-8322-69D665B73C2B}"/>
    <cellStyle name="Normal 4 2 4 2 10 2" xfId="18144" xr:uid="{A2130CFC-A9EB-41F1-9E84-476414CDEDD1}"/>
    <cellStyle name="Normal 4 2 4 2 11" xfId="19142" xr:uid="{A8AD1AD7-FEDF-4D6E-9F73-A4CBCF20CCDF}"/>
    <cellStyle name="Normal 4 2 4 2 12" xfId="27589" xr:uid="{2EC805E2-77CA-442F-940C-2B862193E297}"/>
    <cellStyle name="Normal 4 2 4 2 13" xfId="36036" xr:uid="{4A4323DE-9466-43A6-B950-38684176B768}"/>
    <cellStyle name="Normal 4 2 4 2 14" xfId="9842" xr:uid="{DD3095A8-5078-42F8-8698-0A1C0F14F8D9}"/>
    <cellStyle name="Normal 4 2 4 2 2" xfId="357" xr:uid="{00000000-0005-0000-0000-00002E130000}"/>
    <cellStyle name="Normal 4 2 4 2 2 10" xfId="19143" xr:uid="{96C82B44-2598-4814-BE3C-23CB6ADB0B59}"/>
    <cellStyle name="Normal 4 2 4 2 2 11" xfId="27590" xr:uid="{B10EBB96-93B5-4A9D-B3E6-1262BE673073}"/>
    <cellStyle name="Normal 4 2 4 2 2 12" xfId="36037" xr:uid="{C5025119-8CD1-4E6A-BE52-C0B0C1EBF612}"/>
    <cellStyle name="Normal 4 2 4 2 2 13" xfId="9843" xr:uid="{81E6EC5F-FCB2-44F4-9CF5-335091562799}"/>
    <cellStyle name="Normal 4 2 4 2 2 2" xfId="358" xr:uid="{00000000-0005-0000-0000-00002F130000}"/>
    <cellStyle name="Normal 4 2 4 2 2 2 10" xfId="27591" xr:uid="{AC6AE65B-63E1-404A-9996-00140B968A53}"/>
    <cellStyle name="Normal 4 2 4 2 2 2 11" xfId="36038" xr:uid="{DFC09D67-08C8-4B49-A2B4-EDDA9E83BF1E}"/>
    <cellStyle name="Normal 4 2 4 2 2 2 12" xfId="9844" xr:uid="{D2D95F2D-4A3D-4A20-8D2B-5AF25369C4C2}"/>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2 2 2" xfId="25919" xr:uid="{FAE5A9AF-1BCF-4B33-A1F2-4E741DE9E070}"/>
    <cellStyle name="Normal 4 2 4 2 2 2 2 2 2 3" xfId="34366" xr:uid="{7D33FDBF-2C35-44DF-B6A2-2BB340CA3E17}"/>
    <cellStyle name="Normal 4 2 4 2 2 2 2 2 2 4" xfId="42813" xr:uid="{57793D70-917C-4E6E-8B2E-17F85B9BD64F}"/>
    <cellStyle name="Normal 4 2 4 2 2 2 2 2 2 5" xfId="16619" xr:uid="{7F6FB4D2-275A-45DB-BABA-4E2B60A5AB36}"/>
    <cellStyle name="Normal 4 2 4 2 2 2 2 2 3" xfId="21702" xr:uid="{8DA1EB19-E3A1-4E06-949D-2E18A874A74E}"/>
    <cellStyle name="Normal 4 2 4 2 2 2 2 2 4" xfId="30149" xr:uid="{75C85522-1E18-4764-88D5-087F8A4108AE}"/>
    <cellStyle name="Normal 4 2 4 2 2 2 2 2 5" xfId="38596" xr:uid="{02D01573-16C3-4959-B5C0-90DC2BF6FCDA}"/>
    <cellStyle name="Normal 4 2 4 2 2 2 2 2 6" xfId="12402" xr:uid="{A69C73CF-B0BA-4EB8-A93B-94A1E0F255F6}"/>
    <cellStyle name="Normal 4 2 4 2 2 2 2 3" xfId="5148" xr:uid="{00000000-0005-0000-0000-000033130000}"/>
    <cellStyle name="Normal 4 2 4 2 2 2 2 3 2" xfId="23774" xr:uid="{EFE5A19E-C0D6-4ED1-9155-FF9E6E142B49}"/>
    <cellStyle name="Normal 4 2 4 2 2 2 2 3 3" xfId="32221" xr:uid="{FDAD5D80-3A7E-4264-ADAF-094CD74EA1FF}"/>
    <cellStyle name="Normal 4 2 4 2 2 2 2 3 4" xfId="40668" xr:uid="{80D039D6-42C8-4111-AD45-B964353C5BAC}"/>
    <cellStyle name="Normal 4 2 4 2 2 2 2 3 5" xfId="14474" xr:uid="{B2EB9624-60C5-448B-8D43-8A24F95EFAF7}"/>
    <cellStyle name="Normal 4 2 4 2 2 2 2 4" xfId="9555" xr:uid="{31AE7BD4-4F26-4658-9939-15FCE733560E}"/>
    <cellStyle name="Normal 4 2 4 2 2 2 2 4 2" xfId="18871" xr:uid="{71A6852A-7133-4C79-8A10-86674CB6F9C3}"/>
    <cellStyle name="Normal 4 2 4 2 2 2 2 5" xfId="19557" xr:uid="{BC2AB836-56B7-480F-A1D5-08F7F24F4B71}"/>
    <cellStyle name="Normal 4 2 4 2 2 2 2 6" xfId="28004" xr:uid="{DF7C8F3C-2CB3-4514-9A0D-DAA389B93B33}"/>
    <cellStyle name="Normal 4 2 4 2 2 2 2 7" xfId="36451" xr:uid="{5487876D-FEE1-4B35-A506-3BADCC6FB3E4}"/>
    <cellStyle name="Normal 4 2 4 2 2 2 2 8" xfId="10257" xr:uid="{F5A59DC2-B6F4-4732-B280-B57F1D02FBC3}"/>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2 2 2" xfId="26332" xr:uid="{7389F2B3-850F-41F9-835B-A3FE62103D34}"/>
    <cellStyle name="Normal 4 2 4 2 2 2 3 2 2 3" xfId="34779" xr:uid="{DB1A1CB9-8E40-4F10-9BA6-C1F92059801D}"/>
    <cellStyle name="Normal 4 2 4 2 2 2 3 2 2 4" xfId="43226" xr:uid="{9CF9C1E9-55B8-4C52-B075-35D92D93D66B}"/>
    <cellStyle name="Normal 4 2 4 2 2 2 3 2 2 5" xfId="17032" xr:uid="{68DF4D35-21D5-48D1-AB1E-3603913A6269}"/>
    <cellStyle name="Normal 4 2 4 2 2 2 3 2 3" xfId="22115" xr:uid="{3F7025E3-AF38-48B6-AA08-2DCD110E1226}"/>
    <cellStyle name="Normal 4 2 4 2 2 2 3 2 4" xfId="30562" xr:uid="{28A3495D-A640-4A51-B4C7-886BD17C048B}"/>
    <cellStyle name="Normal 4 2 4 2 2 2 3 2 5" xfId="39009" xr:uid="{6F8DA47A-BEA1-4124-9805-160B77283234}"/>
    <cellStyle name="Normal 4 2 4 2 2 2 3 2 6" xfId="12815" xr:uid="{5150A0BF-5172-4AA6-A620-0788F2FDCE7A}"/>
    <cellStyle name="Normal 4 2 4 2 2 2 3 3" xfId="5561" xr:uid="{00000000-0005-0000-0000-000037130000}"/>
    <cellStyle name="Normal 4 2 4 2 2 2 3 3 2" xfId="24187" xr:uid="{AB2D6D5C-22F9-4132-9DD9-F7B590122B7C}"/>
    <cellStyle name="Normal 4 2 4 2 2 2 3 3 3" xfId="32634" xr:uid="{70DC92EE-D4A0-400A-BB17-74CA17D53710}"/>
    <cellStyle name="Normal 4 2 4 2 2 2 3 3 4" xfId="41081" xr:uid="{EDD65C83-FA1D-408F-9BDD-4124AB73C6BB}"/>
    <cellStyle name="Normal 4 2 4 2 2 2 3 3 5" xfId="14887" xr:uid="{E75CC1FF-C3B6-41F7-951F-9E2951F6F10E}"/>
    <cellStyle name="Normal 4 2 4 2 2 2 3 4" xfId="19970" xr:uid="{8EADEE36-4688-4570-9954-F6061F0071C8}"/>
    <cellStyle name="Normal 4 2 4 2 2 2 3 5" xfId="28417" xr:uid="{4EC3A835-F48B-4E26-AE4A-215B83CEF865}"/>
    <cellStyle name="Normal 4 2 4 2 2 2 3 6" xfId="36864" xr:uid="{8DEDFAEE-B67A-436B-8F13-CBC02523C0A4}"/>
    <cellStyle name="Normal 4 2 4 2 2 2 3 7" xfId="10670" xr:uid="{CC23000E-21AB-4AA7-BCA4-26A312D451FD}"/>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2 2 2" xfId="26745" xr:uid="{DC8B137C-0A1D-49F0-A755-A8C8FAB598AB}"/>
    <cellStyle name="Normal 4 2 4 2 2 2 4 2 2 3" xfId="35192" xr:uid="{34E6912C-4A48-419E-A2FF-FBCC4978B934}"/>
    <cellStyle name="Normal 4 2 4 2 2 2 4 2 2 4" xfId="43639" xr:uid="{1176A3A3-5573-4BFD-B4BF-90E43FA5AB7D}"/>
    <cellStyle name="Normal 4 2 4 2 2 2 4 2 2 5" xfId="17445" xr:uid="{93200946-7D84-4A7C-B777-5EC97A9BD5B8}"/>
    <cellStyle name="Normal 4 2 4 2 2 2 4 2 3" xfId="22528" xr:uid="{1980C1F0-EDCC-4D42-9FF8-3B4F44CBC3EE}"/>
    <cellStyle name="Normal 4 2 4 2 2 2 4 2 4" xfId="30975" xr:uid="{45D26AF6-AA16-430F-94CC-F6EE61397107}"/>
    <cellStyle name="Normal 4 2 4 2 2 2 4 2 5" xfId="39422" xr:uid="{924BD48B-B304-47AD-9CC2-E9C75C94863B}"/>
    <cellStyle name="Normal 4 2 4 2 2 2 4 2 6" xfId="13228" xr:uid="{4ADE56DF-6A73-4147-A821-C094D3B2F790}"/>
    <cellStyle name="Normal 4 2 4 2 2 2 4 3" xfId="5974" xr:uid="{00000000-0005-0000-0000-00003B130000}"/>
    <cellStyle name="Normal 4 2 4 2 2 2 4 3 2" xfId="24600" xr:uid="{1D627253-4E2C-41FA-A7BF-C83B4BBBC218}"/>
    <cellStyle name="Normal 4 2 4 2 2 2 4 3 3" xfId="33047" xr:uid="{7BFDF0C8-955D-4947-B9BD-E779A53B40A1}"/>
    <cellStyle name="Normal 4 2 4 2 2 2 4 3 4" xfId="41494" xr:uid="{85CD28AD-7501-47E9-8B98-5DCA6632139F}"/>
    <cellStyle name="Normal 4 2 4 2 2 2 4 3 5" xfId="15300" xr:uid="{9264EB50-33AC-48DC-9EA8-60D841A492E1}"/>
    <cellStyle name="Normal 4 2 4 2 2 2 4 4" xfId="20383" xr:uid="{267614A1-BDC0-44E9-BCDE-EFAAE452655C}"/>
    <cellStyle name="Normal 4 2 4 2 2 2 4 5" xfId="28830" xr:uid="{72CE7A35-3AE8-43B6-8A66-D87DFD2F8F6B}"/>
    <cellStyle name="Normal 4 2 4 2 2 2 4 6" xfId="37277" xr:uid="{B9055C85-05FD-43E9-A06E-6710EF210C43}"/>
    <cellStyle name="Normal 4 2 4 2 2 2 4 7" xfId="11083" xr:uid="{7C53B2D3-9911-4921-98D2-02C95072CB6F}"/>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2 2 2" xfId="27158" xr:uid="{E6DAAE27-8107-481B-811D-FF1A008125AD}"/>
    <cellStyle name="Normal 4 2 4 2 2 2 5 2 2 3" xfId="35605" xr:uid="{A242D361-6EFB-4513-9DAF-CAEAEB6E6BCC}"/>
    <cellStyle name="Normal 4 2 4 2 2 2 5 2 2 4" xfId="44052" xr:uid="{817F32C5-D84A-4AC7-834A-3A125DAD1E73}"/>
    <cellStyle name="Normal 4 2 4 2 2 2 5 2 2 5" xfId="17858" xr:uid="{47A37255-EBC1-47F2-8460-D7715390A3EF}"/>
    <cellStyle name="Normal 4 2 4 2 2 2 5 2 3" xfId="22941" xr:uid="{EDA78E85-7B7A-455A-90FB-F3382C316454}"/>
    <cellStyle name="Normal 4 2 4 2 2 2 5 2 4" xfId="31388" xr:uid="{D45F5004-F4C4-41E6-9D1D-5B2CD0D41A73}"/>
    <cellStyle name="Normal 4 2 4 2 2 2 5 2 5" xfId="39835" xr:uid="{70AE0F96-6245-4270-98F3-CAA30F8F4C84}"/>
    <cellStyle name="Normal 4 2 4 2 2 2 5 2 6" xfId="13641" xr:uid="{5D670EBD-BAC0-43E6-AEA5-E10937C9B367}"/>
    <cellStyle name="Normal 4 2 4 2 2 2 5 3" xfId="6387" xr:uid="{00000000-0005-0000-0000-00003F130000}"/>
    <cellStyle name="Normal 4 2 4 2 2 2 5 3 2" xfId="25013" xr:uid="{D71C9EF2-4D99-4DFB-AA19-CDFEA8939342}"/>
    <cellStyle name="Normal 4 2 4 2 2 2 5 3 3" xfId="33460" xr:uid="{68A267E9-8EA1-4BA7-B9AE-331FFD0651D0}"/>
    <cellStyle name="Normal 4 2 4 2 2 2 5 3 4" xfId="41907" xr:uid="{022FFC4D-A79A-42A6-AA40-4E600636155B}"/>
    <cellStyle name="Normal 4 2 4 2 2 2 5 3 5" xfId="15713" xr:uid="{AE146443-ECDC-43DF-97A4-34A88D8E90D6}"/>
    <cellStyle name="Normal 4 2 4 2 2 2 5 4" xfId="20796" xr:uid="{C2639436-6C48-4894-B8AF-2A8EFE022194}"/>
    <cellStyle name="Normal 4 2 4 2 2 2 5 5" xfId="29243" xr:uid="{2A8E432A-8610-4444-AA2C-DB916FB9F376}"/>
    <cellStyle name="Normal 4 2 4 2 2 2 5 6" xfId="37690" xr:uid="{BC532D55-5BF7-4961-B7E5-7C808B23D46D}"/>
    <cellStyle name="Normal 4 2 4 2 2 2 5 7" xfId="11496" xr:uid="{FB688BB0-C05D-4D49-B5F1-04FCE15D03D5}"/>
    <cellStyle name="Normal 4 2 4 2 2 2 6" xfId="2517" xr:uid="{00000000-0005-0000-0000-000040130000}"/>
    <cellStyle name="Normal 4 2 4 2 2 2 6 2" xfId="6800" xr:uid="{00000000-0005-0000-0000-000041130000}"/>
    <cellStyle name="Normal 4 2 4 2 2 2 6 2 2" xfId="25426" xr:uid="{B288DE55-6D19-401C-A89A-59DDD7A62BA2}"/>
    <cellStyle name="Normal 4 2 4 2 2 2 6 2 3" xfId="33873" xr:uid="{B1B7F48E-BF41-4D25-BD28-B33EBFE67654}"/>
    <cellStyle name="Normal 4 2 4 2 2 2 6 2 4" xfId="42320" xr:uid="{CECCDDFD-8811-499C-9A15-DB8AACB5423A}"/>
    <cellStyle name="Normal 4 2 4 2 2 2 6 2 5" xfId="16126" xr:uid="{8134756A-BD7D-4A4F-B7F7-B07B176CECF9}"/>
    <cellStyle name="Normal 4 2 4 2 2 2 6 3" xfId="21209" xr:uid="{A4C7A41B-F896-494E-A8DA-53A067DFE3BD}"/>
    <cellStyle name="Normal 4 2 4 2 2 2 6 4" xfId="29656" xr:uid="{46802C6E-8922-4746-BF35-B3B15A473FF5}"/>
    <cellStyle name="Normal 4 2 4 2 2 2 6 5" xfId="38103" xr:uid="{8CC00CA8-8CEA-4380-8529-D74367E4BE8D}"/>
    <cellStyle name="Normal 4 2 4 2 2 2 6 6" xfId="11909" xr:uid="{C58A1DA6-23B4-43B3-8B3C-6F80F354D01A}"/>
    <cellStyle name="Normal 4 2 4 2 2 2 7" xfId="4735" xr:uid="{00000000-0005-0000-0000-000042130000}"/>
    <cellStyle name="Normal 4 2 4 2 2 2 7 2" xfId="23361" xr:uid="{72CC13F5-4FFB-40CC-96F2-D7945726B355}"/>
    <cellStyle name="Normal 4 2 4 2 2 2 7 3" xfId="31808" xr:uid="{DC25CEBD-9C7C-452D-B714-94351A8A3B26}"/>
    <cellStyle name="Normal 4 2 4 2 2 2 7 4" xfId="40255" xr:uid="{F91579EC-E253-41B8-8325-54FD1BCFE328}"/>
    <cellStyle name="Normal 4 2 4 2 2 2 7 5" xfId="14061" xr:uid="{21893196-0FBB-4A1A-9EF7-EE5C47C7C409}"/>
    <cellStyle name="Normal 4 2 4 2 2 2 8" xfId="9130" xr:uid="{E4AAEB37-D6CE-4BD9-A166-BE52F754DAC4}"/>
    <cellStyle name="Normal 4 2 4 2 2 2 8 2" xfId="18454" xr:uid="{E30D40DC-6F2C-479C-B063-B91C8F39E9EC}"/>
    <cellStyle name="Normal 4 2 4 2 2 2 9" xfId="19144" xr:uid="{AF767CE9-9712-4A3E-BBBC-94B70FE423D3}"/>
    <cellStyle name="Normal 4 2 4 2 2 3" xfId="833" xr:uid="{00000000-0005-0000-0000-000043130000}"/>
    <cellStyle name="Normal 4 2 4 2 2 3 2" xfId="3070" xr:uid="{00000000-0005-0000-0000-000044130000}"/>
    <cellStyle name="Normal 4 2 4 2 2 3 2 2" xfId="7292" xr:uid="{00000000-0005-0000-0000-000045130000}"/>
    <cellStyle name="Normal 4 2 4 2 2 3 2 2 2" xfId="25918" xr:uid="{AD04A24C-8526-4159-A315-6EB89AF31E77}"/>
    <cellStyle name="Normal 4 2 4 2 2 3 2 2 3" xfId="34365" xr:uid="{4553D475-5FA4-4B63-B689-F716E29B8EB1}"/>
    <cellStyle name="Normal 4 2 4 2 2 3 2 2 4" xfId="42812" xr:uid="{84BFE0F5-CD27-42E5-A171-A87D00069669}"/>
    <cellStyle name="Normal 4 2 4 2 2 3 2 2 5" xfId="16618" xr:uid="{3CA7EF92-6323-4A52-B428-45B2217936AB}"/>
    <cellStyle name="Normal 4 2 4 2 2 3 2 3" xfId="21701" xr:uid="{17CBAB7F-C315-4168-B848-47A15F5C9B0E}"/>
    <cellStyle name="Normal 4 2 4 2 2 3 2 4" xfId="30148" xr:uid="{CF6C4BD6-9C66-40FF-AF8A-FFB4B4C67EA4}"/>
    <cellStyle name="Normal 4 2 4 2 2 3 2 5" xfId="38595" xr:uid="{902CA1BB-DBEB-4339-A0B2-98D2FD84FB56}"/>
    <cellStyle name="Normal 4 2 4 2 2 3 2 6" xfId="12401" xr:uid="{B9B04EDA-B992-4508-B16C-126EB108466E}"/>
    <cellStyle name="Normal 4 2 4 2 2 3 3" xfId="5147" xr:uid="{00000000-0005-0000-0000-000046130000}"/>
    <cellStyle name="Normal 4 2 4 2 2 3 3 2" xfId="23773" xr:uid="{16DE6DE5-F1A2-44FB-BE05-19757841713D}"/>
    <cellStyle name="Normal 4 2 4 2 2 3 3 3" xfId="32220" xr:uid="{AB143C62-9FBE-4E64-AE73-E28D51C8EDEB}"/>
    <cellStyle name="Normal 4 2 4 2 2 3 3 4" xfId="40667" xr:uid="{74293636-1135-4C95-9021-39437359B5E0}"/>
    <cellStyle name="Normal 4 2 4 2 2 3 3 5" xfId="14473" xr:uid="{065B07B3-16C6-4225-A104-0215E96CB5A7}"/>
    <cellStyle name="Normal 4 2 4 2 2 3 4" xfId="9348" xr:uid="{E9E52CF6-B3CF-482F-B496-A22B0452951D}"/>
    <cellStyle name="Normal 4 2 4 2 2 3 4 2" xfId="18664" xr:uid="{609682A0-2B1D-4A01-B4A6-A5C0A6EC98DA}"/>
    <cellStyle name="Normal 4 2 4 2 2 3 5" xfId="19556" xr:uid="{5595EAC9-BF13-444A-843B-20F0A9D147EE}"/>
    <cellStyle name="Normal 4 2 4 2 2 3 6" xfId="28003" xr:uid="{45C62EB7-FF6C-4F6E-8863-C7FB4C133B1F}"/>
    <cellStyle name="Normal 4 2 4 2 2 3 7" xfId="36450" xr:uid="{EB5C8193-E994-4069-BB50-CFCE542148B7}"/>
    <cellStyle name="Normal 4 2 4 2 2 3 8" xfId="10256" xr:uid="{BAECDE1E-6F7B-495D-AF37-4AE070896B4E}"/>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2 2 2" xfId="26331" xr:uid="{42F59031-9CBC-40A1-90EC-88E245FD4C1F}"/>
    <cellStyle name="Normal 4 2 4 2 2 4 2 2 3" xfId="34778" xr:uid="{12D180C4-C06D-4611-9904-3756EAACE151}"/>
    <cellStyle name="Normal 4 2 4 2 2 4 2 2 4" xfId="43225" xr:uid="{F53C155B-5ACB-43C8-9185-7F099B0C0087}"/>
    <cellStyle name="Normal 4 2 4 2 2 4 2 2 5" xfId="17031" xr:uid="{A92D7692-3EBC-4CDB-81FA-C34E1A7708BF}"/>
    <cellStyle name="Normal 4 2 4 2 2 4 2 3" xfId="22114" xr:uid="{5844A13A-8ECB-45DE-BBF7-0DA953A83342}"/>
    <cellStyle name="Normal 4 2 4 2 2 4 2 4" xfId="30561" xr:uid="{6E574864-7F88-461A-B587-20DBE9BE0551}"/>
    <cellStyle name="Normal 4 2 4 2 2 4 2 5" xfId="39008" xr:uid="{FD2893AE-C73E-4958-9018-CF6FF495C5BF}"/>
    <cellStyle name="Normal 4 2 4 2 2 4 2 6" xfId="12814" xr:uid="{F1568335-7C35-4500-87C4-E0966603CBE7}"/>
    <cellStyle name="Normal 4 2 4 2 2 4 3" xfId="5560" xr:uid="{00000000-0005-0000-0000-00004A130000}"/>
    <cellStyle name="Normal 4 2 4 2 2 4 3 2" xfId="24186" xr:uid="{1D8F13AC-F128-40EE-8016-BBF943DE1355}"/>
    <cellStyle name="Normal 4 2 4 2 2 4 3 3" xfId="32633" xr:uid="{CD610A35-3E4B-41C8-88EA-45A1F3DA0835}"/>
    <cellStyle name="Normal 4 2 4 2 2 4 3 4" xfId="41080" xr:uid="{8803364F-A060-4CF4-9508-65A9185EAAC8}"/>
    <cellStyle name="Normal 4 2 4 2 2 4 3 5" xfId="14886" xr:uid="{6D7213A4-4A33-4C9A-8E86-BEA2788455DC}"/>
    <cellStyle name="Normal 4 2 4 2 2 4 4" xfId="19969" xr:uid="{41994A4E-158E-4CE5-98F3-8A6A91C66A1B}"/>
    <cellStyle name="Normal 4 2 4 2 2 4 5" xfId="28416" xr:uid="{C85773E5-E61E-4FF0-BBCF-DC46C44B2B9B}"/>
    <cellStyle name="Normal 4 2 4 2 2 4 6" xfId="36863" xr:uid="{F325CD2D-2C1C-4176-9848-0FCB9AC15A39}"/>
    <cellStyle name="Normal 4 2 4 2 2 4 7" xfId="10669" xr:uid="{1D98D38B-79A5-438F-BD23-7964AC1547A7}"/>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2 2 2" xfId="26744" xr:uid="{C6A885E4-3176-4D65-87E9-A0AEB5FC9F7F}"/>
    <cellStyle name="Normal 4 2 4 2 2 5 2 2 3" xfId="35191" xr:uid="{AD14F3B8-62A5-4FCC-80FF-CCFC58C53E53}"/>
    <cellStyle name="Normal 4 2 4 2 2 5 2 2 4" xfId="43638" xr:uid="{8EC2E900-F685-485E-97C5-9297B1CB1A10}"/>
    <cellStyle name="Normal 4 2 4 2 2 5 2 2 5" xfId="17444" xr:uid="{1848F83E-3364-4538-AD67-80190C6DF504}"/>
    <cellStyle name="Normal 4 2 4 2 2 5 2 3" xfId="22527" xr:uid="{D925A6F1-3AC5-49FB-A302-A4B805D9F709}"/>
    <cellStyle name="Normal 4 2 4 2 2 5 2 4" xfId="30974" xr:uid="{E000364F-B0E9-4B96-88B8-3849AC2A9C0A}"/>
    <cellStyle name="Normal 4 2 4 2 2 5 2 5" xfId="39421" xr:uid="{2CC101ED-C247-47C4-A0E9-D17E34B3694C}"/>
    <cellStyle name="Normal 4 2 4 2 2 5 2 6" xfId="13227" xr:uid="{FC1B71D7-6635-454C-AFB2-6FBDEE403DE5}"/>
    <cellStyle name="Normal 4 2 4 2 2 5 3" xfId="5973" xr:uid="{00000000-0005-0000-0000-00004E130000}"/>
    <cellStyle name="Normal 4 2 4 2 2 5 3 2" xfId="24599" xr:uid="{63E76AC1-25C0-4B07-ADD0-33A5E544FCED}"/>
    <cellStyle name="Normal 4 2 4 2 2 5 3 3" xfId="33046" xr:uid="{388286D0-1483-4D6B-8A11-D50EEDA4A4A4}"/>
    <cellStyle name="Normal 4 2 4 2 2 5 3 4" xfId="41493" xr:uid="{F5215BE9-E1FF-4A4A-BB2D-594B16DABDD7}"/>
    <cellStyle name="Normal 4 2 4 2 2 5 3 5" xfId="15299" xr:uid="{71941CFE-C6DF-4C05-8984-83AE5D0C5D5B}"/>
    <cellStyle name="Normal 4 2 4 2 2 5 4" xfId="20382" xr:uid="{B15BF676-794A-44F0-B7B1-A164B66314E0}"/>
    <cellStyle name="Normal 4 2 4 2 2 5 5" xfId="28829" xr:uid="{E41857D7-C51F-4E63-9FF8-551A740B7051}"/>
    <cellStyle name="Normal 4 2 4 2 2 5 6" xfId="37276" xr:uid="{6053FC94-3419-408D-8758-453EE08FDD38}"/>
    <cellStyle name="Normal 4 2 4 2 2 5 7" xfId="11082" xr:uid="{B87F8BA8-A594-4344-A499-94B79002E753}"/>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2 2 2" xfId="27157" xr:uid="{4B47F995-B4BD-4120-8725-1996BBE800DE}"/>
    <cellStyle name="Normal 4 2 4 2 2 6 2 2 3" xfId="35604" xr:uid="{2E2C50F5-BC7B-40E7-A86B-0812DAEACC14}"/>
    <cellStyle name="Normal 4 2 4 2 2 6 2 2 4" xfId="44051" xr:uid="{029A9630-B948-42DC-8A3D-EB64D9A67869}"/>
    <cellStyle name="Normal 4 2 4 2 2 6 2 2 5" xfId="17857" xr:uid="{3E7AA637-15BA-4DD5-A92C-136C350D9720}"/>
    <cellStyle name="Normal 4 2 4 2 2 6 2 3" xfId="22940" xr:uid="{CF97E7E6-AFD1-4733-B676-77AD7207B06A}"/>
    <cellStyle name="Normal 4 2 4 2 2 6 2 4" xfId="31387" xr:uid="{F0416037-34E5-4513-89F4-D7AA796ED32B}"/>
    <cellStyle name="Normal 4 2 4 2 2 6 2 5" xfId="39834" xr:uid="{122F3D39-B282-4054-9473-39DBB567B2F0}"/>
    <cellStyle name="Normal 4 2 4 2 2 6 2 6" xfId="13640" xr:uid="{BAEDCC18-3D49-401C-82B0-2EB4161BF155}"/>
    <cellStyle name="Normal 4 2 4 2 2 6 3" xfId="6386" xr:uid="{00000000-0005-0000-0000-000052130000}"/>
    <cellStyle name="Normal 4 2 4 2 2 6 3 2" xfId="25012" xr:uid="{39B4347C-F879-4149-8C9C-6018A251BEE0}"/>
    <cellStyle name="Normal 4 2 4 2 2 6 3 3" xfId="33459" xr:uid="{D069F225-531D-4433-9237-D872C27CA64A}"/>
    <cellStyle name="Normal 4 2 4 2 2 6 3 4" xfId="41906" xr:uid="{9874685D-5FC9-40EC-A140-2205FB2A664B}"/>
    <cellStyle name="Normal 4 2 4 2 2 6 3 5" xfId="15712" xr:uid="{E2E823C4-99B8-4946-80E5-BED114DE4F28}"/>
    <cellStyle name="Normal 4 2 4 2 2 6 4" xfId="20795" xr:uid="{E8A05D17-C842-4C00-8852-38C0B8953248}"/>
    <cellStyle name="Normal 4 2 4 2 2 6 5" xfId="29242" xr:uid="{25439321-7B0D-41DF-B0E7-9615D9E0F6B9}"/>
    <cellStyle name="Normal 4 2 4 2 2 6 6" xfId="37689" xr:uid="{3840077C-9E1C-458A-84C3-835E6554A5DF}"/>
    <cellStyle name="Normal 4 2 4 2 2 6 7" xfId="11495" xr:uid="{2AA6CA0A-F9C6-4F88-907B-D524D06445FB}"/>
    <cellStyle name="Normal 4 2 4 2 2 7" xfId="2516" xr:uid="{00000000-0005-0000-0000-000053130000}"/>
    <cellStyle name="Normal 4 2 4 2 2 7 2" xfId="6799" xr:uid="{00000000-0005-0000-0000-000054130000}"/>
    <cellStyle name="Normal 4 2 4 2 2 7 2 2" xfId="25425" xr:uid="{0902A892-2AA0-44E9-9DC7-5645DF18B9F0}"/>
    <cellStyle name="Normal 4 2 4 2 2 7 2 3" xfId="33872" xr:uid="{565177EC-A9DB-45FD-9AB4-B18DF7337C72}"/>
    <cellStyle name="Normal 4 2 4 2 2 7 2 4" xfId="42319" xr:uid="{E4CE0251-CA95-47CA-B0A4-B9EEC93DCD03}"/>
    <cellStyle name="Normal 4 2 4 2 2 7 2 5" xfId="16125" xr:uid="{6A03B84F-58E1-4B0A-8F54-85E5FEE9CA53}"/>
    <cellStyle name="Normal 4 2 4 2 2 7 3" xfId="21208" xr:uid="{0ACDF40A-3C80-414C-A510-A1A59C4C7A54}"/>
    <cellStyle name="Normal 4 2 4 2 2 7 4" xfId="29655" xr:uid="{03B0A57F-BDF7-4EAD-9981-3B23461972E4}"/>
    <cellStyle name="Normal 4 2 4 2 2 7 5" xfId="38102" xr:uid="{DEF75F49-494A-49C4-920B-7F0C16087B0F}"/>
    <cellStyle name="Normal 4 2 4 2 2 7 6" xfId="11908" xr:uid="{370C3CDF-0C92-4D6D-959D-8D806F9CDA3D}"/>
    <cellStyle name="Normal 4 2 4 2 2 8" xfId="4734" xr:uid="{00000000-0005-0000-0000-000055130000}"/>
    <cellStyle name="Normal 4 2 4 2 2 8 2" xfId="23360" xr:uid="{74EDECF2-8EB3-465C-9EC0-341AFD747820}"/>
    <cellStyle name="Normal 4 2 4 2 2 8 3" xfId="31807" xr:uid="{B4D58A72-665F-43A1-9975-DF146A8D04A3}"/>
    <cellStyle name="Normal 4 2 4 2 2 8 4" xfId="40254" xr:uid="{0D7C5883-E79A-4F5C-B31B-5C4D6BDF8377}"/>
    <cellStyle name="Normal 4 2 4 2 2 8 5" xfId="14060" xr:uid="{8E4D250C-792C-4638-9F33-86B193809D9C}"/>
    <cellStyle name="Normal 4 2 4 2 2 9" xfId="8923" xr:uid="{2BBE6936-33B8-4624-9F85-2EE83C62ACB2}"/>
    <cellStyle name="Normal 4 2 4 2 2 9 2" xfId="18247" xr:uid="{F7D49A51-67D0-4CD7-BE13-B737BB6717D7}"/>
    <cellStyle name="Normal 4 2 4 2 3" xfId="359" xr:uid="{00000000-0005-0000-0000-000056130000}"/>
    <cellStyle name="Normal 4 2 4 2 3 10" xfId="27592" xr:uid="{24340756-E609-4115-91AE-F8EEF8D7648E}"/>
    <cellStyle name="Normal 4 2 4 2 3 11" xfId="36039" xr:uid="{7A3A9246-37C4-46C9-8D95-D818A36FBE3D}"/>
    <cellStyle name="Normal 4 2 4 2 3 12" xfId="9845" xr:uid="{A494C494-4F6F-4FB2-9B74-27D74ADD492D}"/>
    <cellStyle name="Normal 4 2 4 2 3 2" xfId="835" xr:uid="{00000000-0005-0000-0000-000057130000}"/>
    <cellStyle name="Normal 4 2 4 2 3 2 2" xfId="3072" xr:uid="{00000000-0005-0000-0000-000058130000}"/>
    <cellStyle name="Normal 4 2 4 2 3 2 2 2" xfId="7294" xr:uid="{00000000-0005-0000-0000-000059130000}"/>
    <cellStyle name="Normal 4 2 4 2 3 2 2 2 2" xfId="25920" xr:uid="{7551E130-6AC4-4F6B-9667-3B7E571BA174}"/>
    <cellStyle name="Normal 4 2 4 2 3 2 2 2 3" xfId="34367" xr:uid="{5B3D7848-9F85-43C4-BE70-37FC3A0DA31E}"/>
    <cellStyle name="Normal 4 2 4 2 3 2 2 2 4" xfId="42814" xr:uid="{709132C5-84DF-4893-82A4-FD9D3A0674FE}"/>
    <cellStyle name="Normal 4 2 4 2 3 2 2 2 5" xfId="16620" xr:uid="{6BCAA5CA-DC6B-40D6-B211-59E9AC02A9B2}"/>
    <cellStyle name="Normal 4 2 4 2 3 2 2 3" xfId="21703" xr:uid="{5CAFC8B4-BEBA-4DBD-99E5-F8D0A2532CED}"/>
    <cellStyle name="Normal 4 2 4 2 3 2 2 4" xfId="30150" xr:uid="{CAD3729B-7774-4AEB-8F9E-82D1A332C5EC}"/>
    <cellStyle name="Normal 4 2 4 2 3 2 2 5" xfId="38597" xr:uid="{9A5AD7B8-6A63-4E63-BE40-7A50E1B03879}"/>
    <cellStyle name="Normal 4 2 4 2 3 2 2 6" xfId="12403" xr:uid="{B2472C90-382D-4641-8D9F-727A23D1C6DB}"/>
    <cellStyle name="Normal 4 2 4 2 3 2 3" xfId="5149" xr:uid="{00000000-0005-0000-0000-00005A130000}"/>
    <cellStyle name="Normal 4 2 4 2 3 2 3 2" xfId="23775" xr:uid="{3576DD65-5FB8-4812-914F-D8E24173CEC1}"/>
    <cellStyle name="Normal 4 2 4 2 3 2 3 3" xfId="32222" xr:uid="{99D4C9EF-827C-4B16-95AC-CE8B6EDD97DF}"/>
    <cellStyle name="Normal 4 2 4 2 3 2 3 4" xfId="40669" xr:uid="{E502BC80-B199-4059-8CFF-85814CA33D1C}"/>
    <cellStyle name="Normal 4 2 4 2 3 2 3 5" xfId="14475" xr:uid="{FE490390-C3B4-4A66-A7CC-61F23A0B7D13}"/>
    <cellStyle name="Normal 4 2 4 2 3 2 4" xfId="9452" xr:uid="{58F46659-8F00-4705-8554-54AEBE9B8A77}"/>
    <cellStyle name="Normal 4 2 4 2 3 2 4 2" xfId="18768" xr:uid="{796BA4DF-6B89-48E6-B655-474E7BE0A65C}"/>
    <cellStyle name="Normal 4 2 4 2 3 2 5" xfId="19558" xr:uid="{AEEA6DF2-20B2-40D5-996F-05DB8DC6D1CF}"/>
    <cellStyle name="Normal 4 2 4 2 3 2 6" xfId="28005" xr:uid="{A506983F-109E-43B7-B53F-8658E5163CF2}"/>
    <cellStyle name="Normal 4 2 4 2 3 2 7" xfId="36452" xr:uid="{211BC1FC-DCAB-4346-A718-F0F6053BEA81}"/>
    <cellStyle name="Normal 4 2 4 2 3 2 8" xfId="10258" xr:uid="{3DE3C713-5D3E-4962-B330-E3EA4721FC03}"/>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2 2 2" xfId="26333" xr:uid="{36CD5529-8B60-4736-A812-41C2750B64BE}"/>
    <cellStyle name="Normal 4 2 4 2 3 3 2 2 3" xfId="34780" xr:uid="{243485FE-6651-4832-AAA3-AE405A450D34}"/>
    <cellStyle name="Normal 4 2 4 2 3 3 2 2 4" xfId="43227" xr:uid="{489B3C16-E3BE-48B4-AC55-1F98058063B0}"/>
    <cellStyle name="Normal 4 2 4 2 3 3 2 2 5" xfId="17033" xr:uid="{959ECC38-0443-4456-A4FE-058AC75E5D78}"/>
    <cellStyle name="Normal 4 2 4 2 3 3 2 3" xfId="22116" xr:uid="{B3F2C964-6797-4F41-833A-8C056D61B621}"/>
    <cellStyle name="Normal 4 2 4 2 3 3 2 4" xfId="30563" xr:uid="{4852DE9B-9E30-4782-9125-CC684F9920DA}"/>
    <cellStyle name="Normal 4 2 4 2 3 3 2 5" xfId="39010" xr:uid="{140E0661-E0D5-430F-B108-64498B967BA5}"/>
    <cellStyle name="Normal 4 2 4 2 3 3 2 6" xfId="12816" xr:uid="{51BE933D-CEED-4DF2-894B-5291CDF99D19}"/>
    <cellStyle name="Normal 4 2 4 2 3 3 3" xfId="5562" xr:uid="{00000000-0005-0000-0000-00005E130000}"/>
    <cellStyle name="Normal 4 2 4 2 3 3 3 2" xfId="24188" xr:uid="{3DC9914E-F140-4CC1-B4F6-0C0727B6032B}"/>
    <cellStyle name="Normal 4 2 4 2 3 3 3 3" xfId="32635" xr:uid="{23C7F5F9-E0FD-4620-ACE7-9DAEE19AC810}"/>
    <cellStyle name="Normal 4 2 4 2 3 3 3 4" xfId="41082" xr:uid="{E0FC5EED-F8F7-4B88-A125-EB27DA858958}"/>
    <cellStyle name="Normal 4 2 4 2 3 3 3 5" xfId="14888" xr:uid="{92F67462-A2F3-413D-BEE2-9AED3B9A0DD5}"/>
    <cellStyle name="Normal 4 2 4 2 3 3 4" xfId="19971" xr:uid="{BCD39E4B-216E-4C99-8F91-BF5C3D9AA70E}"/>
    <cellStyle name="Normal 4 2 4 2 3 3 5" xfId="28418" xr:uid="{45988C7F-CE55-41FB-A558-6D45324FA359}"/>
    <cellStyle name="Normal 4 2 4 2 3 3 6" xfId="36865" xr:uid="{6528FFD5-B01F-443D-81A3-5BFDB013333E}"/>
    <cellStyle name="Normal 4 2 4 2 3 3 7" xfId="10671" xr:uid="{8194A736-E1CC-404B-A699-D448FE6AA0F7}"/>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2 2 2" xfId="26746" xr:uid="{9C2D1D54-748D-4573-ADC2-469107B041E8}"/>
    <cellStyle name="Normal 4 2 4 2 3 4 2 2 3" xfId="35193" xr:uid="{B2B8EB64-53FC-465A-8D4A-4A9C2739BD2E}"/>
    <cellStyle name="Normal 4 2 4 2 3 4 2 2 4" xfId="43640" xr:uid="{115B0CEE-DECE-49B8-8A5F-FFA8AC2980E0}"/>
    <cellStyle name="Normal 4 2 4 2 3 4 2 2 5" xfId="17446" xr:uid="{E68EE323-2C01-4467-B8F1-317F93162D52}"/>
    <cellStyle name="Normal 4 2 4 2 3 4 2 3" xfId="22529" xr:uid="{36A3D2FD-96A8-435B-B64C-FE8693D72917}"/>
    <cellStyle name="Normal 4 2 4 2 3 4 2 4" xfId="30976" xr:uid="{5FF23F2A-61FE-4CEB-888D-27C59836A0B9}"/>
    <cellStyle name="Normal 4 2 4 2 3 4 2 5" xfId="39423" xr:uid="{78D83DAB-1EAE-41CA-AB56-5D26C3F3B039}"/>
    <cellStyle name="Normal 4 2 4 2 3 4 2 6" xfId="13229" xr:uid="{F918EF51-4F84-4B50-B30F-DCDCF239EEB4}"/>
    <cellStyle name="Normal 4 2 4 2 3 4 3" xfId="5975" xr:uid="{00000000-0005-0000-0000-000062130000}"/>
    <cellStyle name="Normal 4 2 4 2 3 4 3 2" xfId="24601" xr:uid="{15F72002-338F-418D-9016-E8ECC8642653}"/>
    <cellStyle name="Normal 4 2 4 2 3 4 3 3" xfId="33048" xr:uid="{77F83BAC-EADC-4E1B-8682-27F734C632F4}"/>
    <cellStyle name="Normal 4 2 4 2 3 4 3 4" xfId="41495" xr:uid="{D113EB0D-C7B4-4607-A659-A14DE9F40DB7}"/>
    <cellStyle name="Normal 4 2 4 2 3 4 3 5" xfId="15301" xr:uid="{C959869E-F5D5-4B38-A2A9-18E44E084FE1}"/>
    <cellStyle name="Normal 4 2 4 2 3 4 4" xfId="20384" xr:uid="{C7FEAC2B-14E7-4309-928E-84C9E1EF844B}"/>
    <cellStyle name="Normal 4 2 4 2 3 4 5" xfId="28831" xr:uid="{F3743CC5-3A8A-4646-9FD1-0295C6F95273}"/>
    <cellStyle name="Normal 4 2 4 2 3 4 6" xfId="37278" xr:uid="{C070ED1D-2962-4A3E-97B4-EED03C5027DB}"/>
    <cellStyle name="Normal 4 2 4 2 3 4 7" xfId="11084" xr:uid="{A9AE5E01-AA07-420E-A765-4199884C2818}"/>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2 2 2" xfId="27159" xr:uid="{5D0B4955-8E96-45C7-8D3B-E36222335577}"/>
    <cellStyle name="Normal 4 2 4 2 3 5 2 2 3" xfId="35606" xr:uid="{A843AE00-862F-4CB7-ACA1-F7F6A8FBEBA4}"/>
    <cellStyle name="Normal 4 2 4 2 3 5 2 2 4" xfId="44053" xr:uid="{C9817217-1889-4224-B9B8-2A9CF548A67E}"/>
    <cellStyle name="Normal 4 2 4 2 3 5 2 2 5" xfId="17859" xr:uid="{B3214BB4-07F7-478F-A3AD-335B475DB32B}"/>
    <cellStyle name="Normal 4 2 4 2 3 5 2 3" xfId="22942" xr:uid="{A64DC0F0-9F6E-4DEE-BC26-77DB9A287F4F}"/>
    <cellStyle name="Normal 4 2 4 2 3 5 2 4" xfId="31389" xr:uid="{F74BA055-F5CA-4C75-85CA-6AA295B484B1}"/>
    <cellStyle name="Normal 4 2 4 2 3 5 2 5" xfId="39836" xr:uid="{0F6B4D07-BAE8-4065-A0DD-1385594D8A2B}"/>
    <cellStyle name="Normal 4 2 4 2 3 5 2 6" xfId="13642" xr:uid="{1F8D26D5-769C-4F9D-98F8-2BCEAF6A8A12}"/>
    <cellStyle name="Normal 4 2 4 2 3 5 3" xfId="6388" xr:uid="{00000000-0005-0000-0000-000066130000}"/>
    <cellStyle name="Normal 4 2 4 2 3 5 3 2" xfId="25014" xr:uid="{8EC4D32D-F731-4228-9B92-F54ED3CA2540}"/>
    <cellStyle name="Normal 4 2 4 2 3 5 3 3" xfId="33461" xr:uid="{63E718F8-F4D3-437B-9F08-B5D36A2A8AA5}"/>
    <cellStyle name="Normal 4 2 4 2 3 5 3 4" xfId="41908" xr:uid="{8B9723EE-11C2-4CC0-856A-93038F9E8D88}"/>
    <cellStyle name="Normal 4 2 4 2 3 5 3 5" xfId="15714" xr:uid="{4D9BA415-FDBC-4009-9C98-ABB09605A787}"/>
    <cellStyle name="Normal 4 2 4 2 3 5 4" xfId="20797" xr:uid="{45B7BB26-543D-4793-A097-0BA3401177E9}"/>
    <cellStyle name="Normal 4 2 4 2 3 5 5" xfId="29244" xr:uid="{5ABBF2D1-152B-4E3F-A272-58E5A16AD744}"/>
    <cellStyle name="Normal 4 2 4 2 3 5 6" xfId="37691" xr:uid="{3BECEA4E-8AC4-4595-8BFF-E12DE197C9D1}"/>
    <cellStyle name="Normal 4 2 4 2 3 5 7" xfId="11497" xr:uid="{E571A536-463F-4352-AF02-EB4E8CD530A4}"/>
    <cellStyle name="Normal 4 2 4 2 3 6" xfId="2518" xr:uid="{00000000-0005-0000-0000-000067130000}"/>
    <cellStyle name="Normal 4 2 4 2 3 6 2" xfId="6801" xr:uid="{00000000-0005-0000-0000-000068130000}"/>
    <cellStyle name="Normal 4 2 4 2 3 6 2 2" xfId="25427" xr:uid="{CD518E8F-0E22-4117-9A82-972BEA7AC524}"/>
    <cellStyle name="Normal 4 2 4 2 3 6 2 3" xfId="33874" xr:uid="{CBBF6DA1-9969-414A-BD8A-17611120FE16}"/>
    <cellStyle name="Normal 4 2 4 2 3 6 2 4" xfId="42321" xr:uid="{A1FC059F-5802-4F40-89B9-5AC59CBEA59A}"/>
    <cellStyle name="Normal 4 2 4 2 3 6 2 5" xfId="16127" xr:uid="{B36F1383-02E5-490E-A82F-D2E86231F5DE}"/>
    <cellStyle name="Normal 4 2 4 2 3 6 3" xfId="21210" xr:uid="{C38B9237-E800-4F85-A4A0-CCDE7FD1CEBA}"/>
    <cellStyle name="Normal 4 2 4 2 3 6 4" xfId="29657" xr:uid="{8B4FF7F8-11A5-428A-A278-BE3A9B8F5210}"/>
    <cellStyle name="Normal 4 2 4 2 3 6 5" xfId="38104" xr:uid="{8343A579-384A-453D-91CF-2872249F6959}"/>
    <cellStyle name="Normal 4 2 4 2 3 6 6" xfId="11910" xr:uid="{49CD7EDF-62D2-494F-BD60-1B8C4A0B6BF7}"/>
    <cellStyle name="Normal 4 2 4 2 3 7" xfId="4736" xr:uid="{00000000-0005-0000-0000-000069130000}"/>
    <cellStyle name="Normal 4 2 4 2 3 7 2" xfId="23362" xr:uid="{C714D91A-3D62-44EC-AD50-C93FC1CFEF95}"/>
    <cellStyle name="Normal 4 2 4 2 3 7 3" xfId="31809" xr:uid="{29DEC45C-C85A-424B-AB6E-F3C10E8BC85B}"/>
    <cellStyle name="Normal 4 2 4 2 3 7 4" xfId="40256" xr:uid="{6230EAA1-71D0-479D-B4DE-3BDA67EEAF4E}"/>
    <cellStyle name="Normal 4 2 4 2 3 7 5" xfId="14062" xr:uid="{171A03BF-100A-4A88-8A92-B22BD33BE25B}"/>
    <cellStyle name="Normal 4 2 4 2 3 8" xfId="9027" xr:uid="{DA430019-E492-48BB-ACD5-5BE853C50FBC}"/>
    <cellStyle name="Normal 4 2 4 2 3 8 2" xfId="18351" xr:uid="{43D55A66-7073-45C8-9740-C25A53921269}"/>
    <cellStyle name="Normal 4 2 4 2 3 9" xfId="19145" xr:uid="{C1425C05-3DF8-43BA-8B7B-E763B54FD75E}"/>
    <cellStyle name="Normal 4 2 4 2 4" xfId="832" xr:uid="{00000000-0005-0000-0000-00006A130000}"/>
    <cellStyle name="Normal 4 2 4 2 4 2" xfId="3069" xr:uid="{00000000-0005-0000-0000-00006B130000}"/>
    <cellStyle name="Normal 4 2 4 2 4 2 2" xfId="7291" xr:uid="{00000000-0005-0000-0000-00006C130000}"/>
    <cellStyle name="Normal 4 2 4 2 4 2 2 2" xfId="25917" xr:uid="{7FEBB8D1-6E77-4DB2-ABB3-B9CDF3CE6345}"/>
    <cellStyle name="Normal 4 2 4 2 4 2 2 3" xfId="34364" xr:uid="{834C7D94-43E7-47FB-B495-8FC3394E250F}"/>
    <cellStyle name="Normal 4 2 4 2 4 2 2 4" xfId="42811" xr:uid="{FD6F16EF-3D35-4734-A2DF-6EAB1E5431B0}"/>
    <cellStyle name="Normal 4 2 4 2 4 2 2 5" xfId="16617" xr:uid="{6DB1CC00-D35D-4B00-AF00-BC477769741A}"/>
    <cellStyle name="Normal 4 2 4 2 4 2 3" xfId="21700" xr:uid="{ED489E23-9B66-45CA-A2DD-DB580BFA391A}"/>
    <cellStyle name="Normal 4 2 4 2 4 2 4" xfId="30147" xr:uid="{1E3564C6-3179-42C2-8DB6-68B1D5254EF1}"/>
    <cellStyle name="Normal 4 2 4 2 4 2 5" xfId="38594" xr:uid="{C96CD856-8DBA-4417-9A6B-D685B334F626}"/>
    <cellStyle name="Normal 4 2 4 2 4 2 6" xfId="12400" xr:uid="{20625089-F894-463B-9957-CB1E010A92CE}"/>
    <cellStyle name="Normal 4 2 4 2 4 3" xfId="5146" xr:uid="{00000000-0005-0000-0000-00006D130000}"/>
    <cellStyle name="Normal 4 2 4 2 4 3 2" xfId="23772" xr:uid="{6ABBAA35-9606-4D7C-8E62-01F453A16B54}"/>
    <cellStyle name="Normal 4 2 4 2 4 3 3" xfId="32219" xr:uid="{9454D956-BDFA-4D47-A5DD-E6A7678BC1E9}"/>
    <cellStyle name="Normal 4 2 4 2 4 3 4" xfId="40666" xr:uid="{6BF804CA-0731-46E7-8CDE-D767CF250CE8}"/>
    <cellStyle name="Normal 4 2 4 2 4 3 5" xfId="14472" xr:uid="{D1043DD6-8CA7-4051-9C21-762F6DEC03D3}"/>
    <cellStyle name="Normal 4 2 4 2 4 4" xfId="9245" xr:uid="{A0383DD8-843E-4601-922A-5CDD979D0589}"/>
    <cellStyle name="Normal 4 2 4 2 4 4 2" xfId="18561" xr:uid="{0A2154BD-7F48-42F0-B041-6EE0090A8952}"/>
    <cellStyle name="Normal 4 2 4 2 4 5" xfId="19555" xr:uid="{4025035B-6C20-4F8A-939E-480FCF61A8C7}"/>
    <cellStyle name="Normal 4 2 4 2 4 6" xfId="28002" xr:uid="{D5AA3086-1F49-47D9-A186-E06BED7EC23B}"/>
    <cellStyle name="Normal 4 2 4 2 4 7" xfId="36449" xr:uid="{4CDAE1C9-7EFA-4006-A1A5-821F1F178E7E}"/>
    <cellStyle name="Normal 4 2 4 2 4 8" xfId="10255" xr:uid="{8733AA8A-25A6-48F0-B3F0-83757DA94E72}"/>
    <cellStyle name="Normal 4 2 4 2 5" xfId="1252" xr:uid="{00000000-0005-0000-0000-00006E130000}"/>
    <cellStyle name="Normal 4 2 4 2 5 2" xfId="3482" xr:uid="{00000000-0005-0000-0000-00006F130000}"/>
    <cellStyle name="Normal 4 2 4 2 5 2 2" xfId="7704" xr:uid="{00000000-0005-0000-0000-000070130000}"/>
    <cellStyle name="Normal 4 2 4 2 5 2 2 2" xfId="26330" xr:uid="{749F4AA0-72C0-41BC-ACDD-029878E5E70F}"/>
    <cellStyle name="Normal 4 2 4 2 5 2 2 3" xfId="34777" xr:uid="{C953AF1B-6E69-48A3-9E1A-D6BD24CD22B4}"/>
    <cellStyle name="Normal 4 2 4 2 5 2 2 4" xfId="43224" xr:uid="{55766EA7-DB88-4843-A0A2-0E5CDCB38C36}"/>
    <cellStyle name="Normal 4 2 4 2 5 2 2 5" xfId="17030" xr:uid="{7E631E8E-E81D-41C0-8B1B-B63C4CBE4350}"/>
    <cellStyle name="Normal 4 2 4 2 5 2 3" xfId="22113" xr:uid="{62AC0643-DEC8-4315-8F70-448D53D00E9F}"/>
    <cellStyle name="Normal 4 2 4 2 5 2 4" xfId="30560" xr:uid="{4E9104F7-C5A9-4FBE-806B-061489990418}"/>
    <cellStyle name="Normal 4 2 4 2 5 2 5" xfId="39007" xr:uid="{506114F3-942C-4109-B731-FCB0B00E5D3D}"/>
    <cellStyle name="Normal 4 2 4 2 5 2 6" xfId="12813" xr:uid="{3605B95F-B434-4407-86F5-96F6629AC5BC}"/>
    <cellStyle name="Normal 4 2 4 2 5 3" xfId="5559" xr:uid="{00000000-0005-0000-0000-000071130000}"/>
    <cellStyle name="Normal 4 2 4 2 5 3 2" xfId="24185" xr:uid="{E9182DD6-6372-4E45-90F4-DC4BC95EA30D}"/>
    <cellStyle name="Normal 4 2 4 2 5 3 3" xfId="32632" xr:uid="{67898C4B-E166-4088-B035-BB9F5403EB9B}"/>
    <cellStyle name="Normal 4 2 4 2 5 3 4" xfId="41079" xr:uid="{3EF18C5A-987D-49DC-916A-F3A197A9433B}"/>
    <cellStyle name="Normal 4 2 4 2 5 3 5" xfId="14885" xr:uid="{2431DC74-CF6B-4663-9FCC-52D6A1D78F87}"/>
    <cellStyle name="Normal 4 2 4 2 5 4" xfId="19968" xr:uid="{90407C6F-9E05-46DF-B5B3-808AB679ED68}"/>
    <cellStyle name="Normal 4 2 4 2 5 5" xfId="28415" xr:uid="{D28D1CD7-6F31-40CC-8DEA-D78CFC220500}"/>
    <cellStyle name="Normal 4 2 4 2 5 6" xfId="36862" xr:uid="{35DCA6CD-1F89-498A-A9F8-55FD66B1F8D6}"/>
    <cellStyle name="Normal 4 2 4 2 5 7" xfId="10668" xr:uid="{773620D1-5BDB-454B-BCDE-EA85A73DCA73}"/>
    <cellStyle name="Normal 4 2 4 2 6" xfId="1665" xr:uid="{00000000-0005-0000-0000-000072130000}"/>
    <cellStyle name="Normal 4 2 4 2 6 2" xfId="3895" xr:uid="{00000000-0005-0000-0000-000073130000}"/>
    <cellStyle name="Normal 4 2 4 2 6 2 2" xfId="8117" xr:uid="{00000000-0005-0000-0000-000074130000}"/>
    <cellStyle name="Normal 4 2 4 2 6 2 2 2" xfId="26743" xr:uid="{CCF4F296-1A30-4071-8C78-0C3DEFD114C6}"/>
    <cellStyle name="Normal 4 2 4 2 6 2 2 3" xfId="35190" xr:uid="{811CF4FA-8B3E-4F76-B61A-7574982771F0}"/>
    <cellStyle name="Normal 4 2 4 2 6 2 2 4" xfId="43637" xr:uid="{5A63346D-1849-409E-B377-69122C78D523}"/>
    <cellStyle name="Normal 4 2 4 2 6 2 2 5" xfId="17443" xr:uid="{ABFC3E96-3D13-4AEC-ACCA-C66593F5949E}"/>
    <cellStyle name="Normal 4 2 4 2 6 2 3" xfId="22526" xr:uid="{D4178862-BE06-4726-9BE3-59D4E865F48C}"/>
    <cellStyle name="Normal 4 2 4 2 6 2 4" xfId="30973" xr:uid="{7E770C21-D062-4A6A-BC86-6251C01ED102}"/>
    <cellStyle name="Normal 4 2 4 2 6 2 5" xfId="39420" xr:uid="{DC4AB526-396F-4222-A909-C542E0CA7B5D}"/>
    <cellStyle name="Normal 4 2 4 2 6 2 6" xfId="13226" xr:uid="{1C8879FB-B6CC-45F9-8D56-D046B515F2EC}"/>
    <cellStyle name="Normal 4 2 4 2 6 3" xfId="5972" xr:uid="{00000000-0005-0000-0000-000075130000}"/>
    <cellStyle name="Normal 4 2 4 2 6 3 2" xfId="24598" xr:uid="{9902E365-32DB-4784-83CD-3F546EAD05AC}"/>
    <cellStyle name="Normal 4 2 4 2 6 3 3" xfId="33045" xr:uid="{6F748F57-D0D6-41F0-9D53-545EEF6EB352}"/>
    <cellStyle name="Normal 4 2 4 2 6 3 4" xfId="41492" xr:uid="{6F48F09D-7C80-4D91-8422-7A6ED300CBCB}"/>
    <cellStyle name="Normal 4 2 4 2 6 3 5" xfId="15298" xr:uid="{E0D4AB53-5C8A-4D99-B274-5E5456BEAB69}"/>
    <cellStyle name="Normal 4 2 4 2 6 4" xfId="20381" xr:uid="{246FD8CD-713A-4BDB-BAD8-0EAB7D17D72F}"/>
    <cellStyle name="Normal 4 2 4 2 6 5" xfId="28828" xr:uid="{CA9EB6E1-E03E-4397-A2D2-57998B2F1DF3}"/>
    <cellStyle name="Normal 4 2 4 2 6 6" xfId="37275" xr:uid="{6653E3ED-F534-46D1-B974-550E086661E2}"/>
    <cellStyle name="Normal 4 2 4 2 6 7" xfId="11081" xr:uid="{7EC08985-1E77-411D-89A0-0C1940BFD414}"/>
    <cellStyle name="Normal 4 2 4 2 7" xfId="2079" xr:uid="{00000000-0005-0000-0000-000076130000}"/>
    <cellStyle name="Normal 4 2 4 2 7 2" xfId="4308" xr:uid="{00000000-0005-0000-0000-000077130000}"/>
    <cellStyle name="Normal 4 2 4 2 7 2 2" xfId="8530" xr:uid="{00000000-0005-0000-0000-000078130000}"/>
    <cellStyle name="Normal 4 2 4 2 7 2 2 2" xfId="27156" xr:uid="{49699940-4BB7-4FA0-B606-AB09AE11670D}"/>
    <cellStyle name="Normal 4 2 4 2 7 2 2 3" xfId="35603" xr:uid="{D7726963-7DE0-40F0-A7C9-0275C875A423}"/>
    <cellStyle name="Normal 4 2 4 2 7 2 2 4" xfId="44050" xr:uid="{F2B9BF67-B98C-4CA0-A7ED-5EE12444EE9E}"/>
    <cellStyle name="Normal 4 2 4 2 7 2 2 5" xfId="17856" xr:uid="{21AF8BC6-2081-457E-BF2D-AA487EF00736}"/>
    <cellStyle name="Normal 4 2 4 2 7 2 3" xfId="22939" xr:uid="{2FBF6B34-439D-419B-B1C5-190721173F25}"/>
    <cellStyle name="Normal 4 2 4 2 7 2 4" xfId="31386" xr:uid="{EEB226BF-C677-4592-AC70-DE456FD821B3}"/>
    <cellStyle name="Normal 4 2 4 2 7 2 5" xfId="39833" xr:uid="{C0B4EAF8-39D0-4CA8-89B8-D17281D1E63E}"/>
    <cellStyle name="Normal 4 2 4 2 7 2 6" xfId="13639" xr:uid="{4B89E692-4132-464A-816A-9DDDDE3F78E0}"/>
    <cellStyle name="Normal 4 2 4 2 7 3" xfId="6385" xr:uid="{00000000-0005-0000-0000-000079130000}"/>
    <cellStyle name="Normal 4 2 4 2 7 3 2" xfId="25011" xr:uid="{DEA43865-B72C-42D6-8242-46EE093017C7}"/>
    <cellStyle name="Normal 4 2 4 2 7 3 3" xfId="33458" xr:uid="{C84BC3B8-1E18-4EFB-92E7-27583746483B}"/>
    <cellStyle name="Normal 4 2 4 2 7 3 4" xfId="41905" xr:uid="{EBC3C1B2-A6BC-401D-8269-CD533D96FEBF}"/>
    <cellStyle name="Normal 4 2 4 2 7 3 5" xfId="15711" xr:uid="{E177302F-0744-467B-99BC-2D3D9EB7B141}"/>
    <cellStyle name="Normal 4 2 4 2 7 4" xfId="20794" xr:uid="{D451BDD8-03E5-4E81-BECE-8C23560B1DA7}"/>
    <cellStyle name="Normal 4 2 4 2 7 5" xfId="29241" xr:uid="{95BD200D-BFCF-4533-B2F3-919A10D490B7}"/>
    <cellStyle name="Normal 4 2 4 2 7 6" xfId="37688" xr:uid="{3F156E96-DD3F-438E-8C69-5A4588084F94}"/>
    <cellStyle name="Normal 4 2 4 2 7 7" xfId="11494" xr:uid="{0B71F785-915B-433B-849D-A109EC2FD715}"/>
    <cellStyle name="Normal 4 2 4 2 8" xfId="2515" xr:uid="{00000000-0005-0000-0000-00007A130000}"/>
    <cellStyle name="Normal 4 2 4 2 8 2" xfId="6798" xr:uid="{00000000-0005-0000-0000-00007B130000}"/>
    <cellStyle name="Normal 4 2 4 2 8 2 2" xfId="25424" xr:uid="{35D7AA68-5CBC-451B-9A3E-C5A568DE1BCB}"/>
    <cellStyle name="Normal 4 2 4 2 8 2 3" xfId="33871" xr:uid="{4C3C8CC6-DEC8-47CC-ADD9-4492CC59CE66}"/>
    <cellStyle name="Normal 4 2 4 2 8 2 4" xfId="42318" xr:uid="{8DDE363A-8405-466F-B874-990BDDF88B29}"/>
    <cellStyle name="Normal 4 2 4 2 8 2 5" xfId="16124" xr:uid="{61C00682-8BBE-4AE4-8C40-7CE2793E83DB}"/>
    <cellStyle name="Normal 4 2 4 2 8 3" xfId="21207" xr:uid="{A09F33A8-31D1-4359-8ECB-C921021C551A}"/>
    <cellStyle name="Normal 4 2 4 2 8 4" xfId="29654" xr:uid="{DED1721B-78CE-434C-A85C-D9AD6F97FA60}"/>
    <cellStyle name="Normal 4 2 4 2 8 5" xfId="38101" xr:uid="{27B0ABDA-5948-499B-8870-C033037AB9DC}"/>
    <cellStyle name="Normal 4 2 4 2 8 6" xfId="11907" xr:uid="{A23255AA-97A1-4BDF-9B47-32581ADE6563}"/>
    <cellStyle name="Normal 4 2 4 2 9" xfId="4733" xr:uid="{00000000-0005-0000-0000-00007C130000}"/>
    <cellStyle name="Normal 4 2 4 2 9 2" xfId="23359" xr:uid="{273EDC50-3F7C-48A4-8AEE-7FEC313ACA31}"/>
    <cellStyle name="Normal 4 2 4 2 9 3" xfId="31806" xr:uid="{A8C11558-7097-4F98-8156-6F57D1FC6FE7}"/>
    <cellStyle name="Normal 4 2 4 2 9 4" xfId="40253" xr:uid="{31AC1893-7483-4CCC-8055-CD496FF9F55A}"/>
    <cellStyle name="Normal 4 2 4 2 9 5" xfId="14059" xr:uid="{0774D4F6-475D-4DE6-89E6-36B45C709DDC}"/>
    <cellStyle name="Normal 4 2 4 3" xfId="360" xr:uid="{00000000-0005-0000-0000-00007D130000}"/>
    <cellStyle name="Normal 4 2 4 3 10" xfId="19146" xr:uid="{6F91A406-B996-4420-923D-8A9FF9156408}"/>
    <cellStyle name="Normal 4 2 4 3 11" xfId="27593" xr:uid="{868C66C1-5CAC-4895-B2EA-A78DBE9FF888}"/>
    <cellStyle name="Normal 4 2 4 3 12" xfId="36040" xr:uid="{F32F653F-37F9-4417-BD9E-CC99D21A2FFE}"/>
    <cellStyle name="Normal 4 2 4 3 13" xfId="9846" xr:uid="{671DCD7E-4BC9-4563-967E-9B97F22DBF25}"/>
    <cellStyle name="Normal 4 2 4 3 2" xfId="361" xr:uid="{00000000-0005-0000-0000-00007E130000}"/>
    <cellStyle name="Normal 4 2 4 3 2 10" xfId="27594" xr:uid="{6A36E30D-3123-42EF-886D-F8F7B8AD02A3}"/>
    <cellStyle name="Normal 4 2 4 3 2 11" xfId="36041" xr:uid="{68DA6DE0-27C6-4561-B0DB-206A7372CFF3}"/>
    <cellStyle name="Normal 4 2 4 3 2 12" xfId="9847" xr:uid="{E13F1001-DA99-490C-A611-45B466C1415A}"/>
    <cellStyle name="Normal 4 2 4 3 2 2" xfId="837" xr:uid="{00000000-0005-0000-0000-00007F130000}"/>
    <cellStyle name="Normal 4 2 4 3 2 2 2" xfId="3074" xr:uid="{00000000-0005-0000-0000-000080130000}"/>
    <cellStyle name="Normal 4 2 4 3 2 2 2 2" xfId="7296" xr:uid="{00000000-0005-0000-0000-000081130000}"/>
    <cellStyle name="Normal 4 2 4 3 2 2 2 2 2" xfId="25922" xr:uid="{89578E86-50E6-4603-80F9-B80859DA9EB4}"/>
    <cellStyle name="Normal 4 2 4 3 2 2 2 2 3" xfId="34369" xr:uid="{EAF5C8C4-1BF8-42D3-8EF1-5FC252B4370A}"/>
    <cellStyle name="Normal 4 2 4 3 2 2 2 2 4" xfId="42816" xr:uid="{71A32CDE-E324-4BAB-9918-4A6EECD67FE2}"/>
    <cellStyle name="Normal 4 2 4 3 2 2 2 2 5" xfId="16622" xr:uid="{D6B478C1-AA38-4033-8C5B-BB696935AC8D}"/>
    <cellStyle name="Normal 4 2 4 3 2 2 2 3" xfId="21705" xr:uid="{A30864DD-953E-41E7-A275-AF26F06B037D}"/>
    <cellStyle name="Normal 4 2 4 3 2 2 2 4" xfId="30152" xr:uid="{D413921B-DD49-4C57-AA7B-7C6225140FD9}"/>
    <cellStyle name="Normal 4 2 4 3 2 2 2 5" xfId="38599" xr:uid="{87C37B98-4503-4DAE-8CE6-B2F59E5A1402}"/>
    <cellStyle name="Normal 4 2 4 3 2 2 2 6" xfId="12405" xr:uid="{3C0B1110-F31C-4968-A8CC-3E33BDBBEC5D}"/>
    <cellStyle name="Normal 4 2 4 3 2 2 3" xfId="5151" xr:uid="{00000000-0005-0000-0000-000082130000}"/>
    <cellStyle name="Normal 4 2 4 3 2 2 3 2" xfId="23777" xr:uid="{409A7409-C517-44F5-A913-947BBD6EA3A1}"/>
    <cellStyle name="Normal 4 2 4 3 2 2 3 3" xfId="32224" xr:uid="{2A80A8EA-8358-4A9D-8F1A-93EE540C71ED}"/>
    <cellStyle name="Normal 4 2 4 3 2 2 3 4" xfId="40671" xr:uid="{14AA320D-E55F-4BF4-A0BD-3E1FF12C611C}"/>
    <cellStyle name="Normal 4 2 4 3 2 2 3 5" xfId="14477" xr:uid="{37736FFD-1AFE-4FB8-BB87-214B51863DCE}"/>
    <cellStyle name="Normal 4 2 4 3 2 2 4" xfId="9510" xr:uid="{AA534F18-B7F5-44D9-AE7D-03E6DE45E4F9}"/>
    <cellStyle name="Normal 4 2 4 3 2 2 4 2" xfId="18826" xr:uid="{91F27357-9676-4761-851E-AA230CC4592D}"/>
    <cellStyle name="Normal 4 2 4 3 2 2 5" xfId="19560" xr:uid="{9F445422-C5D3-41FB-977C-A7D51176CABE}"/>
    <cellStyle name="Normal 4 2 4 3 2 2 6" xfId="28007" xr:uid="{8CFC2211-8603-463D-A785-376057CDFE66}"/>
    <cellStyle name="Normal 4 2 4 3 2 2 7" xfId="36454" xr:uid="{BCDF0AE8-BD4E-46E2-9714-610AC630FEA8}"/>
    <cellStyle name="Normal 4 2 4 3 2 2 8" xfId="10260" xr:uid="{AB3A167D-9A91-469B-82E4-4C41EAC5F1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2 2 2" xfId="26335" xr:uid="{F3D5916B-E3E2-4EA6-8FF3-6D85DF46425B}"/>
    <cellStyle name="Normal 4 2 4 3 2 3 2 2 3" xfId="34782" xr:uid="{CF0409F4-2D04-4EF2-8764-99BC7EF6F275}"/>
    <cellStyle name="Normal 4 2 4 3 2 3 2 2 4" xfId="43229" xr:uid="{418E94F4-B0A7-4508-A5A5-E66A6392C7BA}"/>
    <cellStyle name="Normal 4 2 4 3 2 3 2 2 5" xfId="17035" xr:uid="{267F199D-BB8E-48FC-AAF9-CBDDE0D43841}"/>
    <cellStyle name="Normal 4 2 4 3 2 3 2 3" xfId="22118" xr:uid="{C5328167-5416-473F-B6EA-943F49F80C75}"/>
    <cellStyle name="Normal 4 2 4 3 2 3 2 4" xfId="30565" xr:uid="{2578A80D-5E60-47F2-B074-06878434A410}"/>
    <cellStyle name="Normal 4 2 4 3 2 3 2 5" xfId="39012" xr:uid="{49BEF141-1F1F-463B-ADFE-6AF156922396}"/>
    <cellStyle name="Normal 4 2 4 3 2 3 2 6" xfId="12818" xr:uid="{06608D28-6322-4078-9E33-70E606AD3ADD}"/>
    <cellStyle name="Normal 4 2 4 3 2 3 3" xfId="5564" xr:uid="{00000000-0005-0000-0000-000086130000}"/>
    <cellStyle name="Normal 4 2 4 3 2 3 3 2" xfId="24190" xr:uid="{BB9383B2-B6BE-48D9-901E-93AA608DC893}"/>
    <cellStyle name="Normal 4 2 4 3 2 3 3 3" xfId="32637" xr:uid="{D3700B8F-8246-40CA-855D-A5216AC573F7}"/>
    <cellStyle name="Normal 4 2 4 3 2 3 3 4" xfId="41084" xr:uid="{EF3FE619-FFAA-409F-9852-E2DB570E52C7}"/>
    <cellStyle name="Normal 4 2 4 3 2 3 3 5" xfId="14890" xr:uid="{ED3C6B68-BF53-4732-8036-C362AB92C9F7}"/>
    <cellStyle name="Normal 4 2 4 3 2 3 4" xfId="19973" xr:uid="{62F7B057-3525-4C05-8F7B-C2A9E5CE378F}"/>
    <cellStyle name="Normal 4 2 4 3 2 3 5" xfId="28420" xr:uid="{779F355B-3668-47FF-84DE-46B685A13636}"/>
    <cellStyle name="Normal 4 2 4 3 2 3 6" xfId="36867" xr:uid="{10B9C8FD-FF5A-46D8-8F72-5EE3745436A6}"/>
    <cellStyle name="Normal 4 2 4 3 2 3 7" xfId="10673" xr:uid="{BC0B3815-188B-4412-989D-F6BED3C150DB}"/>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2 2 2" xfId="26748" xr:uid="{0349E750-4901-42D8-9A5D-9DA0F8079A68}"/>
    <cellStyle name="Normal 4 2 4 3 2 4 2 2 3" xfId="35195" xr:uid="{5DD59AF9-58D4-4FB7-B349-D35AE9B92281}"/>
    <cellStyle name="Normal 4 2 4 3 2 4 2 2 4" xfId="43642" xr:uid="{CDD967F4-E7C6-4648-B97F-7E51EF1414C1}"/>
    <cellStyle name="Normal 4 2 4 3 2 4 2 2 5" xfId="17448" xr:uid="{6D3C6A41-2B6C-46D4-A5C0-1D15C83076AB}"/>
    <cellStyle name="Normal 4 2 4 3 2 4 2 3" xfId="22531" xr:uid="{370CD668-1734-433D-A46B-65DAD1D45E9C}"/>
    <cellStyle name="Normal 4 2 4 3 2 4 2 4" xfId="30978" xr:uid="{A28B5258-BAE4-406B-B973-0069F2839AF7}"/>
    <cellStyle name="Normal 4 2 4 3 2 4 2 5" xfId="39425" xr:uid="{701D29A9-0989-4E71-BFA8-C5C335272C74}"/>
    <cellStyle name="Normal 4 2 4 3 2 4 2 6" xfId="13231" xr:uid="{658C91FA-E668-4DD0-9865-6EADB37B5240}"/>
    <cellStyle name="Normal 4 2 4 3 2 4 3" xfId="5977" xr:uid="{00000000-0005-0000-0000-00008A130000}"/>
    <cellStyle name="Normal 4 2 4 3 2 4 3 2" xfId="24603" xr:uid="{CFA7D930-A0C2-4DD0-9AA4-7FECA75DDD27}"/>
    <cellStyle name="Normal 4 2 4 3 2 4 3 3" xfId="33050" xr:uid="{2714B7CE-44B2-4B93-8890-811DC95FA01C}"/>
    <cellStyle name="Normal 4 2 4 3 2 4 3 4" xfId="41497" xr:uid="{C9B77196-BC8A-4D1C-A1B8-A1E0E96E9AAF}"/>
    <cellStyle name="Normal 4 2 4 3 2 4 3 5" xfId="15303" xr:uid="{26DA2E8D-4BD6-4F59-AB16-6A19809FC12D}"/>
    <cellStyle name="Normal 4 2 4 3 2 4 4" xfId="20386" xr:uid="{35A3D77F-61DE-47AC-B8EF-03683831B37F}"/>
    <cellStyle name="Normal 4 2 4 3 2 4 5" xfId="28833" xr:uid="{418FE735-EC30-48CB-A44A-3B9D208D1323}"/>
    <cellStyle name="Normal 4 2 4 3 2 4 6" xfId="37280" xr:uid="{9B442E6A-BABB-4738-A11F-1948ED56F836}"/>
    <cellStyle name="Normal 4 2 4 3 2 4 7" xfId="11086" xr:uid="{964A61DE-67F6-4FF2-9AA3-048D2A15CC52}"/>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2 2 2" xfId="27161" xr:uid="{71F8465F-2C5D-4E67-9227-62464AE8A237}"/>
    <cellStyle name="Normal 4 2 4 3 2 5 2 2 3" xfId="35608" xr:uid="{346618C9-0DD8-4BE8-807E-20CD77A4C39C}"/>
    <cellStyle name="Normal 4 2 4 3 2 5 2 2 4" xfId="44055" xr:uid="{20CFC5AE-BDDA-4FEE-9E1B-C70AF2BF6085}"/>
    <cellStyle name="Normal 4 2 4 3 2 5 2 2 5" xfId="17861" xr:uid="{811EE823-648F-44A8-BF66-A45833A9A287}"/>
    <cellStyle name="Normal 4 2 4 3 2 5 2 3" xfId="22944" xr:uid="{0DE38461-F594-4782-A5BF-16DE8228C724}"/>
    <cellStyle name="Normal 4 2 4 3 2 5 2 4" xfId="31391" xr:uid="{098DD819-DA3C-438D-9BB5-3DC94EB3BAB0}"/>
    <cellStyle name="Normal 4 2 4 3 2 5 2 5" xfId="39838" xr:uid="{F25BD218-467D-4EE2-8D7E-C82A0B05068F}"/>
    <cellStyle name="Normal 4 2 4 3 2 5 2 6" xfId="13644" xr:uid="{5F4E35A6-E479-454E-A8F2-D24A0925D309}"/>
    <cellStyle name="Normal 4 2 4 3 2 5 3" xfId="6390" xr:uid="{00000000-0005-0000-0000-00008E130000}"/>
    <cellStyle name="Normal 4 2 4 3 2 5 3 2" xfId="25016" xr:uid="{D81EDEE6-5605-40C9-8217-4C3A227C362F}"/>
    <cellStyle name="Normal 4 2 4 3 2 5 3 3" xfId="33463" xr:uid="{25CD312C-877D-4AF3-B81D-5ABB588BE9B1}"/>
    <cellStyle name="Normal 4 2 4 3 2 5 3 4" xfId="41910" xr:uid="{AB831217-B7CA-4487-89A5-652E04F802FC}"/>
    <cellStyle name="Normal 4 2 4 3 2 5 3 5" xfId="15716" xr:uid="{575A3182-6D55-4E3E-89F8-B97C8DD0B026}"/>
    <cellStyle name="Normal 4 2 4 3 2 5 4" xfId="20799" xr:uid="{3C303082-BF94-40BC-B824-97AF8E931FDC}"/>
    <cellStyle name="Normal 4 2 4 3 2 5 5" xfId="29246" xr:uid="{8E17445A-F7CC-45BB-B176-EB737FB9E5EB}"/>
    <cellStyle name="Normal 4 2 4 3 2 5 6" xfId="37693" xr:uid="{1E955DB2-0FE1-4C6C-AC61-ECBA4BD98F62}"/>
    <cellStyle name="Normal 4 2 4 3 2 5 7" xfId="11499" xr:uid="{F4559001-1D2D-4161-9CEE-0D15DB8E1D06}"/>
    <cellStyle name="Normal 4 2 4 3 2 6" xfId="2520" xr:uid="{00000000-0005-0000-0000-00008F130000}"/>
    <cellStyle name="Normal 4 2 4 3 2 6 2" xfId="6803" xr:uid="{00000000-0005-0000-0000-000090130000}"/>
    <cellStyle name="Normal 4 2 4 3 2 6 2 2" xfId="25429" xr:uid="{46041AA6-694C-4E9B-A0D7-97183EFC1956}"/>
    <cellStyle name="Normal 4 2 4 3 2 6 2 3" xfId="33876" xr:uid="{56F650B6-177B-4247-B5D1-81CA753F758F}"/>
    <cellStyle name="Normal 4 2 4 3 2 6 2 4" xfId="42323" xr:uid="{CA6C60D8-354C-4C43-B35B-F796ACDF5283}"/>
    <cellStyle name="Normal 4 2 4 3 2 6 2 5" xfId="16129" xr:uid="{694CDB6B-ACD9-40EC-A8C6-2A7BA117D1E4}"/>
    <cellStyle name="Normal 4 2 4 3 2 6 3" xfId="21212" xr:uid="{6CFFC571-4DD4-418C-AB53-A0F782BB3DF6}"/>
    <cellStyle name="Normal 4 2 4 3 2 6 4" xfId="29659" xr:uid="{22ECE049-7EEA-46BA-9E28-D30677557B04}"/>
    <cellStyle name="Normal 4 2 4 3 2 6 5" xfId="38106" xr:uid="{A6C08051-120B-4E0B-B0EF-0949012DAE73}"/>
    <cellStyle name="Normal 4 2 4 3 2 6 6" xfId="11912" xr:uid="{1143589E-1B0C-4D9A-90EE-F551C1190E3E}"/>
    <cellStyle name="Normal 4 2 4 3 2 7" xfId="4738" xr:uid="{00000000-0005-0000-0000-000091130000}"/>
    <cellStyle name="Normal 4 2 4 3 2 7 2" xfId="23364" xr:uid="{411B1FC0-8DC8-46EA-B5B9-5D0DA5178DB0}"/>
    <cellStyle name="Normal 4 2 4 3 2 7 3" xfId="31811" xr:uid="{7F07633E-5148-4CD2-AB92-651CF10377F5}"/>
    <cellStyle name="Normal 4 2 4 3 2 7 4" xfId="40258" xr:uid="{EF06C296-F79C-407F-9AC0-4264EB5B2EDF}"/>
    <cellStyle name="Normal 4 2 4 3 2 7 5" xfId="14064" xr:uid="{A6E241AC-0DA6-495C-A392-62D77BA431DC}"/>
    <cellStyle name="Normal 4 2 4 3 2 8" xfId="9085" xr:uid="{0181E53C-86DC-4588-8447-D559FCF01541}"/>
    <cellStyle name="Normal 4 2 4 3 2 8 2" xfId="18409" xr:uid="{14CB7772-84E8-472E-852A-52696998EC4A}"/>
    <cellStyle name="Normal 4 2 4 3 2 9" xfId="19147" xr:uid="{A5E5D6C4-1A74-4F82-A0A4-A20B0056BB85}"/>
    <cellStyle name="Normal 4 2 4 3 3" xfId="836" xr:uid="{00000000-0005-0000-0000-000092130000}"/>
    <cellStyle name="Normal 4 2 4 3 3 2" xfId="3073" xr:uid="{00000000-0005-0000-0000-000093130000}"/>
    <cellStyle name="Normal 4 2 4 3 3 2 2" xfId="7295" xr:uid="{00000000-0005-0000-0000-000094130000}"/>
    <cellStyle name="Normal 4 2 4 3 3 2 2 2" xfId="25921" xr:uid="{C3ED8F12-5CE7-446C-A7CB-FEDB5EE6AFD0}"/>
    <cellStyle name="Normal 4 2 4 3 3 2 2 3" xfId="34368" xr:uid="{D05B3D10-6B93-41B7-B413-1E3DBEEE6DC7}"/>
    <cellStyle name="Normal 4 2 4 3 3 2 2 4" xfId="42815" xr:uid="{8B790ABD-637E-4E35-BB51-DE434DE34DD6}"/>
    <cellStyle name="Normal 4 2 4 3 3 2 2 5" xfId="16621" xr:uid="{486A503E-1B44-4D48-8882-BB8DABB59E36}"/>
    <cellStyle name="Normal 4 2 4 3 3 2 3" xfId="21704" xr:uid="{C8F8D947-1AF4-4CB9-8B11-7D12B49752C0}"/>
    <cellStyle name="Normal 4 2 4 3 3 2 4" xfId="30151" xr:uid="{5397649A-DA13-4CD7-AA5B-F1AE6C8130B6}"/>
    <cellStyle name="Normal 4 2 4 3 3 2 5" xfId="38598" xr:uid="{5E76E44D-E19C-44B4-B441-8C0744F2B69F}"/>
    <cellStyle name="Normal 4 2 4 3 3 2 6" xfId="12404" xr:uid="{74BC8CB7-BA78-422D-A84A-5DF422E62074}"/>
    <cellStyle name="Normal 4 2 4 3 3 3" xfId="5150" xr:uid="{00000000-0005-0000-0000-000095130000}"/>
    <cellStyle name="Normal 4 2 4 3 3 3 2" xfId="23776" xr:uid="{C7C41404-6A98-46F4-A973-7EB37D536120}"/>
    <cellStyle name="Normal 4 2 4 3 3 3 3" xfId="32223" xr:uid="{C5D07CD4-CD9F-4D6D-BB3A-F2E8782D27FE}"/>
    <cellStyle name="Normal 4 2 4 3 3 3 4" xfId="40670" xr:uid="{24C04435-7FD0-4175-A3CA-5693C6BC4EA5}"/>
    <cellStyle name="Normal 4 2 4 3 3 3 5" xfId="14476" xr:uid="{7F64D9DC-7757-499C-B84C-7D56B7B97AC1}"/>
    <cellStyle name="Normal 4 2 4 3 3 4" xfId="9303" xr:uid="{51CE977A-E9B9-47DD-B6CE-3ECF34A578F1}"/>
    <cellStyle name="Normal 4 2 4 3 3 4 2" xfId="18619" xr:uid="{FC51F22C-1345-4BC3-B051-4C4A9FFFA71A}"/>
    <cellStyle name="Normal 4 2 4 3 3 5" xfId="19559" xr:uid="{C1D4CBB6-0A62-451D-A78F-D0DD85938F35}"/>
    <cellStyle name="Normal 4 2 4 3 3 6" xfId="28006" xr:uid="{5448796B-1FC1-4BC2-A96D-CD64B78037E4}"/>
    <cellStyle name="Normal 4 2 4 3 3 7" xfId="36453" xr:uid="{F2994555-988B-478F-829A-C8D6CA5D2B0F}"/>
    <cellStyle name="Normal 4 2 4 3 3 8" xfId="10259" xr:uid="{820265AC-AA85-4BBB-9DF5-2CB240FD9F92}"/>
    <cellStyle name="Normal 4 2 4 3 4" xfId="1256" xr:uid="{00000000-0005-0000-0000-000096130000}"/>
    <cellStyle name="Normal 4 2 4 3 4 2" xfId="3486" xr:uid="{00000000-0005-0000-0000-000097130000}"/>
    <cellStyle name="Normal 4 2 4 3 4 2 2" xfId="7708" xr:uid="{00000000-0005-0000-0000-000098130000}"/>
    <cellStyle name="Normal 4 2 4 3 4 2 2 2" xfId="26334" xr:uid="{F6A38C2E-593A-41C7-9103-8E745DBD8701}"/>
    <cellStyle name="Normal 4 2 4 3 4 2 2 3" xfId="34781" xr:uid="{9950DCE9-5746-43B9-8008-E00B9973A443}"/>
    <cellStyle name="Normal 4 2 4 3 4 2 2 4" xfId="43228" xr:uid="{5D585950-0EB6-402E-9BD8-307AE8A3095B}"/>
    <cellStyle name="Normal 4 2 4 3 4 2 2 5" xfId="17034" xr:uid="{B78E3926-3949-49BE-98E1-94564F48E14A}"/>
    <cellStyle name="Normal 4 2 4 3 4 2 3" xfId="22117" xr:uid="{6815471F-B5EF-4686-AAEE-D31327C0B871}"/>
    <cellStyle name="Normal 4 2 4 3 4 2 4" xfId="30564" xr:uid="{F77EA376-1740-4C56-A7DB-327396730D0B}"/>
    <cellStyle name="Normal 4 2 4 3 4 2 5" xfId="39011" xr:uid="{345598D8-6477-48B0-9B17-734EE45EBE73}"/>
    <cellStyle name="Normal 4 2 4 3 4 2 6" xfId="12817" xr:uid="{30D4BDFB-DC8C-4577-A70C-FA3EC5ECBD21}"/>
    <cellStyle name="Normal 4 2 4 3 4 3" xfId="5563" xr:uid="{00000000-0005-0000-0000-000099130000}"/>
    <cellStyle name="Normal 4 2 4 3 4 3 2" xfId="24189" xr:uid="{17D77298-5D85-49AC-AF2E-4F049A5FF9F9}"/>
    <cellStyle name="Normal 4 2 4 3 4 3 3" xfId="32636" xr:uid="{45B45A85-105F-4EFA-B5E6-EADE2F66C408}"/>
    <cellStyle name="Normal 4 2 4 3 4 3 4" xfId="41083" xr:uid="{3EE5917F-A085-4927-8681-32884A54D3ED}"/>
    <cellStyle name="Normal 4 2 4 3 4 3 5" xfId="14889" xr:uid="{3AAC336E-0506-4D6D-8E92-EF6C63FE01F5}"/>
    <cellStyle name="Normal 4 2 4 3 4 4" xfId="19972" xr:uid="{F7B6758A-1655-4FDF-9B72-C664C1C92FE3}"/>
    <cellStyle name="Normal 4 2 4 3 4 5" xfId="28419" xr:uid="{7FCB750A-87F4-4420-B24C-DB3E968A5CC8}"/>
    <cellStyle name="Normal 4 2 4 3 4 6" xfId="36866" xr:uid="{03452D4A-415F-49AC-8A4C-45B404AA4B66}"/>
    <cellStyle name="Normal 4 2 4 3 4 7" xfId="10672" xr:uid="{09C5213A-0CBD-4CC3-B619-326DADD5D389}"/>
    <cellStyle name="Normal 4 2 4 3 5" xfId="1669" xr:uid="{00000000-0005-0000-0000-00009A130000}"/>
    <cellStyle name="Normal 4 2 4 3 5 2" xfId="3899" xr:uid="{00000000-0005-0000-0000-00009B130000}"/>
    <cellStyle name="Normal 4 2 4 3 5 2 2" xfId="8121" xr:uid="{00000000-0005-0000-0000-00009C130000}"/>
    <cellStyle name="Normal 4 2 4 3 5 2 2 2" xfId="26747" xr:uid="{85C929FF-31DB-4750-9A14-B32F649E8254}"/>
    <cellStyle name="Normal 4 2 4 3 5 2 2 3" xfId="35194" xr:uid="{BC698AFD-ECDD-4284-A3E8-DD363FCD5475}"/>
    <cellStyle name="Normal 4 2 4 3 5 2 2 4" xfId="43641" xr:uid="{E7C2CC53-904F-401B-AC6B-24C231193F9B}"/>
    <cellStyle name="Normal 4 2 4 3 5 2 2 5" xfId="17447" xr:uid="{EA476AD8-E28A-4862-9972-134811334C59}"/>
    <cellStyle name="Normal 4 2 4 3 5 2 3" xfId="22530" xr:uid="{D8ECC3A4-42F7-4EAB-A28B-D435992E357E}"/>
    <cellStyle name="Normal 4 2 4 3 5 2 4" xfId="30977" xr:uid="{7BFE7197-61A2-439E-9F9C-D1D0DE35A015}"/>
    <cellStyle name="Normal 4 2 4 3 5 2 5" xfId="39424" xr:uid="{AABE3202-F023-433D-8BE6-3552E5B142E1}"/>
    <cellStyle name="Normal 4 2 4 3 5 2 6" xfId="13230" xr:uid="{EFE6E4D7-7F1E-429D-8222-D6CEB39425D1}"/>
    <cellStyle name="Normal 4 2 4 3 5 3" xfId="5976" xr:uid="{00000000-0005-0000-0000-00009D130000}"/>
    <cellStyle name="Normal 4 2 4 3 5 3 2" xfId="24602" xr:uid="{21B93114-B46C-4243-8515-20E6AD2CE7E4}"/>
    <cellStyle name="Normal 4 2 4 3 5 3 3" xfId="33049" xr:uid="{A6F003A1-14C8-4DAE-B779-A16218B05DFA}"/>
    <cellStyle name="Normal 4 2 4 3 5 3 4" xfId="41496" xr:uid="{4759D036-0EB5-4108-B356-8327A3D07287}"/>
    <cellStyle name="Normal 4 2 4 3 5 3 5" xfId="15302" xr:uid="{B2D6497E-124A-4046-A980-D39E7380E032}"/>
    <cellStyle name="Normal 4 2 4 3 5 4" xfId="20385" xr:uid="{BF90C1B8-249E-4D35-8580-CFA5500509B3}"/>
    <cellStyle name="Normal 4 2 4 3 5 5" xfId="28832" xr:uid="{CECED9D9-4AEE-4159-AF3A-AB2C9778E4A2}"/>
    <cellStyle name="Normal 4 2 4 3 5 6" xfId="37279" xr:uid="{F9E3EF70-F070-4D60-84E0-7A0E68DD2AC1}"/>
    <cellStyle name="Normal 4 2 4 3 5 7" xfId="11085" xr:uid="{FC3AE55A-F451-46C8-BFD9-9BBCF4754408}"/>
    <cellStyle name="Normal 4 2 4 3 6" xfId="2083" xr:uid="{00000000-0005-0000-0000-00009E130000}"/>
    <cellStyle name="Normal 4 2 4 3 6 2" xfId="4312" xr:uid="{00000000-0005-0000-0000-00009F130000}"/>
    <cellStyle name="Normal 4 2 4 3 6 2 2" xfId="8534" xr:uid="{00000000-0005-0000-0000-0000A0130000}"/>
    <cellStyle name="Normal 4 2 4 3 6 2 2 2" xfId="27160" xr:uid="{18E25BF4-F5B7-46E5-85AD-062A636AC78B}"/>
    <cellStyle name="Normal 4 2 4 3 6 2 2 3" xfId="35607" xr:uid="{61EF1C96-C3BD-4A74-A411-886365468400}"/>
    <cellStyle name="Normal 4 2 4 3 6 2 2 4" xfId="44054" xr:uid="{7FBD7C69-DF0C-4213-A1D2-1B5234C34905}"/>
    <cellStyle name="Normal 4 2 4 3 6 2 2 5" xfId="17860" xr:uid="{324E71CB-E755-4947-87F3-78CE1794D3D1}"/>
    <cellStyle name="Normal 4 2 4 3 6 2 3" xfId="22943" xr:uid="{A427B88C-1E6D-4711-BE2D-99482A0D1D98}"/>
    <cellStyle name="Normal 4 2 4 3 6 2 4" xfId="31390" xr:uid="{EA4B5117-5DD4-47AE-B9B8-F487784DE09B}"/>
    <cellStyle name="Normal 4 2 4 3 6 2 5" xfId="39837" xr:uid="{513E258C-3552-43B2-A8F8-988225117232}"/>
    <cellStyle name="Normal 4 2 4 3 6 2 6" xfId="13643" xr:uid="{06B702F2-A06C-4551-BDDB-BA38F1315423}"/>
    <cellStyle name="Normal 4 2 4 3 6 3" xfId="6389" xr:uid="{00000000-0005-0000-0000-0000A1130000}"/>
    <cellStyle name="Normal 4 2 4 3 6 3 2" xfId="25015" xr:uid="{0AF58C5C-D698-4C59-9D49-16A98D572901}"/>
    <cellStyle name="Normal 4 2 4 3 6 3 3" xfId="33462" xr:uid="{F46085D1-A0BE-49C3-8DC6-771BF8FB8CB6}"/>
    <cellStyle name="Normal 4 2 4 3 6 3 4" xfId="41909" xr:uid="{995FB0B1-F84A-4552-9182-9E76A1967AFA}"/>
    <cellStyle name="Normal 4 2 4 3 6 3 5" xfId="15715" xr:uid="{B1D497EC-9CB4-4508-A695-3ADDFF9E8165}"/>
    <cellStyle name="Normal 4 2 4 3 6 4" xfId="20798" xr:uid="{A3D8DED2-464A-486E-8A87-C6005C6CEC77}"/>
    <cellStyle name="Normal 4 2 4 3 6 5" xfId="29245" xr:uid="{1875F7E9-E187-42F8-ADBB-F6242785B7ED}"/>
    <cellStyle name="Normal 4 2 4 3 6 6" xfId="37692" xr:uid="{0C947600-9F51-489B-9114-B4E30E0BF329}"/>
    <cellStyle name="Normal 4 2 4 3 6 7" xfId="11498" xr:uid="{C72B44F8-310D-4FD4-BC3B-CC89849AA108}"/>
    <cellStyle name="Normal 4 2 4 3 7" xfId="2519" xr:uid="{00000000-0005-0000-0000-0000A2130000}"/>
    <cellStyle name="Normal 4 2 4 3 7 2" xfId="6802" xr:uid="{00000000-0005-0000-0000-0000A3130000}"/>
    <cellStyle name="Normal 4 2 4 3 7 2 2" xfId="25428" xr:uid="{F456195F-CDAF-43FD-86E1-01D8761E8C59}"/>
    <cellStyle name="Normal 4 2 4 3 7 2 3" xfId="33875" xr:uid="{B82309F8-2658-402E-BD70-5F1A559B4653}"/>
    <cellStyle name="Normal 4 2 4 3 7 2 4" xfId="42322" xr:uid="{4F184F1A-A664-42F6-B14B-3F6612DBC53A}"/>
    <cellStyle name="Normal 4 2 4 3 7 2 5" xfId="16128" xr:uid="{98E70AD5-A94B-4955-9CAB-F2EAE9B89453}"/>
    <cellStyle name="Normal 4 2 4 3 7 3" xfId="21211" xr:uid="{3A0FCB21-A019-433B-A0A5-234851AD880F}"/>
    <cellStyle name="Normal 4 2 4 3 7 4" xfId="29658" xr:uid="{4D414A6E-80A7-4D06-94BF-F66140ED4C53}"/>
    <cellStyle name="Normal 4 2 4 3 7 5" xfId="38105" xr:uid="{8286A81D-4BB9-4F58-93BF-2BC4CEAB4D3E}"/>
    <cellStyle name="Normal 4 2 4 3 7 6" xfId="11911" xr:uid="{BADEFCE6-10A9-46FC-831F-27882CE4B7E2}"/>
    <cellStyle name="Normal 4 2 4 3 8" xfId="4737" xr:uid="{00000000-0005-0000-0000-0000A4130000}"/>
    <cellStyle name="Normal 4 2 4 3 8 2" xfId="23363" xr:uid="{D7AFA1D7-82ED-4D90-A896-A65B190D9927}"/>
    <cellStyle name="Normal 4 2 4 3 8 3" xfId="31810" xr:uid="{84164311-D342-45D5-9C33-44EE8C565E2D}"/>
    <cellStyle name="Normal 4 2 4 3 8 4" xfId="40257" xr:uid="{10EBCFAD-5CFF-4609-A2F6-8D51E8F02330}"/>
    <cellStyle name="Normal 4 2 4 3 8 5" xfId="14063" xr:uid="{CD6388FA-4298-422C-9148-54AD23556719}"/>
    <cellStyle name="Normal 4 2 4 3 9" xfId="8878" xr:uid="{B73EE68A-BBFC-4E7A-B773-E14FCCFC8837}"/>
    <cellStyle name="Normal 4 2 4 3 9 2" xfId="18202" xr:uid="{DEFBDD6B-D1B8-4EC9-96CF-886D3EEE3CFE}"/>
    <cellStyle name="Normal 4 2 4 4" xfId="362" xr:uid="{00000000-0005-0000-0000-0000A5130000}"/>
    <cellStyle name="Normal 4 2 4 4 10" xfId="27595" xr:uid="{EA08C1AF-01A1-44F3-BEBA-7041C6B1140D}"/>
    <cellStyle name="Normal 4 2 4 4 11" xfId="36042" xr:uid="{2C4E2A69-26F4-4825-AF50-F45BE44E1F56}"/>
    <cellStyle name="Normal 4 2 4 4 12" xfId="9848" xr:uid="{DD6E3797-1781-42A1-9F74-D4C9D586892E}"/>
    <cellStyle name="Normal 4 2 4 4 2" xfId="838" xr:uid="{00000000-0005-0000-0000-0000A6130000}"/>
    <cellStyle name="Normal 4 2 4 4 2 2" xfId="3075" xr:uid="{00000000-0005-0000-0000-0000A7130000}"/>
    <cellStyle name="Normal 4 2 4 4 2 2 2" xfId="7297" xr:uid="{00000000-0005-0000-0000-0000A8130000}"/>
    <cellStyle name="Normal 4 2 4 4 2 2 2 2" xfId="25923" xr:uid="{9B46E26E-F1EA-4457-9A7C-9E5E060A2D25}"/>
    <cellStyle name="Normal 4 2 4 4 2 2 2 3" xfId="34370" xr:uid="{FE177BDF-CEEC-4381-8723-7B44546D73D9}"/>
    <cellStyle name="Normal 4 2 4 4 2 2 2 4" xfId="42817" xr:uid="{C19B4723-521D-43D8-9F05-F2EC5D02F252}"/>
    <cellStyle name="Normal 4 2 4 4 2 2 2 5" xfId="16623" xr:uid="{744A3F1C-73D3-40F7-85FC-BB3D70F1FE46}"/>
    <cellStyle name="Normal 4 2 4 4 2 2 3" xfId="21706" xr:uid="{37E27B0B-4350-408A-ABBC-2F8B81101301}"/>
    <cellStyle name="Normal 4 2 4 4 2 2 4" xfId="30153" xr:uid="{AE7920B4-B73D-4950-96D8-3BEA47814ADB}"/>
    <cellStyle name="Normal 4 2 4 4 2 2 5" xfId="38600" xr:uid="{93B662F1-E7CD-4B57-B67A-2B3F127F0989}"/>
    <cellStyle name="Normal 4 2 4 4 2 2 6" xfId="12406" xr:uid="{87315D62-AB80-4DE7-9A6F-DB0640FD18E5}"/>
    <cellStyle name="Normal 4 2 4 4 2 3" xfId="5152" xr:uid="{00000000-0005-0000-0000-0000A9130000}"/>
    <cellStyle name="Normal 4 2 4 4 2 3 2" xfId="23778" xr:uid="{EB205465-1D6B-476F-BE93-C6F693135898}"/>
    <cellStyle name="Normal 4 2 4 4 2 3 3" xfId="32225" xr:uid="{9314C062-C240-48E8-B6F1-324991257DDE}"/>
    <cellStyle name="Normal 4 2 4 4 2 3 4" xfId="40672" xr:uid="{F47A6518-AD9B-4265-B225-72FB0FD70BF1}"/>
    <cellStyle name="Normal 4 2 4 4 2 3 5" xfId="14478" xr:uid="{9BCB54BB-5DCD-4665-90DC-72C1918ED4BF}"/>
    <cellStyle name="Normal 4 2 4 4 2 4" xfId="9407" xr:uid="{5D8D6A7A-388E-41EC-80E9-28307FA015D6}"/>
    <cellStyle name="Normal 4 2 4 4 2 4 2" xfId="18723" xr:uid="{76A79D91-6DFB-419D-B97D-A09395F0BF39}"/>
    <cellStyle name="Normal 4 2 4 4 2 5" xfId="19561" xr:uid="{15F044C8-87CA-4CDC-A66F-8475AD39FA1B}"/>
    <cellStyle name="Normal 4 2 4 4 2 6" xfId="28008" xr:uid="{4297CC7C-1C76-45D5-95F6-33AA12CE5387}"/>
    <cellStyle name="Normal 4 2 4 4 2 7" xfId="36455" xr:uid="{647D4D30-4F7F-446C-95CC-6C78A03ADBC9}"/>
    <cellStyle name="Normal 4 2 4 4 2 8" xfId="10261" xr:uid="{BD6C9DFE-2614-4B7B-9A14-792F824BC4C5}"/>
    <cellStyle name="Normal 4 2 4 4 3" xfId="1258" xr:uid="{00000000-0005-0000-0000-0000AA130000}"/>
    <cellStyle name="Normal 4 2 4 4 3 2" xfId="3488" xr:uid="{00000000-0005-0000-0000-0000AB130000}"/>
    <cellStyle name="Normal 4 2 4 4 3 2 2" xfId="7710" xr:uid="{00000000-0005-0000-0000-0000AC130000}"/>
    <cellStyle name="Normal 4 2 4 4 3 2 2 2" xfId="26336" xr:uid="{46A1AE77-DAB9-46C0-9048-083A9593742A}"/>
    <cellStyle name="Normal 4 2 4 4 3 2 2 3" xfId="34783" xr:uid="{5F34294A-26CF-4A97-AA64-5CA3214FEC4B}"/>
    <cellStyle name="Normal 4 2 4 4 3 2 2 4" xfId="43230" xr:uid="{22612163-630F-49D6-AAF9-0806BA178F70}"/>
    <cellStyle name="Normal 4 2 4 4 3 2 2 5" xfId="17036" xr:uid="{D0DDDABB-8BDE-40B1-81B1-D9F84FF77AD8}"/>
    <cellStyle name="Normal 4 2 4 4 3 2 3" xfId="22119" xr:uid="{6A96F7E1-5847-4CB9-8647-179F0FFAF0DF}"/>
    <cellStyle name="Normal 4 2 4 4 3 2 4" xfId="30566" xr:uid="{0AD1A632-737D-4B6A-982F-0571A7ADCD7E}"/>
    <cellStyle name="Normal 4 2 4 4 3 2 5" xfId="39013" xr:uid="{F1C9B7F4-00CD-4709-A651-C21FC474A818}"/>
    <cellStyle name="Normal 4 2 4 4 3 2 6" xfId="12819" xr:uid="{F0E48983-07DC-4C3D-AD88-548C378D7028}"/>
    <cellStyle name="Normal 4 2 4 4 3 3" xfId="5565" xr:uid="{00000000-0005-0000-0000-0000AD130000}"/>
    <cellStyle name="Normal 4 2 4 4 3 3 2" xfId="24191" xr:uid="{82867339-4D4F-466D-BC3B-5744EE4BCB2E}"/>
    <cellStyle name="Normal 4 2 4 4 3 3 3" xfId="32638" xr:uid="{998DBFED-05C1-42A4-B9E1-5BF6195A11E5}"/>
    <cellStyle name="Normal 4 2 4 4 3 3 4" xfId="41085" xr:uid="{2220C978-A31A-4EE4-AA5F-302FDCE8BC56}"/>
    <cellStyle name="Normal 4 2 4 4 3 3 5" xfId="14891" xr:uid="{A785B670-7939-4FE8-AB14-A3B1DCAD50BD}"/>
    <cellStyle name="Normal 4 2 4 4 3 4" xfId="19974" xr:uid="{6820DE82-F289-42D0-B7BB-748996FFDA60}"/>
    <cellStyle name="Normal 4 2 4 4 3 5" xfId="28421" xr:uid="{D6639D6C-1BA7-4739-870A-EC0D71136C93}"/>
    <cellStyle name="Normal 4 2 4 4 3 6" xfId="36868" xr:uid="{0A774581-4E09-4F99-B4FB-803E3B3CE232}"/>
    <cellStyle name="Normal 4 2 4 4 3 7" xfId="10674" xr:uid="{FE13230C-2346-4784-A48E-03EB96E84AC2}"/>
    <cellStyle name="Normal 4 2 4 4 4" xfId="1671" xr:uid="{00000000-0005-0000-0000-0000AE130000}"/>
    <cellStyle name="Normal 4 2 4 4 4 2" xfId="3901" xr:uid="{00000000-0005-0000-0000-0000AF130000}"/>
    <cellStyle name="Normal 4 2 4 4 4 2 2" xfId="8123" xr:uid="{00000000-0005-0000-0000-0000B0130000}"/>
    <cellStyle name="Normal 4 2 4 4 4 2 2 2" xfId="26749" xr:uid="{7E3E70F3-6B4B-4B9C-B59F-D9FA2166CAB1}"/>
    <cellStyle name="Normal 4 2 4 4 4 2 2 3" xfId="35196" xr:uid="{9BF80A14-2B57-4D89-85C8-C5C3534E1769}"/>
    <cellStyle name="Normal 4 2 4 4 4 2 2 4" xfId="43643" xr:uid="{0A53AFD2-9CBE-488B-B61B-0F0224E67A51}"/>
    <cellStyle name="Normal 4 2 4 4 4 2 2 5" xfId="17449" xr:uid="{4B9149BD-70B5-4C99-BC11-2F0B58891D73}"/>
    <cellStyle name="Normal 4 2 4 4 4 2 3" xfId="22532" xr:uid="{F548E9FB-39D6-4C67-A03A-9DDAB71F0313}"/>
    <cellStyle name="Normal 4 2 4 4 4 2 4" xfId="30979" xr:uid="{017FE607-752E-405C-ACA4-CE48CDC3D38D}"/>
    <cellStyle name="Normal 4 2 4 4 4 2 5" xfId="39426" xr:uid="{5FC920E9-B46E-4FDC-9679-B3400DC2C667}"/>
    <cellStyle name="Normal 4 2 4 4 4 2 6" xfId="13232" xr:uid="{902EC8F8-A7E9-4CD8-9487-406DECF4C084}"/>
    <cellStyle name="Normal 4 2 4 4 4 3" xfId="5978" xr:uid="{00000000-0005-0000-0000-0000B1130000}"/>
    <cellStyle name="Normal 4 2 4 4 4 3 2" xfId="24604" xr:uid="{08451157-5806-4EB3-B034-EBA1ABC0AC4F}"/>
    <cellStyle name="Normal 4 2 4 4 4 3 3" xfId="33051" xr:uid="{285D9D65-A30F-4548-9EAE-1ED1420D12B6}"/>
    <cellStyle name="Normal 4 2 4 4 4 3 4" xfId="41498" xr:uid="{CF578BED-67A9-4915-AE52-39A3B0F91982}"/>
    <cellStyle name="Normal 4 2 4 4 4 3 5" xfId="15304" xr:uid="{15B6D95A-017A-42BD-BDFE-22C8E0871D4F}"/>
    <cellStyle name="Normal 4 2 4 4 4 4" xfId="20387" xr:uid="{F67A9BAB-5D80-4C9F-A4D6-4B4B8472FE37}"/>
    <cellStyle name="Normal 4 2 4 4 4 5" xfId="28834" xr:uid="{BE3A4D9F-16E2-422C-AC24-87C01258AA0A}"/>
    <cellStyle name="Normal 4 2 4 4 4 6" xfId="37281" xr:uid="{09A6E275-47D4-4999-8671-C0649111F2EE}"/>
    <cellStyle name="Normal 4 2 4 4 4 7" xfId="11087" xr:uid="{2E12C378-CC9A-4A1A-A9B0-65AB5A7B5D31}"/>
    <cellStyle name="Normal 4 2 4 4 5" xfId="2085" xr:uid="{00000000-0005-0000-0000-0000B2130000}"/>
    <cellStyle name="Normal 4 2 4 4 5 2" xfId="4314" xr:uid="{00000000-0005-0000-0000-0000B3130000}"/>
    <cellStyle name="Normal 4 2 4 4 5 2 2" xfId="8536" xr:uid="{00000000-0005-0000-0000-0000B4130000}"/>
    <cellStyle name="Normal 4 2 4 4 5 2 2 2" xfId="27162" xr:uid="{5855611D-155F-48F1-9828-D28A56BCCA7C}"/>
    <cellStyle name="Normal 4 2 4 4 5 2 2 3" xfId="35609" xr:uid="{8DEEB515-049E-4DAC-A1A0-4482D94AA554}"/>
    <cellStyle name="Normal 4 2 4 4 5 2 2 4" xfId="44056" xr:uid="{16DB9578-29B6-4721-A4CE-BE5839579E2F}"/>
    <cellStyle name="Normal 4 2 4 4 5 2 2 5" xfId="17862" xr:uid="{9ADC9334-4E02-4414-B4DA-8C2CA9D6DD73}"/>
    <cellStyle name="Normal 4 2 4 4 5 2 3" xfId="22945" xr:uid="{21F8251B-E305-4854-8FAE-56927F3BA532}"/>
    <cellStyle name="Normal 4 2 4 4 5 2 4" xfId="31392" xr:uid="{355972F6-5DFE-463A-AB8A-709A0E8CE43A}"/>
    <cellStyle name="Normal 4 2 4 4 5 2 5" xfId="39839" xr:uid="{73A07788-97C6-4A00-9200-5152930F2461}"/>
    <cellStyle name="Normal 4 2 4 4 5 2 6" xfId="13645" xr:uid="{760A68AF-C465-4D0F-8368-5091ED330E0A}"/>
    <cellStyle name="Normal 4 2 4 4 5 3" xfId="6391" xr:uid="{00000000-0005-0000-0000-0000B5130000}"/>
    <cellStyle name="Normal 4 2 4 4 5 3 2" xfId="25017" xr:uid="{BA062A3E-B3A7-4495-8ED2-EDF5EAE2AE5B}"/>
    <cellStyle name="Normal 4 2 4 4 5 3 3" xfId="33464" xr:uid="{D8BD2480-F8CA-42E8-83F4-6C02194340F6}"/>
    <cellStyle name="Normal 4 2 4 4 5 3 4" xfId="41911" xr:uid="{D05A6CF2-8876-47FC-B7D0-B5C8113E7C53}"/>
    <cellStyle name="Normal 4 2 4 4 5 3 5" xfId="15717" xr:uid="{900BA308-F178-4E60-8588-4A33A4EE89CD}"/>
    <cellStyle name="Normal 4 2 4 4 5 4" xfId="20800" xr:uid="{407F9CF8-FCC1-45CA-9FFD-C11FFC8520C1}"/>
    <cellStyle name="Normal 4 2 4 4 5 5" xfId="29247" xr:uid="{7440D83C-3840-4FF1-BB06-42C037B7F130}"/>
    <cellStyle name="Normal 4 2 4 4 5 6" xfId="37694" xr:uid="{924B9809-AA02-4BF3-B5E3-ACDA29E2E84A}"/>
    <cellStyle name="Normal 4 2 4 4 5 7" xfId="11500" xr:uid="{145425B9-F6BB-48FC-81AD-D094BE2121D4}"/>
    <cellStyle name="Normal 4 2 4 4 6" xfId="2521" xr:uid="{00000000-0005-0000-0000-0000B6130000}"/>
    <cellStyle name="Normal 4 2 4 4 6 2" xfId="6804" xr:uid="{00000000-0005-0000-0000-0000B7130000}"/>
    <cellStyle name="Normal 4 2 4 4 6 2 2" xfId="25430" xr:uid="{3D103BA8-1363-4749-B510-4453E8CC23BE}"/>
    <cellStyle name="Normal 4 2 4 4 6 2 3" xfId="33877" xr:uid="{72EEBA4D-049A-415E-B367-9F9107AD3436}"/>
    <cellStyle name="Normal 4 2 4 4 6 2 4" xfId="42324" xr:uid="{D21A0350-68D6-4A98-9B3C-2F20242C44F4}"/>
    <cellStyle name="Normal 4 2 4 4 6 2 5" xfId="16130" xr:uid="{39C00CBD-59C4-4730-9637-EF458E76B55F}"/>
    <cellStyle name="Normal 4 2 4 4 6 3" xfId="21213" xr:uid="{0EFA46AF-4236-4207-BAD6-FFC0DFD1759F}"/>
    <cellStyle name="Normal 4 2 4 4 6 4" xfId="29660" xr:uid="{9ADD22F9-EB69-46D0-839C-D369BA216B42}"/>
    <cellStyle name="Normal 4 2 4 4 6 5" xfId="38107" xr:uid="{9B7D81BB-B717-48AC-81AA-F91203144905}"/>
    <cellStyle name="Normal 4 2 4 4 6 6" xfId="11913" xr:uid="{CD1C8759-D5EC-4305-850A-0105DB583D9D}"/>
    <cellStyle name="Normal 4 2 4 4 7" xfId="4739" xr:uid="{00000000-0005-0000-0000-0000B8130000}"/>
    <cellStyle name="Normal 4 2 4 4 7 2" xfId="23365" xr:uid="{53A5C21F-E922-40E9-8F09-099C10C768BE}"/>
    <cellStyle name="Normal 4 2 4 4 7 3" xfId="31812" xr:uid="{E3C46335-F697-450E-8B1F-73C47230540A}"/>
    <cellStyle name="Normal 4 2 4 4 7 4" xfId="40259" xr:uid="{90423F1D-8BBB-46CA-B21B-BEB091A6A7C6}"/>
    <cellStyle name="Normal 4 2 4 4 7 5" xfId="14065" xr:uid="{3C9D1203-ACB2-40B5-80E1-DFC8BD3D05C1}"/>
    <cellStyle name="Normal 4 2 4 4 8" xfId="8982" xr:uid="{4C273C9B-E12E-4EF2-812F-666600229207}"/>
    <cellStyle name="Normal 4 2 4 4 8 2" xfId="18306" xr:uid="{10AD666F-C91D-4E65-B58F-115C3E467639}"/>
    <cellStyle name="Normal 4 2 4 4 9" xfId="19148" xr:uid="{3810FFED-CD04-46B6-ADBA-7668D310E2C4}"/>
    <cellStyle name="Normal 4 2 4 5" xfId="831" xr:uid="{00000000-0005-0000-0000-0000B9130000}"/>
    <cellStyle name="Normal 4 2 4 5 2" xfId="3068" xr:uid="{00000000-0005-0000-0000-0000BA130000}"/>
    <cellStyle name="Normal 4 2 4 5 2 2" xfId="7290" xr:uid="{00000000-0005-0000-0000-0000BB130000}"/>
    <cellStyle name="Normal 4 2 4 5 2 2 2" xfId="25916" xr:uid="{1C946AB0-0D04-4D58-A760-17E7FFC058DB}"/>
    <cellStyle name="Normal 4 2 4 5 2 2 3" xfId="34363" xr:uid="{7B69AA32-073D-46A6-8741-F74F8DAC5200}"/>
    <cellStyle name="Normal 4 2 4 5 2 2 4" xfId="42810" xr:uid="{6A32735A-D0EB-42B7-8963-B311CF6D6EC6}"/>
    <cellStyle name="Normal 4 2 4 5 2 2 5" xfId="16616" xr:uid="{37DD2C61-89BB-4B37-B438-231412264D9B}"/>
    <cellStyle name="Normal 4 2 4 5 2 3" xfId="21699" xr:uid="{D5CDBDF8-C136-4FC4-9389-C5D3070AE5C4}"/>
    <cellStyle name="Normal 4 2 4 5 2 4" xfId="30146" xr:uid="{C70A681D-B45D-41B7-AEE6-26562291455F}"/>
    <cellStyle name="Normal 4 2 4 5 2 5" xfId="38593" xr:uid="{CC7FE1FC-5713-454C-A5CB-8E2044AFBBBF}"/>
    <cellStyle name="Normal 4 2 4 5 2 6" xfId="12399" xr:uid="{D9A2C749-A8D0-4ED7-A5E2-BD3B7409136B}"/>
    <cellStyle name="Normal 4 2 4 5 3" xfId="5145" xr:uid="{00000000-0005-0000-0000-0000BC130000}"/>
    <cellStyle name="Normal 4 2 4 5 3 2" xfId="23771" xr:uid="{6647DD0E-9526-49C5-A538-9C15EB2BD53A}"/>
    <cellStyle name="Normal 4 2 4 5 3 3" xfId="32218" xr:uid="{12243D4E-5FE2-47A5-A87A-52EF258E9CE6}"/>
    <cellStyle name="Normal 4 2 4 5 3 4" xfId="40665" xr:uid="{CE07C05C-8473-419B-9B87-497837F51051}"/>
    <cellStyle name="Normal 4 2 4 5 3 5" xfId="14471" xr:uid="{635D9EF8-7AF1-412B-88A6-47D7CAF86AD2}"/>
    <cellStyle name="Normal 4 2 4 5 4" xfId="9199" xr:uid="{1A9A2DC3-2FEA-4A30-A92C-84708E9B2741}"/>
    <cellStyle name="Normal 4 2 4 5 4 2" xfId="18516" xr:uid="{8A89B571-0690-4384-9241-1842B7EFD955}"/>
    <cellStyle name="Normal 4 2 4 5 5" xfId="19554" xr:uid="{301461CF-5D45-4B93-A47A-7DF61FF0FEDC}"/>
    <cellStyle name="Normal 4 2 4 5 6" xfId="28001" xr:uid="{10F27041-3E83-4824-B2A2-4E8DC97CBEC3}"/>
    <cellStyle name="Normal 4 2 4 5 7" xfId="36448" xr:uid="{B857AA8D-C7E2-40D7-80CE-936931D05C8A}"/>
    <cellStyle name="Normal 4 2 4 5 8" xfId="10254" xr:uid="{E7903803-DDCE-4ED2-B4F0-BC97BBD9796B}"/>
    <cellStyle name="Normal 4 2 4 6" xfId="1251" xr:uid="{00000000-0005-0000-0000-0000BD130000}"/>
    <cellStyle name="Normal 4 2 4 6 2" xfId="3481" xr:uid="{00000000-0005-0000-0000-0000BE130000}"/>
    <cellStyle name="Normal 4 2 4 6 2 2" xfId="7703" xr:uid="{00000000-0005-0000-0000-0000BF130000}"/>
    <cellStyle name="Normal 4 2 4 6 2 2 2" xfId="26329" xr:uid="{9578583D-54F1-4151-AAD0-9FAE04EE09E3}"/>
    <cellStyle name="Normal 4 2 4 6 2 2 3" xfId="34776" xr:uid="{CE930527-2358-4A10-94D1-E9223DDF2D08}"/>
    <cellStyle name="Normal 4 2 4 6 2 2 4" xfId="43223" xr:uid="{69D1F2E0-C2E6-45C2-A1BE-05BA179DF549}"/>
    <cellStyle name="Normal 4 2 4 6 2 2 5" xfId="17029" xr:uid="{1DC98C1A-C767-494E-9A63-6945C425A1F8}"/>
    <cellStyle name="Normal 4 2 4 6 2 3" xfId="22112" xr:uid="{1229B5A2-3D04-4E55-A806-02E9F8C6DB5C}"/>
    <cellStyle name="Normal 4 2 4 6 2 4" xfId="30559" xr:uid="{2C825006-E89B-482C-8F96-9C74260FAD32}"/>
    <cellStyle name="Normal 4 2 4 6 2 5" xfId="39006" xr:uid="{E28AC28D-FD7B-4F8F-A7B1-035A57872A73}"/>
    <cellStyle name="Normal 4 2 4 6 2 6" xfId="12812" xr:uid="{377D7A65-1D62-42F1-8A58-B5B3B0CE7D7E}"/>
    <cellStyle name="Normal 4 2 4 6 3" xfId="5558" xr:uid="{00000000-0005-0000-0000-0000C0130000}"/>
    <cellStyle name="Normal 4 2 4 6 3 2" xfId="24184" xr:uid="{36828AB0-EB7E-41C5-A6D0-5AAA90DDE87D}"/>
    <cellStyle name="Normal 4 2 4 6 3 3" xfId="32631" xr:uid="{BBBE114D-7E06-449A-B375-2A0596EB0088}"/>
    <cellStyle name="Normal 4 2 4 6 3 4" xfId="41078" xr:uid="{EDD78076-412C-4278-8A6C-BFE70796CF1E}"/>
    <cellStyle name="Normal 4 2 4 6 3 5" xfId="14884" xr:uid="{865D9D71-7279-40D7-A124-C5B40451B403}"/>
    <cellStyle name="Normal 4 2 4 6 4" xfId="19967" xr:uid="{C3F53D83-65A6-4C34-81EA-F69C3311F217}"/>
    <cellStyle name="Normal 4 2 4 6 5" xfId="28414" xr:uid="{FCF8B5F0-892A-40C0-8D25-85436C681C36}"/>
    <cellStyle name="Normal 4 2 4 6 6" xfId="36861" xr:uid="{88CBA5B4-0ACC-4D5A-9AAD-1E52ABAFC3D6}"/>
    <cellStyle name="Normal 4 2 4 6 7" xfId="10667" xr:uid="{622BBC22-4098-4058-B519-F3AE5732EB02}"/>
    <cellStyle name="Normal 4 2 4 7" xfId="1664" xr:uid="{00000000-0005-0000-0000-0000C1130000}"/>
    <cellStyle name="Normal 4 2 4 7 2" xfId="3894" xr:uid="{00000000-0005-0000-0000-0000C2130000}"/>
    <cellStyle name="Normal 4 2 4 7 2 2" xfId="8116" xr:uid="{00000000-0005-0000-0000-0000C3130000}"/>
    <cellStyle name="Normal 4 2 4 7 2 2 2" xfId="26742" xr:uid="{4DC010A9-2A10-49FB-9361-B4F190BCABE2}"/>
    <cellStyle name="Normal 4 2 4 7 2 2 3" xfId="35189" xr:uid="{FA895C06-91BC-4495-99C2-8B50EB9BE841}"/>
    <cellStyle name="Normal 4 2 4 7 2 2 4" xfId="43636" xr:uid="{E599325B-C8BB-4B26-9355-84183B7B827D}"/>
    <cellStyle name="Normal 4 2 4 7 2 2 5" xfId="17442" xr:uid="{E410DF85-9366-4A7B-A836-CA08CAA8B3DF}"/>
    <cellStyle name="Normal 4 2 4 7 2 3" xfId="22525" xr:uid="{5DB8BA52-A069-42AE-995F-582A508DDC7B}"/>
    <cellStyle name="Normal 4 2 4 7 2 4" xfId="30972" xr:uid="{F2EEDD06-AEDC-413B-A0FC-8990032A63C5}"/>
    <cellStyle name="Normal 4 2 4 7 2 5" xfId="39419" xr:uid="{4524AA9F-EF97-4E49-8E64-E723C4D3232C}"/>
    <cellStyle name="Normal 4 2 4 7 2 6" xfId="13225" xr:uid="{BC7297AA-06CC-4F77-B986-5DB2717429C2}"/>
    <cellStyle name="Normal 4 2 4 7 3" xfId="5971" xr:uid="{00000000-0005-0000-0000-0000C4130000}"/>
    <cellStyle name="Normal 4 2 4 7 3 2" xfId="24597" xr:uid="{3239F446-431E-421D-AFFF-F8E19E5438BB}"/>
    <cellStyle name="Normal 4 2 4 7 3 3" xfId="33044" xr:uid="{F8ABAD19-84F5-4294-85EC-BF669AD713A0}"/>
    <cellStyle name="Normal 4 2 4 7 3 4" xfId="41491" xr:uid="{1CDDE2DA-A237-4D55-9BEE-2EF81CB39E3A}"/>
    <cellStyle name="Normal 4 2 4 7 3 5" xfId="15297" xr:uid="{583F6BAD-3E87-428E-B83D-DC764A83ADF9}"/>
    <cellStyle name="Normal 4 2 4 7 4" xfId="20380" xr:uid="{84C7B2AC-271A-4D7A-B554-1207C2315E0C}"/>
    <cellStyle name="Normal 4 2 4 7 5" xfId="28827" xr:uid="{529FCD09-5579-4674-87AF-4FCD5E1D286E}"/>
    <cellStyle name="Normal 4 2 4 7 6" xfId="37274" xr:uid="{B86E3AB3-125B-496F-B558-7E59B784D013}"/>
    <cellStyle name="Normal 4 2 4 7 7" xfId="11080" xr:uid="{6DD4A407-EA42-46B1-A5FF-BBAA470ECE18}"/>
    <cellStyle name="Normal 4 2 4 8" xfId="2078" xr:uid="{00000000-0005-0000-0000-0000C5130000}"/>
    <cellStyle name="Normal 4 2 4 8 2" xfId="4307" xr:uid="{00000000-0005-0000-0000-0000C6130000}"/>
    <cellStyle name="Normal 4 2 4 8 2 2" xfId="8529" xr:uid="{00000000-0005-0000-0000-0000C7130000}"/>
    <cellStyle name="Normal 4 2 4 8 2 2 2" xfId="27155" xr:uid="{7C8459BD-7C67-4C0B-B380-2007CCCDE313}"/>
    <cellStyle name="Normal 4 2 4 8 2 2 3" xfId="35602" xr:uid="{2D511B97-4257-4CC2-8CC0-6E56AF003EC4}"/>
    <cellStyle name="Normal 4 2 4 8 2 2 4" xfId="44049" xr:uid="{701A06BC-9152-4E1E-99B8-654307EFB4FA}"/>
    <cellStyle name="Normal 4 2 4 8 2 2 5" xfId="17855" xr:uid="{2A04EE6E-E63D-4627-896F-E68600A7231F}"/>
    <cellStyle name="Normal 4 2 4 8 2 3" xfId="22938" xr:uid="{F2F8D699-7631-45AA-842D-D66EF7BFE5B7}"/>
    <cellStyle name="Normal 4 2 4 8 2 4" xfId="31385" xr:uid="{BBE53931-3D97-432F-9245-CD924A30CF08}"/>
    <cellStyle name="Normal 4 2 4 8 2 5" xfId="39832" xr:uid="{AAB7B00B-CBE1-40B0-B474-9ABBBFA474AC}"/>
    <cellStyle name="Normal 4 2 4 8 2 6" xfId="13638" xr:uid="{A4F2F587-FBE0-4CBA-837E-F9A81A9AF6CC}"/>
    <cellStyle name="Normal 4 2 4 8 3" xfId="6384" xr:uid="{00000000-0005-0000-0000-0000C8130000}"/>
    <cellStyle name="Normal 4 2 4 8 3 2" xfId="25010" xr:uid="{84F97EB7-2220-4085-B1FD-4648E07B40CF}"/>
    <cellStyle name="Normal 4 2 4 8 3 3" xfId="33457" xr:uid="{5CFC1686-4DD1-4D36-902D-BF22FAB3FFF9}"/>
    <cellStyle name="Normal 4 2 4 8 3 4" xfId="41904" xr:uid="{C4C6E17E-B3B9-418F-BA99-46268E5BA197}"/>
    <cellStyle name="Normal 4 2 4 8 3 5" xfId="15710" xr:uid="{BB1E2C05-5D9C-4BEB-8D38-C59DE561661B}"/>
    <cellStyle name="Normal 4 2 4 8 4" xfId="20793" xr:uid="{8597B5A8-A63B-416F-BF7E-477BAAC481E2}"/>
    <cellStyle name="Normal 4 2 4 8 5" xfId="29240" xr:uid="{3BC22953-03BE-4D35-95F1-5B91AC22DE77}"/>
    <cellStyle name="Normal 4 2 4 8 6" xfId="37687" xr:uid="{6C09A622-A8EB-4193-8878-622F80FF3336}"/>
    <cellStyle name="Normal 4 2 4 8 7" xfId="11493" xr:uid="{D96A4D14-1E4D-4D47-8DDE-CC0F31C73475}"/>
    <cellStyle name="Normal 4 2 4 9" xfId="2514" xr:uid="{00000000-0005-0000-0000-0000C9130000}"/>
    <cellStyle name="Normal 4 2 4 9 2" xfId="6797" xr:uid="{00000000-0005-0000-0000-0000CA130000}"/>
    <cellStyle name="Normal 4 2 4 9 2 2" xfId="25423" xr:uid="{CAB4C920-688F-4EB3-8408-8C271CF6725B}"/>
    <cellStyle name="Normal 4 2 4 9 2 3" xfId="33870" xr:uid="{85E7DBFC-F840-4305-8D18-C64BDA1FD2B7}"/>
    <cellStyle name="Normal 4 2 4 9 2 4" xfId="42317" xr:uid="{C06EF7E4-7312-4C1A-9B5B-4DFCACFA647D}"/>
    <cellStyle name="Normal 4 2 4 9 2 5" xfId="16123" xr:uid="{BD7A73E5-DE45-484E-A390-7A0B19AFE3F5}"/>
    <cellStyle name="Normal 4 2 4 9 3" xfId="21206" xr:uid="{BD89D5DC-589A-4994-94B2-063C3BD6AFB6}"/>
    <cellStyle name="Normal 4 2 4 9 4" xfId="29653" xr:uid="{68259603-3D9E-4CBB-9409-316D909A07D4}"/>
    <cellStyle name="Normal 4 2 4 9 5" xfId="38100" xr:uid="{8184E20F-0B15-4A9E-86AB-A237D85A67EB}"/>
    <cellStyle name="Normal 4 2 4 9 6" xfId="11906" xr:uid="{FB20064B-7078-41D4-80EE-3A03D7D97242}"/>
    <cellStyle name="Normal 4 2 5" xfId="363" xr:uid="{00000000-0005-0000-0000-0000CB130000}"/>
    <cellStyle name="Normal 4 2 5 10" xfId="19149" xr:uid="{9DD8EA2A-4F0F-4630-B384-20E7ED4DE5FF}"/>
    <cellStyle name="Normal 4 2 5 11" xfId="27596" xr:uid="{C82E0530-BBA0-44E9-8090-BBCAA6B8232A}"/>
    <cellStyle name="Normal 4 2 5 12" xfId="36043" xr:uid="{7D4162CE-12EB-418B-BA3E-FD9E7D58BE8F}"/>
    <cellStyle name="Normal 4 2 5 13" xfId="9849" xr:uid="{B188E754-BA5A-46B9-9C67-3535249DBD23}"/>
    <cellStyle name="Normal 4 2 5 2" xfId="364" xr:uid="{00000000-0005-0000-0000-0000CC130000}"/>
    <cellStyle name="Normal 4 2 5 2 10" xfId="27597" xr:uid="{FCF8BF18-57A9-4B87-8F1E-49B02E19D600}"/>
    <cellStyle name="Normal 4 2 5 2 11" xfId="36044" xr:uid="{03F47686-FB10-405B-8219-B509B0FE00E4}"/>
    <cellStyle name="Normal 4 2 5 2 12" xfId="9850" xr:uid="{5C8A4936-5150-4606-9BEE-5EBB9E45F868}"/>
    <cellStyle name="Normal 4 2 5 2 2" xfId="840" xr:uid="{00000000-0005-0000-0000-0000CD130000}"/>
    <cellStyle name="Normal 4 2 5 2 2 2" xfId="3077" xr:uid="{00000000-0005-0000-0000-0000CE130000}"/>
    <cellStyle name="Normal 4 2 5 2 2 2 2" xfId="7299" xr:uid="{00000000-0005-0000-0000-0000CF130000}"/>
    <cellStyle name="Normal 4 2 5 2 2 2 2 2" xfId="25925" xr:uid="{52907510-7646-4BB7-8BF9-3058A49164A4}"/>
    <cellStyle name="Normal 4 2 5 2 2 2 2 3" xfId="34372" xr:uid="{FF432C3A-0842-4AAB-A3A6-FC90C65441BF}"/>
    <cellStyle name="Normal 4 2 5 2 2 2 2 4" xfId="42819" xr:uid="{C71E5A35-D19D-4EC8-B4ED-F475AF7751A5}"/>
    <cellStyle name="Normal 4 2 5 2 2 2 2 5" xfId="16625" xr:uid="{2AB6EE77-406F-491B-9565-3A8F53C83C66}"/>
    <cellStyle name="Normal 4 2 5 2 2 2 3" xfId="21708" xr:uid="{FB619639-39CF-44AB-BDA4-774A4079EF50}"/>
    <cellStyle name="Normal 4 2 5 2 2 2 4" xfId="30155" xr:uid="{1BF50C34-45BC-4C21-AC70-8190E5CAB5FE}"/>
    <cellStyle name="Normal 4 2 5 2 2 2 5" xfId="38602" xr:uid="{676A73F2-8A59-4BE5-A7FC-042A4ECB31B7}"/>
    <cellStyle name="Normal 4 2 5 2 2 2 6" xfId="12408" xr:uid="{655E7747-1006-4B49-B35B-B982F80F3C31}"/>
    <cellStyle name="Normal 4 2 5 2 2 3" xfId="5154" xr:uid="{00000000-0005-0000-0000-0000D0130000}"/>
    <cellStyle name="Normal 4 2 5 2 2 3 2" xfId="23780" xr:uid="{E81BFF23-F7FE-46E0-9B2A-02938A53B4DC}"/>
    <cellStyle name="Normal 4 2 5 2 2 3 3" xfId="32227" xr:uid="{5611617A-B80F-487A-9938-3609DDFE4EC6}"/>
    <cellStyle name="Normal 4 2 5 2 2 3 4" xfId="40674" xr:uid="{24292499-051D-4248-AEAA-A76F7CD19560}"/>
    <cellStyle name="Normal 4 2 5 2 2 3 5" xfId="14480" xr:uid="{E017969F-CC13-4E01-BD5B-D5AD3FB59708}"/>
    <cellStyle name="Normal 4 2 5 2 2 4" xfId="9478" xr:uid="{9FEAEEC2-067D-4244-BB0F-0858128140EB}"/>
    <cellStyle name="Normal 4 2 5 2 2 4 2" xfId="18794" xr:uid="{1621CE83-E32F-4330-9B77-238FCF326564}"/>
    <cellStyle name="Normal 4 2 5 2 2 5" xfId="19563" xr:uid="{365AAA93-7B56-411A-8036-02848940F29A}"/>
    <cellStyle name="Normal 4 2 5 2 2 6" xfId="28010" xr:uid="{2869094F-FE24-41D4-8BF9-250F1265D3A3}"/>
    <cellStyle name="Normal 4 2 5 2 2 7" xfId="36457" xr:uid="{BE961506-0B6C-4B31-8A31-259138872EB2}"/>
    <cellStyle name="Normal 4 2 5 2 2 8" xfId="10263" xr:uid="{7F4FE852-8513-4632-86F8-40AF3B158F53}"/>
    <cellStyle name="Normal 4 2 5 2 3" xfId="1260" xr:uid="{00000000-0005-0000-0000-0000D1130000}"/>
    <cellStyle name="Normal 4 2 5 2 3 2" xfId="3490" xr:uid="{00000000-0005-0000-0000-0000D2130000}"/>
    <cellStyle name="Normal 4 2 5 2 3 2 2" xfId="7712" xr:uid="{00000000-0005-0000-0000-0000D3130000}"/>
    <cellStyle name="Normal 4 2 5 2 3 2 2 2" xfId="26338" xr:uid="{52234F2C-A66B-4A03-9255-5834F483B947}"/>
    <cellStyle name="Normal 4 2 5 2 3 2 2 3" xfId="34785" xr:uid="{473E2771-D6DC-4AE4-8E4B-EAEFD527897F}"/>
    <cellStyle name="Normal 4 2 5 2 3 2 2 4" xfId="43232" xr:uid="{0E97641A-94F1-48C2-8571-DC636D13D0FF}"/>
    <cellStyle name="Normal 4 2 5 2 3 2 2 5" xfId="17038" xr:uid="{3BD3F72B-0122-4ADB-B2D0-2C26400E6EED}"/>
    <cellStyle name="Normal 4 2 5 2 3 2 3" xfId="22121" xr:uid="{1C2C7ADF-403D-4823-B7D4-34CD09179B12}"/>
    <cellStyle name="Normal 4 2 5 2 3 2 4" xfId="30568" xr:uid="{F83820C1-026B-4117-8CBC-6CD060793112}"/>
    <cellStyle name="Normal 4 2 5 2 3 2 5" xfId="39015" xr:uid="{53084B48-B47D-4658-83F0-D5637B256595}"/>
    <cellStyle name="Normal 4 2 5 2 3 2 6" xfId="12821" xr:uid="{40B36957-C8E2-4FF4-B6CC-391416FE9037}"/>
    <cellStyle name="Normal 4 2 5 2 3 3" xfId="5567" xr:uid="{00000000-0005-0000-0000-0000D4130000}"/>
    <cellStyle name="Normal 4 2 5 2 3 3 2" xfId="24193" xr:uid="{A07EC677-C1B1-4E63-93DD-566FD1361663}"/>
    <cellStyle name="Normal 4 2 5 2 3 3 3" xfId="32640" xr:uid="{B53F150C-CE7E-456D-9B86-426C566660CE}"/>
    <cellStyle name="Normal 4 2 5 2 3 3 4" xfId="41087" xr:uid="{19D65BFB-4AD0-42C9-8E08-2CF774D7B6EF}"/>
    <cellStyle name="Normal 4 2 5 2 3 3 5" xfId="14893" xr:uid="{DCB528DF-2508-45AF-9A02-94448E0FA846}"/>
    <cellStyle name="Normal 4 2 5 2 3 4" xfId="19976" xr:uid="{6273746E-3AA7-40E8-8F84-3993EB9D99FD}"/>
    <cellStyle name="Normal 4 2 5 2 3 5" xfId="28423" xr:uid="{8E5D2EEE-5BE5-4DB4-8461-02871CDCCA8D}"/>
    <cellStyle name="Normal 4 2 5 2 3 6" xfId="36870" xr:uid="{2E999A59-F843-4A14-8735-E24D8B22C5F7}"/>
    <cellStyle name="Normal 4 2 5 2 3 7" xfId="10676" xr:uid="{C4DA0E05-41DF-4F41-B999-A1DEA2C83079}"/>
    <cellStyle name="Normal 4 2 5 2 4" xfId="1673" xr:uid="{00000000-0005-0000-0000-0000D5130000}"/>
    <cellStyle name="Normal 4 2 5 2 4 2" xfId="3903" xr:uid="{00000000-0005-0000-0000-0000D6130000}"/>
    <cellStyle name="Normal 4 2 5 2 4 2 2" xfId="8125" xr:uid="{00000000-0005-0000-0000-0000D7130000}"/>
    <cellStyle name="Normal 4 2 5 2 4 2 2 2" xfId="26751" xr:uid="{EF0A07AC-C36F-4B9F-9B12-E1914A625DA5}"/>
    <cellStyle name="Normal 4 2 5 2 4 2 2 3" xfId="35198" xr:uid="{31C85944-FE1A-499F-821E-271D3D2888FE}"/>
    <cellStyle name="Normal 4 2 5 2 4 2 2 4" xfId="43645" xr:uid="{0C2C0B60-4173-4B8E-8C86-985E85615914}"/>
    <cellStyle name="Normal 4 2 5 2 4 2 2 5" xfId="17451" xr:uid="{EE7688F0-26EA-4158-861A-1373139A50FD}"/>
    <cellStyle name="Normal 4 2 5 2 4 2 3" xfId="22534" xr:uid="{8CB77AF1-F960-4360-B9A1-559CDF0A6667}"/>
    <cellStyle name="Normal 4 2 5 2 4 2 4" xfId="30981" xr:uid="{5F8A40B9-801B-4BD5-8FBF-AA44D75E0EE3}"/>
    <cellStyle name="Normal 4 2 5 2 4 2 5" xfId="39428" xr:uid="{1E318A61-46A9-4659-AD0C-6BC5F9E84E2C}"/>
    <cellStyle name="Normal 4 2 5 2 4 2 6" xfId="13234" xr:uid="{A9686E6E-B28F-453F-915C-9AA086C6FA21}"/>
    <cellStyle name="Normal 4 2 5 2 4 3" xfId="5980" xr:uid="{00000000-0005-0000-0000-0000D8130000}"/>
    <cellStyle name="Normal 4 2 5 2 4 3 2" xfId="24606" xr:uid="{CF14C603-E316-4006-B2E2-591A5798BE19}"/>
    <cellStyle name="Normal 4 2 5 2 4 3 3" xfId="33053" xr:uid="{283F2554-FCF1-4FC9-A450-82FB6FACCFD9}"/>
    <cellStyle name="Normal 4 2 5 2 4 3 4" xfId="41500" xr:uid="{3FCF0493-95F7-417B-91EB-22EB53CE7CD7}"/>
    <cellStyle name="Normal 4 2 5 2 4 3 5" xfId="15306" xr:uid="{24C1E98C-AD43-4CE9-BCDC-133C4EC7F5AC}"/>
    <cellStyle name="Normal 4 2 5 2 4 4" xfId="20389" xr:uid="{62AD6EB5-AFE9-4E65-B491-66AA34A04CC3}"/>
    <cellStyle name="Normal 4 2 5 2 4 5" xfId="28836" xr:uid="{ADD4EA06-CD19-4971-952F-4A53B4CD7240}"/>
    <cellStyle name="Normal 4 2 5 2 4 6" xfId="37283" xr:uid="{21D0EF21-FAF2-4B18-A366-037700DB866C}"/>
    <cellStyle name="Normal 4 2 5 2 4 7" xfId="11089" xr:uid="{F96E8B3C-3718-48F6-8255-FEA7BA5DE3D9}"/>
    <cellStyle name="Normal 4 2 5 2 5" xfId="2087" xr:uid="{00000000-0005-0000-0000-0000D9130000}"/>
    <cellStyle name="Normal 4 2 5 2 5 2" xfId="4316" xr:uid="{00000000-0005-0000-0000-0000DA130000}"/>
    <cellStyle name="Normal 4 2 5 2 5 2 2" xfId="8538" xr:uid="{00000000-0005-0000-0000-0000DB130000}"/>
    <cellStyle name="Normal 4 2 5 2 5 2 2 2" xfId="27164" xr:uid="{E385E28D-FD38-4481-9B97-3EED675BD115}"/>
    <cellStyle name="Normal 4 2 5 2 5 2 2 3" xfId="35611" xr:uid="{F75080BA-B2FB-4FB6-AA5E-D2568D5CD6AE}"/>
    <cellStyle name="Normal 4 2 5 2 5 2 2 4" xfId="44058" xr:uid="{CD7F5174-0C4E-4B99-AB7B-DBF243DA4068}"/>
    <cellStyle name="Normal 4 2 5 2 5 2 2 5" xfId="17864" xr:uid="{3C9EC55E-8A78-4A0B-B5BF-D1C0E0527F98}"/>
    <cellStyle name="Normal 4 2 5 2 5 2 3" xfId="22947" xr:uid="{6663C726-936B-44A4-9A5E-58D97ABDE547}"/>
    <cellStyle name="Normal 4 2 5 2 5 2 4" xfId="31394" xr:uid="{9FDEAF42-C97B-445B-A5D2-D3D4666EF0EC}"/>
    <cellStyle name="Normal 4 2 5 2 5 2 5" xfId="39841" xr:uid="{FF6BEA64-D81C-453F-810E-CF98BEEFDC6C}"/>
    <cellStyle name="Normal 4 2 5 2 5 2 6" xfId="13647" xr:uid="{B8F7E296-2AEE-4A77-BC10-9AE21D7EBDEF}"/>
    <cellStyle name="Normal 4 2 5 2 5 3" xfId="6393" xr:uid="{00000000-0005-0000-0000-0000DC130000}"/>
    <cellStyle name="Normal 4 2 5 2 5 3 2" xfId="25019" xr:uid="{8EAFE6D4-001A-4D5C-98BD-A39FC8D0579C}"/>
    <cellStyle name="Normal 4 2 5 2 5 3 3" xfId="33466" xr:uid="{E5F6BFD6-988A-40B9-8ED3-389713759FA0}"/>
    <cellStyle name="Normal 4 2 5 2 5 3 4" xfId="41913" xr:uid="{4319922E-6714-4D38-A1C0-D0867F17C2E4}"/>
    <cellStyle name="Normal 4 2 5 2 5 3 5" xfId="15719" xr:uid="{9440D855-D766-45A0-AB08-54EDC5E15BDA}"/>
    <cellStyle name="Normal 4 2 5 2 5 4" xfId="20802" xr:uid="{76D9BBD7-B01C-4408-8EFD-A14DC3A6D655}"/>
    <cellStyle name="Normal 4 2 5 2 5 5" xfId="29249" xr:uid="{DFF43365-769D-4E75-AC74-2F6F8D24D075}"/>
    <cellStyle name="Normal 4 2 5 2 5 6" xfId="37696" xr:uid="{9016C4A1-0FCD-464C-901D-8D94654EB942}"/>
    <cellStyle name="Normal 4 2 5 2 5 7" xfId="11502" xr:uid="{29B438D5-C67C-477F-89D2-8B49BC468F07}"/>
    <cellStyle name="Normal 4 2 5 2 6" xfId="2523" xr:uid="{00000000-0005-0000-0000-0000DD130000}"/>
    <cellStyle name="Normal 4 2 5 2 6 2" xfId="6806" xr:uid="{00000000-0005-0000-0000-0000DE130000}"/>
    <cellStyle name="Normal 4 2 5 2 6 2 2" xfId="25432" xr:uid="{AB1DFA31-6B00-4C25-A1E1-58C867B2433A}"/>
    <cellStyle name="Normal 4 2 5 2 6 2 3" xfId="33879" xr:uid="{759BCB4C-BE3D-4342-A2E6-855438559555}"/>
    <cellStyle name="Normal 4 2 5 2 6 2 4" xfId="42326" xr:uid="{25D1A7A2-B2F1-4989-AFCE-AFD791EA3CEC}"/>
    <cellStyle name="Normal 4 2 5 2 6 2 5" xfId="16132" xr:uid="{F2B92008-5363-461A-9ECB-F50CE808F3D3}"/>
    <cellStyle name="Normal 4 2 5 2 6 3" xfId="21215" xr:uid="{30508B2E-467B-4AAC-8061-A7B15CDD0350}"/>
    <cellStyle name="Normal 4 2 5 2 6 4" xfId="29662" xr:uid="{3335B378-C90D-4A88-BD8B-9C35C6B59983}"/>
    <cellStyle name="Normal 4 2 5 2 6 5" xfId="38109" xr:uid="{E9A2C7A7-7153-47D2-95DB-E8D4D70D0AFE}"/>
    <cellStyle name="Normal 4 2 5 2 6 6" xfId="11915" xr:uid="{BF085228-DD20-40E2-B294-7A001172B996}"/>
    <cellStyle name="Normal 4 2 5 2 7" xfId="4741" xr:uid="{00000000-0005-0000-0000-0000DF130000}"/>
    <cellStyle name="Normal 4 2 5 2 7 2" xfId="23367" xr:uid="{BA61DC80-A6B0-4034-B83D-51748B5E0F6F}"/>
    <cellStyle name="Normal 4 2 5 2 7 3" xfId="31814" xr:uid="{884F1BB7-1B89-40ED-AB1F-579C8F46F428}"/>
    <cellStyle name="Normal 4 2 5 2 7 4" xfId="40261" xr:uid="{5545BD86-B1A7-4DF1-A9E0-B6ACB03C77C3}"/>
    <cellStyle name="Normal 4 2 5 2 7 5" xfId="14067" xr:uid="{EDBD89FC-D34E-4063-BA12-4A8474B1FF19}"/>
    <cellStyle name="Normal 4 2 5 2 8" xfId="9053" xr:uid="{0AE18A98-D9E6-47B9-86B0-DDAD3BC77B48}"/>
    <cellStyle name="Normal 4 2 5 2 8 2" xfId="18377" xr:uid="{123947B9-D6D1-4C66-9ED5-CB4E157574F1}"/>
    <cellStyle name="Normal 4 2 5 2 9" xfId="19150" xr:uid="{46FEA38A-0991-4F43-9983-8037B64A566D}"/>
    <cellStyle name="Normal 4 2 5 3" xfId="839" xr:uid="{00000000-0005-0000-0000-0000E0130000}"/>
    <cellStyle name="Normal 4 2 5 3 2" xfId="3076" xr:uid="{00000000-0005-0000-0000-0000E1130000}"/>
    <cellStyle name="Normal 4 2 5 3 2 2" xfId="7298" xr:uid="{00000000-0005-0000-0000-0000E2130000}"/>
    <cellStyle name="Normal 4 2 5 3 2 2 2" xfId="25924" xr:uid="{4C8EFCD5-42B4-47E9-9784-DE39833E60EC}"/>
    <cellStyle name="Normal 4 2 5 3 2 2 3" xfId="34371" xr:uid="{8CAAFC7D-D2BA-471D-A738-FB00F39F5921}"/>
    <cellStyle name="Normal 4 2 5 3 2 2 4" xfId="42818" xr:uid="{238F3931-F51B-43FA-9ED7-D8D8D6F6605B}"/>
    <cellStyle name="Normal 4 2 5 3 2 2 5" xfId="16624" xr:uid="{2A05D8F2-BC92-4172-A10E-1D5F8ECAC1BA}"/>
    <cellStyle name="Normal 4 2 5 3 2 3" xfId="21707" xr:uid="{B3CFCFDA-4247-4588-978E-0825732560AF}"/>
    <cellStyle name="Normal 4 2 5 3 2 4" xfId="30154" xr:uid="{2F2F3580-40A6-4ACD-B416-503637D8A6E8}"/>
    <cellStyle name="Normal 4 2 5 3 2 5" xfId="38601" xr:uid="{7B4AD7A4-CAFC-49D9-85FA-9258C0C7C7D1}"/>
    <cellStyle name="Normal 4 2 5 3 2 6" xfId="12407" xr:uid="{23673030-8AE2-42BD-B77F-031D8710045E}"/>
    <cellStyle name="Normal 4 2 5 3 3" xfId="5153" xr:uid="{00000000-0005-0000-0000-0000E3130000}"/>
    <cellStyle name="Normal 4 2 5 3 3 2" xfId="23779" xr:uid="{4E4A3CAF-3F0A-43DE-A81F-AE3C9548F7E2}"/>
    <cellStyle name="Normal 4 2 5 3 3 3" xfId="32226" xr:uid="{A000408C-B289-4E46-AA10-083E441DFE0D}"/>
    <cellStyle name="Normal 4 2 5 3 3 4" xfId="40673" xr:uid="{46A5488A-EF9A-4A31-BF89-A77D6B0F060C}"/>
    <cellStyle name="Normal 4 2 5 3 3 5" xfId="14479" xr:uid="{81FC9B27-8D32-4BF2-A11E-F2AE845D85BE}"/>
    <cellStyle name="Normal 4 2 5 3 4" xfId="9271" xr:uid="{41AE7BB1-E3C7-48BD-B24F-55AE39E68BB6}"/>
    <cellStyle name="Normal 4 2 5 3 4 2" xfId="18587" xr:uid="{DB71E2D3-3576-4CD2-87F5-A77B7CAFBFAD}"/>
    <cellStyle name="Normal 4 2 5 3 5" xfId="19562" xr:uid="{5EA6B1C6-80F8-43B5-8CA7-DF244A0A4069}"/>
    <cellStyle name="Normal 4 2 5 3 6" xfId="28009" xr:uid="{0BA57F04-6CA8-4E1A-9F3C-6DFC9295B244}"/>
    <cellStyle name="Normal 4 2 5 3 7" xfId="36456" xr:uid="{E23C20C4-0DCE-4B93-99F5-BEE8D8E02497}"/>
    <cellStyle name="Normal 4 2 5 3 8" xfId="10262" xr:uid="{6CFB6714-E5BE-4EA5-8C41-5117F1457366}"/>
    <cellStyle name="Normal 4 2 5 4" xfId="1259" xr:uid="{00000000-0005-0000-0000-0000E4130000}"/>
    <cellStyle name="Normal 4 2 5 4 2" xfId="3489" xr:uid="{00000000-0005-0000-0000-0000E5130000}"/>
    <cellStyle name="Normal 4 2 5 4 2 2" xfId="7711" xr:uid="{00000000-0005-0000-0000-0000E6130000}"/>
    <cellStyle name="Normal 4 2 5 4 2 2 2" xfId="26337" xr:uid="{73DD6F44-7F01-48CB-89C4-CA54646C185B}"/>
    <cellStyle name="Normal 4 2 5 4 2 2 3" xfId="34784" xr:uid="{7C3A1F6B-9B8F-4876-973A-41ECAFAD4258}"/>
    <cellStyle name="Normal 4 2 5 4 2 2 4" xfId="43231" xr:uid="{73CF7C74-EBFE-47D5-AF2F-CEF321E9F685}"/>
    <cellStyle name="Normal 4 2 5 4 2 2 5" xfId="17037" xr:uid="{872F91C9-F49B-47D3-8B44-0098FB17B602}"/>
    <cellStyle name="Normal 4 2 5 4 2 3" xfId="22120" xr:uid="{EE031A69-C7C4-4C46-AAFC-815ED8A27B54}"/>
    <cellStyle name="Normal 4 2 5 4 2 4" xfId="30567" xr:uid="{4A9BBBEF-E97E-4012-8F49-725964DEC5CD}"/>
    <cellStyle name="Normal 4 2 5 4 2 5" xfId="39014" xr:uid="{D258FAF7-B1F2-49E2-B941-53558F5E9CDD}"/>
    <cellStyle name="Normal 4 2 5 4 2 6" xfId="12820" xr:uid="{CA1A1C74-821A-4757-8E2F-E4A3C56C0A11}"/>
    <cellStyle name="Normal 4 2 5 4 3" xfId="5566" xr:uid="{00000000-0005-0000-0000-0000E7130000}"/>
    <cellStyle name="Normal 4 2 5 4 3 2" xfId="24192" xr:uid="{F154BBE8-E435-4D1D-A3B1-BD2025089946}"/>
    <cellStyle name="Normal 4 2 5 4 3 3" xfId="32639" xr:uid="{60FDD3D9-765F-4921-9F24-7580336B9AFE}"/>
    <cellStyle name="Normal 4 2 5 4 3 4" xfId="41086" xr:uid="{69654B2B-6456-4396-A669-9C9A4AB53CF1}"/>
    <cellStyle name="Normal 4 2 5 4 3 5" xfId="14892" xr:uid="{3772DCB1-8AE5-47E3-AAA8-E3C42075D76B}"/>
    <cellStyle name="Normal 4 2 5 4 4" xfId="19975" xr:uid="{0BAD8D64-605B-483E-AE25-1493E43EECFE}"/>
    <cellStyle name="Normal 4 2 5 4 5" xfId="28422" xr:uid="{16B42419-708F-41E8-8BF5-011A7B990A4B}"/>
    <cellStyle name="Normal 4 2 5 4 6" xfId="36869" xr:uid="{5E893E40-A4F1-4CED-9300-BAC2B205461B}"/>
    <cellStyle name="Normal 4 2 5 4 7" xfId="10675" xr:uid="{9D2AD351-A43D-47F6-B4CF-C6FB1AB12138}"/>
    <cellStyle name="Normal 4 2 5 5" xfId="1672" xr:uid="{00000000-0005-0000-0000-0000E8130000}"/>
    <cellStyle name="Normal 4 2 5 5 2" xfId="3902" xr:uid="{00000000-0005-0000-0000-0000E9130000}"/>
    <cellStyle name="Normal 4 2 5 5 2 2" xfId="8124" xr:uid="{00000000-0005-0000-0000-0000EA130000}"/>
    <cellStyle name="Normal 4 2 5 5 2 2 2" xfId="26750" xr:uid="{478ED0E8-F8BE-4677-A0D1-BF39999F1D73}"/>
    <cellStyle name="Normal 4 2 5 5 2 2 3" xfId="35197" xr:uid="{4A6B0DC4-6020-4E77-BDC8-DF7B405DD824}"/>
    <cellStyle name="Normal 4 2 5 5 2 2 4" xfId="43644" xr:uid="{7DF06D03-E0A0-4E93-BBCC-39CEE62EEC55}"/>
    <cellStyle name="Normal 4 2 5 5 2 2 5" xfId="17450" xr:uid="{C31B431D-9AF9-4C6D-A6B0-1A4C36776A99}"/>
    <cellStyle name="Normal 4 2 5 5 2 3" xfId="22533" xr:uid="{FC8A3C03-01F2-4C76-86EA-A339681E0472}"/>
    <cellStyle name="Normal 4 2 5 5 2 4" xfId="30980" xr:uid="{9A077F11-EFF0-4CA1-A053-1D978579E8D9}"/>
    <cellStyle name="Normal 4 2 5 5 2 5" xfId="39427" xr:uid="{6DBF48C2-E76C-4A14-9A1C-6CF77B58A4BD}"/>
    <cellStyle name="Normal 4 2 5 5 2 6" xfId="13233" xr:uid="{869F3EC4-6A77-458D-8319-3E5921F9C748}"/>
    <cellStyle name="Normal 4 2 5 5 3" xfId="5979" xr:uid="{00000000-0005-0000-0000-0000EB130000}"/>
    <cellStyle name="Normal 4 2 5 5 3 2" xfId="24605" xr:uid="{50C173AB-389F-493B-B7C4-09ABDC8C8FEE}"/>
    <cellStyle name="Normal 4 2 5 5 3 3" xfId="33052" xr:uid="{812406E5-7C90-4146-A0DE-F23BBEFC631E}"/>
    <cellStyle name="Normal 4 2 5 5 3 4" xfId="41499" xr:uid="{CD13C8D4-C443-4064-B28A-3475AB3783E4}"/>
    <cellStyle name="Normal 4 2 5 5 3 5" xfId="15305" xr:uid="{883C539F-67B2-494C-BEBA-B6A82D18B282}"/>
    <cellStyle name="Normal 4 2 5 5 4" xfId="20388" xr:uid="{FD7779EF-26F7-4C2A-822E-81E3888A6AE8}"/>
    <cellStyle name="Normal 4 2 5 5 5" xfId="28835" xr:uid="{9EA3A876-037E-4FC5-8E01-D7F97911B917}"/>
    <cellStyle name="Normal 4 2 5 5 6" xfId="37282" xr:uid="{8DA29BFA-932E-4B7C-BE1E-B3DE29520EC6}"/>
    <cellStyle name="Normal 4 2 5 5 7" xfId="11088" xr:uid="{9E23D5FF-C300-49AB-8591-981240850C05}"/>
    <cellStyle name="Normal 4 2 5 6" xfId="2086" xr:uid="{00000000-0005-0000-0000-0000EC130000}"/>
    <cellStyle name="Normal 4 2 5 6 2" xfId="4315" xr:uid="{00000000-0005-0000-0000-0000ED130000}"/>
    <cellStyle name="Normal 4 2 5 6 2 2" xfId="8537" xr:uid="{00000000-0005-0000-0000-0000EE130000}"/>
    <cellStyle name="Normal 4 2 5 6 2 2 2" xfId="27163" xr:uid="{76B2FA33-F0CE-4086-AE50-06D2C89A105D}"/>
    <cellStyle name="Normal 4 2 5 6 2 2 3" xfId="35610" xr:uid="{F8596630-A538-4F94-8AFD-64CA28AD8973}"/>
    <cellStyle name="Normal 4 2 5 6 2 2 4" xfId="44057" xr:uid="{EE81FB9C-0282-41DA-AF4B-E76F143AF0AD}"/>
    <cellStyle name="Normal 4 2 5 6 2 2 5" xfId="17863" xr:uid="{D6C19E5D-41A2-4FD0-8F79-FCA4482C5363}"/>
    <cellStyle name="Normal 4 2 5 6 2 3" xfId="22946" xr:uid="{FCE97AD8-C579-4A83-9977-E714219090FF}"/>
    <cellStyle name="Normal 4 2 5 6 2 4" xfId="31393" xr:uid="{52656D44-B6AE-49C9-A925-83815B38E1EE}"/>
    <cellStyle name="Normal 4 2 5 6 2 5" xfId="39840" xr:uid="{221D5AA7-6538-461F-8DF0-31CA407C054F}"/>
    <cellStyle name="Normal 4 2 5 6 2 6" xfId="13646" xr:uid="{3F4BA12C-5E31-421C-BF53-7E89D4A96ADF}"/>
    <cellStyle name="Normal 4 2 5 6 3" xfId="6392" xr:uid="{00000000-0005-0000-0000-0000EF130000}"/>
    <cellStyle name="Normal 4 2 5 6 3 2" xfId="25018" xr:uid="{5DE76AA2-45EA-48A1-B8D9-5B382B394886}"/>
    <cellStyle name="Normal 4 2 5 6 3 3" xfId="33465" xr:uid="{F3BFF3C8-8B61-4B46-B58C-F6BC24D32942}"/>
    <cellStyle name="Normal 4 2 5 6 3 4" xfId="41912" xr:uid="{E6441847-E770-42D7-B929-D988D1808BCB}"/>
    <cellStyle name="Normal 4 2 5 6 3 5" xfId="15718" xr:uid="{534B6F03-0382-4FF1-A31A-E1EAD1AEBDEE}"/>
    <cellStyle name="Normal 4 2 5 6 4" xfId="20801" xr:uid="{5A0ACC38-FFB0-40CD-83CA-9943AEE48379}"/>
    <cellStyle name="Normal 4 2 5 6 5" xfId="29248" xr:uid="{73934FB9-8E8D-42A0-8312-27A23789A95F}"/>
    <cellStyle name="Normal 4 2 5 6 6" xfId="37695" xr:uid="{5B50C790-5601-4558-8DE8-D90D527C95C2}"/>
    <cellStyle name="Normal 4 2 5 6 7" xfId="11501" xr:uid="{373CFA74-0F20-429E-B04B-80850B464C65}"/>
    <cellStyle name="Normal 4 2 5 7" xfId="2522" xr:uid="{00000000-0005-0000-0000-0000F0130000}"/>
    <cellStyle name="Normal 4 2 5 7 2" xfId="6805" xr:uid="{00000000-0005-0000-0000-0000F1130000}"/>
    <cellStyle name="Normal 4 2 5 7 2 2" xfId="25431" xr:uid="{2C4C7CA5-AF76-4A74-B28E-15547F99A85A}"/>
    <cellStyle name="Normal 4 2 5 7 2 3" xfId="33878" xr:uid="{237FEF75-FC8B-43B9-9ECC-2E9E09034339}"/>
    <cellStyle name="Normal 4 2 5 7 2 4" xfId="42325" xr:uid="{E862A693-4F5E-44C8-A999-CBBE0807F853}"/>
    <cellStyle name="Normal 4 2 5 7 2 5" xfId="16131" xr:uid="{DB63EFDA-77AD-4C9B-8B21-DA7FDBC886E3}"/>
    <cellStyle name="Normal 4 2 5 7 3" xfId="21214" xr:uid="{ADBF9C02-3384-4924-AAA4-6338B0EF127D}"/>
    <cellStyle name="Normal 4 2 5 7 4" xfId="29661" xr:uid="{5FF27522-3639-465D-9441-419388316FA9}"/>
    <cellStyle name="Normal 4 2 5 7 5" xfId="38108" xr:uid="{610CFDAE-A291-49EB-A828-88FF9260DFA7}"/>
    <cellStyle name="Normal 4 2 5 7 6" xfId="11914" xr:uid="{E66F33FE-D6CE-4917-8027-404A52D61A79}"/>
    <cellStyle name="Normal 4 2 5 8" xfId="4740" xr:uid="{00000000-0005-0000-0000-0000F2130000}"/>
    <cellStyle name="Normal 4 2 5 8 2" xfId="23366" xr:uid="{72D43962-CCBA-47A6-B11F-E1E2F9F4D5D5}"/>
    <cellStyle name="Normal 4 2 5 8 3" xfId="31813" xr:uid="{6206C65D-6EFB-48A6-AAD1-76C053764812}"/>
    <cellStyle name="Normal 4 2 5 8 4" xfId="40260" xr:uid="{C08DFBB4-C07C-4822-B745-B4BA97931881}"/>
    <cellStyle name="Normal 4 2 5 8 5" xfId="14066" xr:uid="{31385D4A-4168-4922-8A49-83DB2346CEE2}"/>
    <cellStyle name="Normal 4 2 5 9" xfId="8846" xr:uid="{C69C7E2D-02E8-4C87-9C63-A39D0E37A062}"/>
    <cellStyle name="Normal 4 2 5 9 2" xfId="18170" xr:uid="{A6B8ACB6-2301-4465-BCF8-708B44CDCDDD}"/>
    <cellStyle name="Normal 4 2 6" xfId="365" xr:uid="{00000000-0005-0000-0000-0000F3130000}"/>
    <cellStyle name="Normal 4 2 6 10" xfId="27598" xr:uid="{6EFDF555-10D1-4C2C-93C0-C24F3211E355}"/>
    <cellStyle name="Normal 4 2 6 11" xfId="36045" xr:uid="{AFA076B0-51CF-43CB-8E90-40AED030515C}"/>
    <cellStyle name="Normal 4 2 6 12" xfId="9851" xr:uid="{22E41784-2365-4F44-A661-F814825E75E6}"/>
    <cellStyle name="Normal 4 2 6 2" xfId="841" xr:uid="{00000000-0005-0000-0000-0000F4130000}"/>
    <cellStyle name="Normal 4 2 6 2 2" xfId="3078" xr:uid="{00000000-0005-0000-0000-0000F5130000}"/>
    <cellStyle name="Normal 4 2 6 2 2 2" xfId="7300" xr:uid="{00000000-0005-0000-0000-0000F6130000}"/>
    <cellStyle name="Normal 4 2 6 2 2 2 2" xfId="25926" xr:uid="{98CEA2C7-591A-4D3D-B13C-70B0BFC95606}"/>
    <cellStyle name="Normal 4 2 6 2 2 2 3" xfId="34373" xr:uid="{2F726162-1024-416B-9CFF-AE4677952484}"/>
    <cellStyle name="Normal 4 2 6 2 2 2 4" xfId="42820" xr:uid="{6965468E-DAF0-402E-AEE0-55EC30001F87}"/>
    <cellStyle name="Normal 4 2 6 2 2 2 5" xfId="16626" xr:uid="{BBAAC2D6-45E0-4C5F-B8C9-9590E534791E}"/>
    <cellStyle name="Normal 4 2 6 2 2 3" xfId="21709" xr:uid="{615744BE-719D-47FE-8FF4-9C128DC42F8C}"/>
    <cellStyle name="Normal 4 2 6 2 2 4" xfId="30156" xr:uid="{2E54F4A9-FD44-4887-B932-7F3A29EA4DBD}"/>
    <cellStyle name="Normal 4 2 6 2 2 5" xfId="38603" xr:uid="{E3E44973-CB1F-402B-B426-34B841848E5F}"/>
    <cellStyle name="Normal 4 2 6 2 2 6" xfId="12409" xr:uid="{B28EBFDE-AAB1-43F4-92AE-23213A25D22E}"/>
    <cellStyle name="Normal 4 2 6 2 3" xfId="5155" xr:uid="{00000000-0005-0000-0000-0000F7130000}"/>
    <cellStyle name="Normal 4 2 6 2 3 2" xfId="23781" xr:uid="{B10EB6CE-3E7C-44B5-B907-9E54E2DF0EA1}"/>
    <cellStyle name="Normal 4 2 6 2 3 3" xfId="32228" xr:uid="{25A1F7EB-3EA2-48E9-A4FD-6E90D2E0FE82}"/>
    <cellStyle name="Normal 4 2 6 2 3 4" xfId="40675" xr:uid="{1BB71CC5-D484-4BE9-A138-5EE51A45BFAC}"/>
    <cellStyle name="Normal 4 2 6 2 3 5" xfId="14481" xr:uid="{64E3A32D-8F44-4832-BB8F-54CF9BA009AB}"/>
    <cellStyle name="Normal 4 2 6 2 4" xfId="9387" xr:uid="{933EA8C7-37F7-4AF2-922A-47A5CB1A47BC}"/>
    <cellStyle name="Normal 4 2 6 2 4 2" xfId="18703" xr:uid="{DC48AC93-2A86-4D3B-8C55-6CE912AEE099}"/>
    <cellStyle name="Normal 4 2 6 2 5" xfId="19564" xr:uid="{56DDF009-00E2-478A-97F1-38AC72992A2B}"/>
    <cellStyle name="Normal 4 2 6 2 6" xfId="28011" xr:uid="{1CDA9217-E22B-47D2-92E6-50E2257D6295}"/>
    <cellStyle name="Normal 4 2 6 2 7" xfId="36458" xr:uid="{3AC9D4C8-7F43-497B-87DF-9094FAACDB68}"/>
    <cellStyle name="Normal 4 2 6 2 8" xfId="10264" xr:uid="{6A925E26-B85F-4C1F-9AB7-47161256535A}"/>
    <cellStyle name="Normal 4 2 6 3" xfId="1261" xr:uid="{00000000-0005-0000-0000-0000F8130000}"/>
    <cellStyle name="Normal 4 2 6 3 2" xfId="3491" xr:uid="{00000000-0005-0000-0000-0000F9130000}"/>
    <cellStyle name="Normal 4 2 6 3 2 2" xfId="7713" xr:uid="{00000000-0005-0000-0000-0000FA130000}"/>
    <cellStyle name="Normal 4 2 6 3 2 2 2" xfId="26339" xr:uid="{EF5AA92C-AC8F-49E4-90DC-4CB1EC3AADE1}"/>
    <cellStyle name="Normal 4 2 6 3 2 2 3" xfId="34786" xr:uid="{62D04312-70F6-4C54-926E-D1E2FF4FE5F6}"/>
    <cellStyle name="Normal 4 2 6 3 2 2 4" xfId="43233" xr:uid="{44920A31-FE7E-4039-A981-BBA2CD9BFB88}"/>
    <cellStyle name="Normal 4 2 6 3 2 2 5" xfId="17039" xr:uid="{05354977-B962-4CD1-B438-B4D659BF5148}"/>
    <cellStyle name="Normal 4 2 6 3 2 3" xfId="22122" xr:uid="{DF92C0E6-FCBA-4BE9-8E87-88BD6E48446E}"/>
    <cellStyle name="Normal 4 2 6 3 2 4" xfId="30569" xr:uid="{43DDDE72-52D6-46FD-8A4D-A08D00EED073}"/>
    <cellStyle name="Normal 4 2 6 3 2 5" xfId="39016" xr:uid="{2844E8FC-F2BB-45F3-97F6-775057020075}"/>
    <cellStyle name="Normal 4 2 6 3 2 6" xfId="12822" xr:uid="{7B4F80B1-6C76-4F0A-9338-8DFBDBC82E01}"/>
    <cellStyle name="Normal 4 2 6 3 3" xfId="5568" xr:uid="{00000000-0005-0000-0000-0000FB130000}"/>
    <cellStyle name="Normal 4 2 6 3 3 2" xfId="24194" xr:uid="{9907DD21-C793-4565-91AE-C378B8F4B6A2}"/>
    <cellStyle name="Normal 4 2 6 3 3 3" xfId="32641" xr:uid="{25D01030-E3CE-4C77-8EB0-B6D507CC814B}"/>
    <cellStyle name="Normal 4 2 6 3 3 4" xfId="41088" xr:uid="{5B091045-2F5F-456B-80D8-0C625020C178}"/>
    <cellStyle name="Normal 4 2 6 3 3 5" xfId="14894" xr:uid="{388FA882-11AE-4A3E-B5F9-525FA5E8B7F7}"/>
    <cellStyle name="Normal 4 2 6 3 4" xfId="19977" xr:uid="{FD464DF2-A689-4D37-80CA-87CC6FE6DC63}"/>
    <cellStyle name="Normal 4 2 6 3 5" xfId="28424" xr:uid="{055722DC-B4CC-47F9-9100-B88F2B6EFBF8}"/>
    <cellStyle name="Normal 4 2 6 3 6" xfId="36871" xr:uid="{2095FA7A-5CCE-4481-9DCD-4F8B4AAA0C61}"/>
    <cellStyle name="Normal 4 2 6 3 7" xfId="10677" xr:uid="{A3838757-FDCB-4C01-B0BF-93A30F445AB1}"/>
    <cellStyle name="Normal 4 2 6 4" xfId="1674" xr:uid="{00000000-0005-0000-0000-0000FC130000}"/>
    <cellStyle name="Normal 4 2 6 4 2" xfId="3904" xr:uid="{00000000-0005-0000-0000-0000FD130000}"/>
    <cellStyle name="Normal 4 2 6 4 2 2" xfId="8126" xr:uid="{00000000-0005-0000-0000-0000FE130000}"/>
    <cellStyle name="Normal 4 2 6 4 2 2 2" xfId="26752" xr:uid="{DE5DDC6B-7DD2-4CA9-BB4B-EFBFA207E9DC}"/>
    <cellStyle name="Normal 4 2 6 4 2 2 3" xfId="35199" xr:uid="{64A68F96-E15D-457D-8576-3C71CBBF53B5}"/>
    <cellStyle name="Normal 4 2 6 4 2 2 4" xfId="43646" xr:uid="{FE3E92B4-15BF-4BF6-A4FD-B8111D9F7256}"/>
    <cellStyle name="Normal 4 2 6 4 2 2 5" xfId="17452" xr:uid="{7CEC0537-1D01-4EFA-8179-A8F9026E4FB6}"/>
    <cellStyle name="Normal 4 2 6 4 2 3" xfId="22535" xr:uid="{A9945401-580C-43DF-B5DE-D921665047A7}"/>
    <cellStyle name="Normal 4 2 6 4 2 4" xfId="30982" xr:uid="{AF7202D4-B59E-4BBC-BDDA-7E7B8220C403}"/>
    <cellStyle name="Normal 4 2 6 4 2 5" xfId="39429" xr:uid="{345ED5F9-7BF6-4851-94CD-E8843392C0BB}"/>
    <cellStyle name="Normal 4 2 6 4 2 6" xfId="13235" xr:uid="{5F0FDE90-AEFB-4BDA-BA38-47D99305F1F3}"/>
    <cellStyle name="Normal 4 2 6 4 3" xfId="5981" xr:uid="{00000000-0005-0000-0000-0000FF130000}"/>
    <cellStyle name="Normal 4 2 6 4 3 2" xfId="24607" xr:uid="{0604B707-4CF9-48D9-8F39-E9B1A26B20BE}"/>
    <cellStyle name="Normal 4 2 6 4 3 3" xfId="33054" xr:uid="{0A0ED857-6BB7-4AEE-88D5-AF9A44C61417}"/>
    <cellStyle name="Normal 4 2 6 4 3 4" xfId="41501" xr:uid="{9D5753B9-1809-43AC-A497-4945BC625E78}"/>
    <cellStyle name="Normal 4 2 6 4 3 5" xfId="15307" xr:uid="{8AB187A9-1135-4862-9558-29FBC037797E}"/>
    <cellStyle name="Normal 4 2 6 4 4" xfId="20390" xr:uid="{52A0B223-8343-459F-805C-55BAF7852C89}"/>
    <cellStyle name="Normal 4 2 6 4 5" xfId="28837" xr:uid="{93273D3C-270A-4BF3-936C-EA98F85913F4}"/>
    <cellStyle name="Normal 4 2 6 4 6" xfId="37284" xr:uid="{00C95258-5E50-45BE-A996-DFF8EE1FD43E}"/>
    <cellStyle name="Normal 4 2 6 4 7" xfId="11090" xr:uid="{E4B56350-E813-4DF3-BA06-2856D66944F6}"/>
    <cellStyle name="Normal 4 2 6 5" xfId="2088" xr:uid="{00000000-0005-0000-0000-000000140000}"/>
    <cellStyle name="Normal 4 2 6 5 2" xfId="4317" xr:uid="{00000000-0005-0000-0000-000001140000}"/>
    <cellStyle name="Normal 4 2 6 5 2 2" xfId="8539" xr:uid="{00000000-0005-0000-0000-000002140000}"/>
    <cellStyle name="Normal 4 2 6 5 2 2 2" xfId="27165" xr:uid="{5B5E79A0-35B1-4406-B739-2BCB54B1DE35}"/>
    <cellStyle name="Normal 4 2 6 5 2 2 3" xfId="35612" xr:uid="{E5B0425A-B061-4313-B67B-4401E764BFA1}"/>
    <cellStyle name="Normal 4 2 6 5 2 2 4" xfId="44059" xr:uid="{95D3B16B-792A-4F6E-94D5-BB36122869CD}"/>
    <cellStyle name="Normal 4 2 6 5 2 2 5" xfId="17865" xr:uid="{455F7FC1-BE58-4FC8-9F78-2E31EAC6F14D}"/>
    <cellStyle name="Normal 4 2 6 5 2 3" xfId="22948" xr:uid="{B253447D-9304-417F-8D07-D9CFED4F0E98}"/>
    <cellStyle name="Normal 4 2 6 5 2 4" xfId="31395" xr:uid="{9B655D67-72C7-42F0-A8A6-DFB5F413A5A4}"/>
    <cellStyle name="Normal 4 2 6 5 2 5" xfId="39842" xr:uid="{8191FFDA-90C2-4781-A475-6823E9D826A2}"/>
    <cellStyle name="Normal 4 2 6 5 2 6" xfId="13648" xr:uid="{741CEE4D-3A8B-4CA2-A683-3FBFE4E2A2B5}"/>
    <cellStyle name="Normal 4 2 6 5 3" xfId="6394" xr:uid="{00000000-0005-0000-0000-000003140000}"/>
    <cellStyle name="Normal 4 2 6 5 3 2" xfId="25020" xr:uid="{0FDA1497-3432-494E-9C9F-D8FEF7BD6A1C}"/>
    <cellStyle name="Normal 4 2 6 5 3 3" xfId="33467" xr:uid="{91039B66-3F8A-4BF6-88E5-CC99F91D6E5E}"/>
    <cellStyle name="Normal 4 2 6 5 3 4" xfId="41914" xr:uid="{FFB0F8F8-C48D-4038-9DED-38143D6C9066}"/>
    <cellStyle name="Normal 4 2 6 5 3 5" xfId="15720" xr:uid="{C70388D7-40D9-4E50-92B0-AD3756BDAEED}"/>
    <cellStyle name="Normal 4 2 6 5 4" xfId="20803" xr:uid="{93808593-86C3-4ADF-A57E-57DF0D2A88E8}"/>
    <cellStyle name="Normal 4 2 6 5 5" xfId="29250" xr:uid="{C7FB74B5-AF66-40A9-A85C-FB7CC28DCDF2}"/>
    <cellStyle name="Normal 4 2 6 5 6" xfId="37697" xr:uid="{1C78B275-AF13-4A03-8525-36B744E875BE}"/>
    <cellStyle name="Normal 4 2 6 5 7" xfId="11503" xr:uid="{06CFC551-31CE-49E1-8D95-2BD50B7B24E3}"/>
    <cellStyle name="Normal 4 2 6 6" xfId="2524" xr:uid="{00000000-0005-0000-0000-000004140000}"/>
    <cellStyle name="Normal 4 2 6 6 2" xfId="6807" xr:uid="{00000000-0005-0000-0000-000005140000}"/>
    <cellStyle name="Normal 4 2 6 6 2 2" xfId="25433" xr:uid="{E1E85DEC-205E-4DBF-A253-4C6944C6659D}"/>
    <cellStyle name="Normal 4 2 6 6 2 3" xfId="33880" xr:uid="{2DE5DE26-D8EE-4687-8769-DF01A4B2C3F8}"/>
    <cellStyle name="Normal 4 2 6 6 2 4" xfId="42327" xr:uid="{32641AB3-4EE4-440D-A955-9522BE059DAC}"/>
    <cellStyle name="Normal 4 2 6 6 2 5" xfId="16133" xr:uid="{E46C4920-7F70-4AC6-8B1F-6A80D1144649}"/>
    <cellStyle name="Normal 4 2 6 6 3" xfId="21216" xr:uid="{96FCC611-59BE-4656-9D60-ECF7033367F0}"/>
    <cellStyle name="Normal 4 2 6 6 4" xfId="29663" xr:uid="{EE3D5C1C-214E-4FA7-B385-F7FC60981C50}"/>
    <cellStyle name="Normal 4 2 6 6 5" xfId="38110" xr:uid="{3EE00A61-A8F8-4B32-8E1D-02911C61FDCA}"/>
    <cellStyle name="Normal 4 2 6 6 6" xfId="11916" xr:uid="{DA83D41E-6A83-420F-833A-282E225F1BFA}"/>
    <cellStyle name="Normal 4 2 6 7" xfId="4742" xr:uid="{00000000-0005-0000-0000-000006140000}"/>
    <cellStyle name="Normal 4 2 6 7 2" xfId="23368" xr:uid="{A3F672A7-D09A-49EF-86A1-171DE232B42B}"/>
    <cellStyle name="Normal 4 2 6 7 3" xfId="31815" xr:uid="{454EC870-F695-457A-9F63-A17053AD3FB2}"/>
    <cellStyle name="Normal 4 2 6 7 4" xfId="40262" xr:uid="{6D295D2E-5B96-4E9C-A525-B4140BD034AB}"/>
    <cellStyle name="Normal 4 2 6 7 5" xfId="14068" xr:uid="{9097E896-20CF-4B96-816B-9FD9D5F39D13}"/>
    <cellStyle name="Normal 4 2 6 8" xfId="8962" xr:uid="{1A1596D6-3914-4465-A638-E540359059D2}"/>
    <cellStyle name="Normal 4 2 6 8 2" xfId="18286" xr:uid="{EB8FAD62-7256-4FB7-B92A-7A95AE1DC485}"/>
    <cellStyle name="Normal 4 2 6 9" xfId="19151" xr:uid="{478C07CE-81D8-42D9-B9EE-37368A0B749F}"/>
    <cellStyle name="Normal 4 2 7" xfId="9165" xr:uid="{6363F967-7399-442D-B2CE-00085FF7F1E8}"/>
    <cellStyle name="Normal 4 2 7 2" xfId="18484" xr:uid="{00068C0F-BDA6-4574-BC83-D2A8AB4D4C36}"/>
    <cellStyle name="Normal 4 2 8" xfId="8743" xr:uid="{E2B8331F-47F9-4829-99C7-E05840A106B9}"/>
    <cellStyle name="Normal 4 2 8 2" xfId="18067" xr:uid="{FD50F5F9-B6A5-4D08-BBBC-4507661573A7}"/>
    <cellStyle name="Normal 4 3" xfId="366" xr:uid="{00000000-0005-0000-0000-000007140000}"/>
    <cellStyle name="Normal 4 3 10" xfId="19152" xr:uid="{8BC5BD1C-9CF2-4B2D-A5B2-64D7108263EF}"/>
    <cellStyle name="Normal 4 3 11" xfId="27599" xr:uid="{25F6631F-41D9-400E-87BD-26CE8B22BDCA}"/>
    <cellStyle name="Normal 4 3 12" xfId="36046" xr:uid="{7008986F-C8A2-40F6-A8F3-4F880EC0E856}"/>
    <cellStyle name="Normal 4 3 13" xfId="9852" xr:uid="{3DD09AEB-1457-4B7E-B851-81A74458491D}"/>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10 2" xfId="18146" xr:uid="{4A68FD0D-046A-4A97-8182-E0D4BF6FFF5A}"/>
    <cellStyle name="Normal 4 3 2 2 2 11" xfId="19153" xr:uid="{9CAFC36D-C695-4236-B6F4-36216A6B2927}"/>
    <cellStyle name="Normal 4 3 2 2 2 12" xfId="27600" xr:uid="{D49F0DED-B594-4987-9606-1B21FE2DE3CB}"/>
    <cellStyle name="Normal 4 3 2 2 2 13" xfId="36047" xr:uid="{BCEFF466-2F70-4DD9-842F-11F63C8C6E33}"/>
    <cellStyle name="Normal 4 3 2 2 2 14" xfId="9853" xr:uid="{E9C58FBF-76A4-4DA8-A97C-6DB032DF7770}"/>
    <cellStyle name="Normal 4 3 2 2 2 2" xfId="370" xr:uid="{00000000-0005-0000-0000-00000B140000}"/>
    <cellStyle name="Normal 4 3 2 2 2 2 10" xfId="19154" xr:uid="{EC0DCDCE-DE57-4BCC-AC32-F5FBE8688E40}"/>
    <cellStyle name="Normal 4 3 2 2 2 2 11" xfId="27601" xr:uid="{A92999E0-A303-4DB6-A991-0014D6008613}"/>
    <cellStyle name="Normal 4 3 2 2 2 2 12" xfId="36048" xr:uid="{DEEE1A7C-98EB-4C37-90CE-36150D7C4FF2}"/>
    <cellStyle name="Normal 4 3 2 2 2 2 13" xfId="9854" xr:uid="{452E4DDB-32DB-4D4B-8C3F-A04AD924808C}"/>
    <cellStyle name="Normal 4 3 2 2 2 2 2" xfId="371" xr:uid="{00000000-0005-0000-0000-00000C140000}"/>
    <cellStyle name="Normal 4 3 2 2 2 2 2 10" xfId="27602" xr:uid="{0F75F98F-AE7B-458D-8D55-D7E2D3A5B277}"/>
    <cellStyle name="Normal 4 3 2 2 2 2 2 11" xfId="36049" xr:uid="{1581BE10-5CE6-48F7-A9D4-54A2B5D7965B}"/>
    <cellStyle name="Normal 4 3 2 2 2 2 2 12" xfId="9855" xr:uid="{5C743FC3-CE1D-4A8C-A474-5F3D8FF16494}"/>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2 2 2" xfId="25930" xr:uid="{8D8B08B0-B373-4CBC-990F-635CBAA900C8}"/>
    <cellStyle name="Normal 4 3 2 2 2 2 2 2 2 2 3" xfId="34377" xr:uid="{D62EAA61-8358-4FD0-A8F8-BA57B0B7D765}"/>
    <cellStyle name="Normal 4 3 2 2 2 2 2 2 2 2 4" xfId="42824" xr:uid="{EFD2C776-3FF9-4C57-B983-16EC692D6D6E}"/>
    <cellStyle name="Normal 4 3 2 2 2 2 2 2 2 2 5" xfId="16630" xr:uid="{6D607B43-8E14-432C-ADE9-6CD4A1E4D702}"/>
    <cellStyle name="Normal 4 3 2 2 2 2 2 2 2 3" xfId="21713" xr:uid="{BF437930-A55E-4989-9C69-4C553B437BA6}"/>
    <cellStyle name="Normal 4 3 2 2 2 2 2 2 2 4" xfId="30160" xr:uid="{03ACFA87-4C11-406E-BBD9-B969FCE71958}"/>
    <cellStyle name="Normal 4 3 2 2 2 2 2 2 2 5" xfId="38607" xr:uid="{931D9425-4571-4653-BAE5-51572B7E5391}"/>
    <cellStyle name="Normal 4 3 2 2 2 2 2 2 2 6" xfId="12413" xr:uid="{58D2C987-1D6E-49C0-8AB4-BE2134B4D17B}"/>
    <cellStyle name="Normal 4 3 2 2 2 2 2 2 3" xfId="5159" xr:uid="{00000000-0005-0000-0000-000010140000}"/>
    <cellStyle name="Normal 4 3 2 2 2 2 2 2 3 2" xfId="23785" xr:uid="{01220F3B-74CA-43B8-88C2-E3DC7C02F031}"/>
    <cellStyle name="Normal 4 3 2 2 2 2 2 2 3 3" xfId="32232" xr:uid="{F0C26BFB-370C-4E83-8548-775C5EFC1275}"/>
    <cellStyle name="Normal 4 3 2 2 2 2 2 2 3 4" xfId="40679" xr:uid="{B55EAC27-AC44-44F4-924F-061D12A856AD}"/>
    <cellStyle name="Normal 4 3 2 2 2 2 2 2 3 5" xfId="14485" xr:uid="{454BC66A-0A21-461F-B753-1459463DF994}"/>
    <cellStyle name="Normal 4 3 2 2 2 2 2 2 4" xfId="9557" xr:uid="{4F6BDD99-7BF1-4D2F-9EDC-4F75F1942DB4}"/>
    <cellStyle name="Normal 4 3 2 2 2 2 2 2 4 2" xfId="18873" xr:uid="{8738A8FC-1C44-477E-869F-66BC10B42683}"/>
    <cellStyle name="Normal 4 3 2 2 2 2 2 2 5" xfId="19568" xr:uid="{417AA381-8A72-449A-A8B9-216B40ACDD37}"/>
    <cellStyle name="Normal 4 3 2 2 2 2 2 2 6" xfId="28015" xr:uid="{45541C36-E53D-404F-A07D-2B0CC081332A}"/>
    <cellStyle name="Normal 4 3 2 2 2 2 2 2 7" xfId="36462" xr:uid="{D7CC62A8-16E2-4DC7-84FF-C6C93E4CAC80}"/>
    <cellStyle name="Normal 4 3 2 2 2 2 2 2 8" xfId="10268" xr:uid="{906CD80E-8C80-4F37-BFD5-75ED1FEDD507}"/>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2 2 2" xfId="26343" xr:uid="{B5A8FA82-9571-492B-83C8-0E119CCBAA5D}"/>
    <cellStyle name="Normal 4 3 2 2 2 2 2 3 2 2 3" xfId="34790" xr:uid="{2777466B-AD3B-4D29-9346-620EE13A55CC}"/>
    <cellStyle name="Normal 4 3 2 2 2 2 2 3 2 2 4" xfId="43237" xr:uid="{01CD6E30-4593-4B58-BFF9-462BD51B1F53}"/>
    <cellStyle name="Normal 4 3 2 2 2 2 2 3 2 2 5" xfId="17043" xr:uid="{CFE23DAC-5444-45EE-A856-AD3E3020BA1C}"/>
    <cellStyle name="Normal 4 3 2 2 2 2 2 3 2 3" xfId="22126" xr:uid="{B3034D8A-991C-46DC-98DE-4527E8BAB3D3}"/>
    <cellStyle name="Normal 4 3 2 2 2 2 2 3 2 4" xfId="30573" xr:uid="{AFFC0A72-A7AE-41DE-91FE-A227DBB7993F}"/>
    <cellStyle name="Normal 4 3 2 2 2 2 2 3 2 5" xfId="39020" xr:uid="{5AA28A14-80DE-4369-87F9-87AE022C2DF5}"/>
    <cellStyle name="Normal 4 3 2 2 2 2 2 3 2 6" xfId="12826" xr:uid="{716D6227-6E1E-45F6-8B92-DBA1BE9DC9CA}"/>
    <cellStyle name="Normal 4 3 2 2 2 2 2 3 3" xfId="5572" xr:uid="{00000000-0005-0000-0000-000014140000}"/>
    <cellStyle name="Normal 4 3 2 2 2 2 2 3 3 2" xfId="24198" xr:uid="{C4C92677-B8B9-4796-BC1B-DC8BAC600CCF}"/>
    <cellStyle name="Normal 4 3 2 2 2 2 2 3 3 3" xfId="32645" xr:uid="{68B09443-B75C-48EA-AFBB-D4ABC44D577B}"/>
    <cellStyle name="Normal 4 3 2 2 2 2 2 3 3 4" xfId="41092" xr:uid="{5F2C207C-4068-43BA-A093-DF39B2387167}"/>
    <cellStyle name="Normal 4 3 2 2 2 2 2 3 3 5" xfId="14898" xr:uid="{7A04DA62-A295-430E-99C0-CB4BC2847E77}"/>
    <cellStyle name="Normal 4 3 2 2 2 2 2 3 4" xfId="19981" xr:uid="{20FE6BB6-7810-45F9-8AF9-B9A3A22B7689}"/>
    <cellStyle name="Normal 4 3 2 2 2 2 2 3 5" xfId="28428" xr:uid="{A16AFE6F-82B1-40A8-B89C-A0ED43694E66}"/>
    <cellStyle name="Normal 4 3 2 2 2 2 2 3 6" xfId="36875" xr:uid="{B4832AF4-7913-4129-8A7A-C1BAD6DCACC1}"/>
    <cellStyle name="Normal 4 3 2 2 2 2 2 3 7" xfId="10681" xr:uid="{5CED7D59-F27A-419F-9C9E-1276BBCC667B}"/>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2 2 2" xfId="26756" xr:uid="{B3949863-0C46-49BC-ADC1-98982047F4A0}"/>
    <cellStyle name="Normal 4 3 2 2 2 2 2 4 2 2 3" xfId="35203" xr:uid="{61865D21-5B44-4F21-9799-5913A79E6FFA}"/>
    <cellStyle name="Normal 4 3 2 2 2 2 2 4 2 2 4" xfId="43650" xr:uid="{735D3C36-3D7D-49A2-A915-1C71C5BDA61B}"/>
    <cellStyle name="Normal 4 3 2 2 2 2 2 4 2 2 5" xfId="17456" xr:uid="{B1F34351-719F-4E5E-856E-1C847B8DB7F3}"/>
    <cellStyle name="Normal 4 3 2 2 2 2 2 4 2 3" xfId="22539" xr:uid="{8DF6B6B3-2952-4F29-BA72-F229E21B1CD7}"/>
    <cellStyle name="Normal 4 3 2 2 2 2 2 4 2 4" xfId="30986" xr:uid="{92978492-96D8-4303-956E-58425FE967BE}"/>
    <cellStyle name="Normal 4 3 2 2 2 2 2 4 2 5" xfId="39433" xr:uid="{344D9E03-093A-4C32-8268-AAB45C69FE9C}"/>
    <cellStyle name="Normal 4 3 2 2 2 2 2 4 2 6" xfId="13239" xr:uid="{893990D4-AC1F-4ABD-9CBC-A47F872254C1}"/>
    <cellStyle name="Normal 4 3 2 2 2 2 2 4 3" xfId="5985" xr:uid="{00000000-0005-0000-0000-000018140000}"/>
    <cellStyle name="Normal 4 3 2 2 2 2 2 4 3 2" xfId="24611" xr:uid="{390EA164-82E5-4C72-A746-B5792D955582}"/>
    <cellStyle name="Normal 4 3 2 2 2 2 2 4 3 3" xfId="33058" xr:uid="{1A71DDE9-DE27-4AD3-9F87-ACD15A02D235}"/>
    <cellStyle name="Normal 4 3 2 2 2 2 2 4 3 4" xfId="41505" xr:uid="{6D6218F2-2F70-44E3-9F24-6B6A346D1B0D}"/>
    <cellStyle name="Normal 4 3 2 2 2 2 2 4 3 5" xfId="15311" xr:uid="{4B2FEEB9-D1EE-40F1-8ADD-22B33E4D859C}"/>
    <cellStyle name="Normal 4 3 2 2 2 2 2 4 4" xfId="20394" xr:uid="{FA550572-95C3-48BF-AB25-D3AB2EF0D43B}"/>
    <cellStyle name="Normal 4 3 2 2 2 2 2 4 5" xfId="28841" xr:uid="{555899E2-06F6-42FE-8265-9C8E6D6FCE66}"/>
    <cellStyle name="Normal 4 3 2 2 2 2 2 4 6" xfId="37288" xr:uid="{B202641F-091A-4697-AFD2-14B879743119}"/>
    <cellStyle name="Normal 4 3 2 2 2 2 2 4 7" xfId="11094" xr:uid="{015B9122-A873-47EA-B54A-2EC401D46B11}"/>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2 2 2" xfId="27169" xr:uid="{24AAB20C-C3EC-4FAA-8058-2E8F2DB76267}"/>
    <cellStyle name="Normal 4 3 2 2 2 2 2 5 2 2 3" xfId="35616" xr:uid="{E69BC11E-1C24-43E6-9C34-CA9EFCF24C80}"/>
    <cellStyle name="Normal 4 3 2 2 2 2 2 5 2 2 4" xfId="44063" xr:uid="{BB1C1BD7-57EC-4B16-A94D-78709DF934FF}"/>
    <cellStyle name="Normal 4 3 2 2 2 2 2 5 2 2 5" xfId="17869" xr:uid="{59D4B643-3518-4A61-88A2-B72D932602B1}"/>
    <cellStyle name="Normal 4 3 2 2 2 2 2 5 2 3" xfId="22952" xr:uid="{4F582D89-4A2E-4D84-8D32-A015A9E993B8}"/>
    <cellStyle name="Normal 4 3 2 2 2 2 2 5 2 4" xfId="31399" xr:uid="{2AFA055B-2C84-41D2-ACF4-41F136CD791D}"/>
    <cellStyle name="Normal 4 3 2 2 2 2 2 5 2 5" xfId="39846" xr:uid="{3FFD2F35-9217-4CAB-B686-CF80ED36A4F7}"/>
    <cellStyle name="Normal 4 3 2 2 2 2 2 5 2 6" xfId="13652" xr:uid="{AEEA23CD-65F1-4069-A81D-A7835EE28B80}"/>
    <cellStyle name="Normal 4 3 2 2 2 2 2 5 3" xfId="6398" xr:uid="{00000000-0005-0000-0000-00001C140000}"/>
    <cellStyle name="Normal 4 3 2 2 2 2 2 5 3 2" xfId="25024" xr:uid="{59980F55-5B0D-42ED-8D09-BFF6AE07AB7A}"/>
    <cellStyle name="Normal 4 3 2 2 2 2 2 5 3 3" xfId="33471" xr:uid="{609D1704-1836-4E7F-8CC9-2B50416DA4C0}"/>
    <cellStyle name="Normal 4 3 2 2 2 2 2 5 3 4" xfId="41918" xr:uid="{30368CAD-1A6A-4C46-9917-E381AA075500}"/>
    <cellStyle name="Normal 4 3 2 2 2 2 2 5 3 5" xfId="15724" xr:uid="{CE27FD3D-ECA6-415E-BB77-DC43917992EB}"/>
    <cellStyle name="Normal 4 3 2 2 2 2 2 5 4" xfId="20807" xr:uid="{AAA1899D-9978-4F4E-9E40-70E3DDD87EE4}"/>
    <cellStyle name="Normal 4 3 2 2 2 2 2 5 5" xfId="29254" xr:uid="{D2121BE3-B9D3-486F-8445-6F05227E18E5}"/>
    <cellStyle name="Normal 4 3 2 2 2 2 2 5 6" xfId="37701" xr:uid="{D06EDBF4-35C6-4B2F-9A6C-CFEE576277E7}"/>
    <cellStyle name="Normal 4 3 2 2 2 2 2 5 7" xfId="11507" xr:uid="{E82FD803-F456-4551-80D9-9DB0BC238A74}"/>
    <cellStyle name="Normal 4 3 2 2 2 2 2 6" xfId="2528" xr:uid="{00000000-0005-0000-0000-00001D140000}"/>
    <cellStyle name="Normal 4 3 2 2 2 2 2 6 2" xfId="6811" xr:uid="{00000000-0005-0000-0000-00001E140000}"/>
    <cellStyle name="Normal 4 3 2 2 2 2 2 6 2 2" xfId="25437" xr:uid="{DFA9B4AD-4CDE-4A4E-BB84-9B1492D8BFC0}"/>
    <cellStyle name="Normal 4 3 2 2 2 2 2 6 2 3" xfId="33884" xr:uid="{A6D34F53-9955-4466-AE7D-F093297BD3BC}"/>
    <cellStyle name="Normal 4 3 2 2 2 2 2 6 2 4" xfId="42331" xr:uid="{B9956AB2-B34B-4C9E-9782-EB5A76C48628}"/>
    <cellStyle name="Normal 4 3 2 2 2 2 2 6 2 5" xfId="16137" xr:uid="{44412FF0-FAB0-4732-B654-2AB6EC671FE6}"/>
    <cellStyle name="Normal 4 3 2 2 2 2 2 6 3" xfId="21220" xr:uid="{A30AE47E-5BAD-4FDE-B96B-BEF0E4297E4B}"/>
    <cellStyle name="Normal 4 3 2 2 2 2 2 6 4" xfId="29667" xr:uid="{6B8357F6-9F90-4A30-B51D-ED9E22254F75}"/>
    <cellStyle name="Normal 4 3 2 2 2 2 2 6 5" xfId="38114" xr:uid="{3ABE22C3-61BF-44D1-AF8E-B15992D4691B}"/>
    <cellStyle name="Normal 4 3 2 2 2 2 2 6 6" xfId="11920" xr:uid="{C6F12F44-7703-43E1-BE4D-3061BE675D43}"/>
    <cellStyle name="Normal 4 3 2 2 2 2 2 7" xfId="4746" xr:uid="{00000000-0005-0000-0000-00001F140000}"/>
    <cellStyle name="Normal 4 3 2 2 2 2 2 7 2" xfId="23372" xr:uid="{2FDB54D9-2DE5-4EFE-B455-76480D479A98}"/>
    <cellStyle name="Normal 4 3 2 2 2 2 2 7 3" xfId="31819" xr:uid="{78B564A3-54FD-47BF-A414-93A25941D4D9}"/>
    <cellStyle name="Normal 4 3 2 2 2 2 2 7 4" xfId="40266" xr:uid="{ED1F0D28-6F24-4242-B420-71848F159E3D}"/>
    <cellStyle name="Normal 4 3 2 2 2 2 2 7 5" xfId="14072" xr:uid="{E5D73767-9E91-411C-B98D-0C79C80C1720}"/>
    <cellStyle name="Normal 4 3 2 2 2 2 2 8" xfId="9132" xr:uid="{14F6ED12-EABF-4C82-AD59-55D351026913}"/>
    <cellStyle name="Normal 4 3 2 2 2 2 2 8 2" xfId="18456" xr:uid="{3E8AF1AA-C1A5-42E5-AF50-D7BA111AF638}"/>
    <cellStyle name="Normal 4 3 2 2 2 2 2 9" xfId="19155" xr:uid="{F95EE05B-F51A-4BDC-9827-4E33B1A82E84}"/>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2 2 2" xfId="25929" xr:uid="{858F22E6-DA75-457D-B7FA-E8EF27CF2FE1}"/>
    <cellStyle name="Normal 4 3 2 2 2 2 3 2 2 3" xfId="34376" xr:uid="{3132E150-4CB3-4A2E-B0A5-62E76C1C6E1D}"/>
    <cellStyle name="Normal 4 3 2 2 2 2 3 2 2 4" xfId="42823" xr:uid="{41E0CAC6-3726-4ADE-827D-806F917D849D}"/>
    <cellStyle name="Normal 4 3 2 2 2 2 3 2 2 5" xfId="16629" xr:uid="{B9A5AFF8-DBD9-46FA-A503-173F6E0EEB96}"/>
    <cellStyle name="Normal 4 3 2 2 2 2 3 2 3" xfId="21712" xr:uid="{61D0ED05-ED07-4AA2-A9E0-C1C23AE83854}"/>
    <cellStyle name="Normal 4 3 2 2 2 2 3 2 4" xfId="30159" xr:uid="{CD00FEC3-C221-456B-919C-F2A4A53620B5}"/>
    <cellStyle name="Normal 4 3 2 2 2 2 3 2 5" xfId="38606" xr:uid="{B4F31F2C-276B-4AD7-BFE9-D35EF62FABBF}"/>
    <cellStyle name="Normal 4 3 2 2 2 2 3 2 6" xfId="12412" xr:uid="{67702868-5829-44D8-92AD-E340E362F01D}"/>
    <cellStyle name="Normal 4 3 2 2 2 2 3 3" xfId="5158" xr:uid="{00000000-0005-0000-0000-000023140000}"/>
    <cellStyle name="Normal 4 3 2 2 2 2 3 3 2" xfId="23784" xr:uid="{0BBE4A5E-A730-416C-85C0-36B6CB1DB37F}"/>
    <cellStyle name="Normal 4 3 2 2 2 2 3 3 3" xfId="32231" xr:uid="{ABFBC3F1-2B12-42B0-8525-203C8085A23F}"/>
    <cellStyle name="Normal 4 3 2 2 2 2 3 3 4" xfId="40678" xr:uid="{9136DFA5-2CC1-4F90-881A-62213E47D676}"/>
    <cellStyle name="Normal 4 3 2 2 2 2 3 3 5" xfId="14484" xr:uid="{3DB88C61-FC55-4D9A-AAB8-0DEA66E20B1B}"/>
    <cellStyle name="Normal 4 3 2 2 2 2 3 4" xfId="9350" xr:uid="{DFFEAFB7-A284-4FD9-B115-C19DA011CCC7}"/>
    <cellStyle name="Normal 4 3 2 2 2 2 3 4 2" xfId="18666" xr:uid="{CD71F71C-32A3-467D-9969-FFA34C989F97}"/>
    <cellStyle name="Normal 4 3 2 2 2 2 3 5" xfId="19567" xr:uid="{B7EEE01D-49EA-4E52-A507-53381D8F16E1}"/>
    <cellStyle name="Normal 4 3 2 2 2 2 3 6" xfId="28014" xr:uid="{8140525F-ADBF-41CA-804B-E996A4EB3DEB}"/>
    <cellStyle name="Normal 4 3 2 2 2 2 3 7" xfId="36461" xr:uid="{81E44780-1847-44BB-A2F8-61B6281BA551}"/>
    <cellStyle name="Normal 4 3 2 2 2 2 3 8" xfId="10267" xr:uid="{C788EE6D-0A7E-4C42-8AB4-C948FB68AF16}"/>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2 2 2" xfId="26342" xr:uid="{A6BB10D8-A4A5-4054-9C16-27BCD31F06C2}"/>
    <cellStyle name="Normal 4 3 2 2 2 2 4 2 2 3" xfId="34789" xr:uid="{010D99FC-3E27-4400-930A-9726A08F3FD6}"/>
    <cellStyle name="Normal 4 3 2 2 2 2 4 2 2 4" xfId="43236" xr:uid="{7A26547C-A61D-470A-9092-744492C4DD9D}"/>
    <cellStyle name="Normal 4 3 2 2 2 2 4 2 2 5" xfId="17042" xr:uid="{F482D7FC-EBAC-4FF8-95FF-9D472339E5E7}"/>
    <cellStyle name="Normal 4 3 2 2 2 2 4 2 3" xfId="22125" xr:uid="{9D7D85D6-A80D-4D51-9282-F875A095C955}"/>
    <cellStyle name="Normal 4 3 2 2 2 2 4 2 4" xfId="30572" xr:uid="{F5801861-8DF3-4D57-BE00-620805AAAE74}"/>
    <cellStyle name="Normal 4 3 2 2 2 2 4 2 5" xfId="39019" xr:uid="{34EFC600-7E37-41E8-82DE-EC45B6C8FA41}"/>
    <cellStyle name="Normal 4 3 2 2 2 2 4 2 6" xfId="12825" xr:uid="{3E96B50E-EFE5-4F3A-AC61-7A0BC9E9B87C}"/>
    <cellStyle name="Normal 4 3 2 2 2 2 4 3" xfId="5571" xr:uid="{00000000-0005-0000-0000-000027140000}"/>
    <cellStyle name="Normal 4 3 2 2 2 2 4 3 2" xfId="24197" xr:uid="{05E1B698-6B72-4046-87F4-EDFBEECF635D}"/>
    <cellStyle name="Normal 4 3 2 2 2 2 4 3 3" xfId="32644" xr:uid="{5A0897E7-5B73-4517-B967-2D3CF1E68DF2}"/>
    <cellStyle name="Normal 4 3 2 2 2 2 4 3 4" xfId="41091" xr:uid="{8ADBC96E-E01B-4FD5-834E-A7236ABFEBE8}"/>
    <cellStyle name="Normal 4 3 2 2 2 2 4 3 5" xfId="14897" xr:uid="{B98B5715-E733-4ACB-9176-2A6383695A1E}"/>
    <cellStyle name="Normal 4 3 2 2 2 2 4 4" xfId="19980" xr:uid="{B9D0C08D-6D9D-4686-B839-CF8E283AB82D}"/>
    <cellStyle name="Normal 4 3 2 2 2 2 4 5" xfId="28427" xr:uid="{15FB44DB-3F6B-4DFD-AE7E-B5369CAB488C}"/>
    <cellStyle name="Normal 4 3 2 2 2 2 4 6" xfId="36874" xr:uid="{DCF357FD-47C3-47A9-A33F-4F8DCA93E871}"/>
    <cellStyle name="Normal 4 3 2 2 2 2 4 7" xfId="10680" xr:uid="{5CC4D5F0-1152-4F5F-830F-E61CBA935553}"/>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2 2 2" xfId="26755" xr:uid="{253D2363-64D4-4AC6-82D6-36487B89481B}"/>
    <cellStyle name="Normal 4 3 2 2 2 2 5 2 2 3" xfId="35202" xr:uid="{8F03EAC7-81CF-42FD-884C-9C9D0344A0EF}"/>
    <cellStyle name="Normal 4 3 2 2 2 2 5 2 2 4" xfId="43649" xr:uid="{69B5B4CC-569F-44F2-B90D-25752B9FD631}"/>
    <cellStyle name="Normal 4 3 2 2 2 2 5 2 2 5" xfId="17455" xr:uid="{90DA2F4F-8C05-4D25-BA26-0515401547D0}"/>
    <cellStyle name="Normal 4 3 2 2 2 2 5 2 3" xfId="22538" xr:uid="{AE8EB197-2E5B-4C7C-A755-FAA5C922D5FB}"/>
    <cellStyle name="Normal 4 3 2 2 2 2 5 2 4" xfId="30985" xr:uid="{A210A56F-9B66-4926-94AB-0BEC63005A12}"/>
    <cellStyle name="Normal 4 3 2 2 2 2 5 2 5" xfId="39432" xr:uid="{DDFB01DD-55C6-4F15-8B7A-AE8C873B079C}"/>
    <cellStyle name="Normal 4 3 2 2 2 2 5 2 6" xfId="13238" xr:uid="{79A7CB84-CB73-4495-8ABA-A3024CFCBE03}"/>
    <cellStyle name="Normal 4 3 2 2 2 2 5 3" xfId="5984" xr:uid="{00000000-0005-0000-0000-00002B140000}"/>
    <cellStyle name="Normal 4 3 2 2 2 2 5 3 2" xfId="24610" xr:uid="{B4304ADF-326B-4871-8868-E3117059BD8D}"/>
    <cellStyle name="Normal 4 3 2 2 2 2 5 3 3" xfId="33057" xr:uid="{9A064896-C995-4B0C-8CA9-7039847F8A65}"/>
    <cellStyle name="Normal 4 3 2 2 2 2 5 3 4" xfId="41504" xr:uid="{C065B43E-3E2C-4B9D-906A-5ADD086CDF4F}"/>
    <cellStyle name="Normal 4 3 2 2 2 2 5 3 5" xfId="15310" xr:uid="{9242159A-0AB8-4381-876D-F321C5E229DE}"/>
    <cellStyle name="Normal 4 3 2 2 2 2 5 4" xfId="20393" xr:uid="{8F16E0AD-BD12-47A3-9867-A9A4785CA816}"/>
    <cellStyle name="Normal 4 3 2 2 2 2 5 5" xfId="28840" xr:uid="{31BD162F-03DF-48D9-A126-4435CAC20C28}"/>
    <cellStyle name="Normal 4 3 2 2 2 2 5 6" xfId="37287" xr:uid="{C732E656-1D37-410E-A711-1F71184015AB}"/>
    <cellStyle name="Normal 4 3 2 2 2 2 5 7" xfId="11093" xr:uid="{676BEB9C-2CBE-4F9C-BE90-A4AE33E6159B}"/>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2 2 2" xfId="27168" xr:uid="{EFF6F7E2-88A8-4D62-B51B-EE76B5F4961E}"/>
    <cellStyle name="Normal 4 3 2 2 2 2 6 2 2 3" xfId="35615" xr:uid="{5AB415F9-A702-468A-976F-E31C51AECE30}"/>
    <cellStyle name="Normal 4 3 2 2 2 2 6 2 2 4" xfId="44062" xr:uid="{ABB52978-113E-4416-9C2B-B8122997299C}"/>
    <cellStyle name="Normal 4 3 2 2 2 2 6 2 2 5" xfId="17868" xr:uid="{52A6FED3-45D9-44CA-B231-56D1B6A4690B}"/>
    <cellStyle name="Normal 4 3 2 2 2 2 6 2 3" xfId="22951" xr:uid="{7AC4FD4D-C770-4B16-BD4C-58118F3A934E}"/>
    <cellStyle name="Normal 4 3 2 2 2 2 6 2 4" xfId="31398" xr:uid="{39A8CC17-E0CD-41C6-B37F-01675CDFD6E5}"/>
    <cellStyle name="Normal 4 3 2 2 2 2 6 2 5" xfId="39845" xr:uid="{B8E1D585-ED13-4698-A40F-B759DE3CCEF3}"/>
    <cellStyle name="Normal 4 3 2 2 2 2 6 2 6" xfId="13651" xr:uid="{7FB94462-1203-46B3-9C9F-F3755ED7D233}"/>
    <cellStyle name="Normal 4 3 2 2 2 2 6 3" xfId="6397" xr:uid="{00000000-0005-0000-0000-00002F140000}"/>
    <cellStyle name="Normal 4 3 2 2 2 2 6 3 2" xfId="25023" xr:uid="{80831255-8382-4592-ADFD-E74277D4D14B}"/>
    <cellStyle name="Normal 4 3 2 2 2 2 6 3 3" xfId="33470" xr:uid="{B303E9D1-7E21-41EC-A666-25118D6790DB}"/>
    <cellStyle name="Normal 4 3 2 2 2 2 6 3 4" xfId="41917" xr:uid="{7566BBB9-D9BE-40F7-BB3E-F1D931D6ACFF}"/>
    <cellStyle name="Normal 4 3 2 2 2 2 6 3 5" xfId="15723" xr:uid="{08DDF9A8-62DE-4F1A-ACF0-692AB7A37F3A}"/>
    <cellStyle name="Normal 4 3 2 2 2 2 6 4" xfId="20806" xr:uid="{E122EBB3-C179-479A-93DD-ECEA6271CD8D}"/>
    <cellStyle name="Normal 4 3 2 2 2 2 6 5" xfId="29253" xr:uid="{592E8F28-0788-4338-84F0-2E417E35503C}"/>
    <cellStyle name="Normal 4 3 2 2 2 2 6 6" xfId="37700" xr:uid="{DC2B0F62-7EE4-4355-B574-34045DE88C06}"/>
    <cellStyle name="Normal 4 3 2 2 2 2 6 7" xfId="11506" xr:uid="{409FF4C1-1DB0-4B9D-8677-A0B5677B77B1}"/>
    <cellStyle name="Normal 4 3 2 2 2 2 7" xfId="2527" xr:uid="{00000000-0005-0000-0000-000030140000}"/>
    <cellStyle name="Normal 4 3 2 2 2 2 7 2" xfId="6810" xr:uid="{00000000-0005-0000-0000-000031140000}"/>
    <cellStyle name="Normal 4 3 2 2 2 2 7 2 2" xfId="25436" xr:uid="{E7D3960F-642E-4842-B9F0-92D643A43903}"/>
    <cellStyle name="Normal 4 3 2 2 2 2 7 2 3" xfId="33883" xr:uid="{8612CCD8-454C-44AE-926C-1D4F88ACCB55}"/>
    <cellStyle name="Normal 4 3 2 2 2 2 7 2 4" xfId="42330" xr:uid="{F7736053-ECD8-4EFE-97B4-084F63CC5164}"/>
    <cellStyle name="Normal 4 3 2 2 2 2 7 2 5" xfId="16136" xr:uid="{8622EC5A-85D6-4CF1-B61F-237ED4A7A812}"/>
    <cellStyle name="Normal 4 3 2 2 2 2 7 3" xfId="21219" xr:uid="{1E3ECD49-5D09-4414-8CC6-AC1979F218A5}"/>
    <cellStyle name="Normal 4 3 2 2 2 2 7 4" xfId="29666" xr:uid="{5A85E117-4364-4364-8958-6DFC89721B7D}"/>
    <cellStyle name="Normal 4 3 2 2 2 2 7 5" xfId="38113" xr:uid="{FF37ECB6-AA15-4511-9566-4378A79864DD}"/>
    <cellStyle name="Normal 4 3 2 2 2 2 7 6" xfId="11919" xr:uid="{3605EBAC-5460-48E5-8EDB-FED15A8AC767}"/>
    <cellStyle name="Normal 4 3 2 2 2 2 8" xfId="4745" xr:uid="{00000000-0005-0000-0000-000032140000}"/>
    <cellStyle name="Normal 4 3 2 2 2 2 8 2" xfId="23371" xr:uid="{06808486-C141-4A87-B90E-C95A8AF7613A}"/>
    <cellStyle name="Normal 4 3 2 2 2 2 8 3" xfId="31818" xr:uid="{1746A353-091E-4E78-A0BD-6CA7C5141F0B}"/>
    <cellStyle name="Normal 4 3 2 2 2 2 8 4" xfId="40265" xr:uid="{377F4F44-D33D-4031-A9A7-B6015839B3D3}"/>
    <cellStyle name="Normal 4 3 2 2 2 2 8 5" xfId="14071" xr:uid="{F38763E2-363F-4B7E-8B20-9DC1C65D0401}"/>
    <cellStyle name="Normal 4 3 2 2 2 2 9" xfId="8925" xr:uid="{71BB8AFA-37D7-474D-A12B-C284DDE23CE9}"/>
    <cellStyle name="Normal 4 3 2 2 2 2 9 2" xfId="18249" xr:uid="{4944D989-75DE-4CBC-BB5E-DD97818FAC19}"/>
    <cellStyle name="Normal 4 3 2 2 2 3" xfId="372" xr:uid="{00000000-0005-0000-0000-000033140000}"/>
    <cellStyle name="Normal 4 3 2 2 2 3 10" xfId="27603" xr:uid="{EB30570A-6901-49CF-A415-7FDA06A91CCB}"/>
    <cellStyle name="Normal 4 3 2 2 2 3 11" xfId="36050" xr:uid="{22C94FB2-33D4-4BC1-A309-D2E3B4BF4C26}"/>
    <cellStyle name="Normal 4 3 2 2 2 3 12" xfId="9856" xr:uid="{ABA17ACC-895E-448D-BF80-F24E6DB3AF78}"/>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2 2 2" xfId="25931" xr:uid="{8F17446B-B65F-43B3-9FA6-D3B32AD9B612}"/>
    <cellStyle name="Normal 4 3 2 2 2 3 2 2 2 3" xfId="34378" xr:uid="{76FD7CD9-2E8B-4390-902B-924EBF91339C}"/>
    <cellStyle name="Normal 4 3 2 2 2 3 2 2 2 4" xfId="42825" xr:uid="{DF4D8C84-7736-4496-BFC2-114B7988A2E0}"/>
    <cellStyle name="Normal 4 3 2 2 2 3 2 2 2 5" xfId="16631" xr:uid="{A7C720A0-0980-47B8-93BB-6919F7AE002F}"/>
    <cellStyle name="Normal 4 3 2 2 2 3 2 2 3" xfId="21714" xr:uid="{8B89E5C3-7981-4126-8130-7A0642B5CBB4}"/>
    <cellStyle name="Normal 4 3 2 2 2 3 2 2 4" xfId="30161" xr:uid="{3C54E9C7-1289-47EB-BD4B-3955A37B8EAD}"/>
    <cellStyle name="Normal 4 3 2 2 2 3 2 2 5" xfId="38608" xr:uid="{289579FB-EAE4-44F2-975D-2117979AAA18}"/>
    <cellStyle name="Normal 4 3 2 2 2 3 2 2 6" xfId="12414" xr:uid="{C49F5F96-BE62-4CA5-B433-3C6FCF09A729}"/>
    <cellStyle name="Normal 4 3 2 2 2 3 2 3" xfId="5160" xr:uid="{00000000-0005-0000-0000-000037140000}"/>
    <cellStyle name="Normal 4 3 2 2 2 3 2 3 2" xfId="23786" xr:uid="{C7CA220A-C2B4-46C3-B966-6B3C95F3F48E}"/>
    <cellStyle name="Normal 4 3 2 2 2 3 2 3 3" xfId="32233" xr:uid="{3591F68A-1F32-4C14-87B9-CD349F49FC81}"/>
    <cellStyle name="Normal 4 3 2 2 2 3 2 3 4" xfId="40680" xr:uid="{5212E727-BA93-4C5D-8E04-F33E58F1DAA2}"/>
    <cellStyle name="Normal 4 3 2 2 2 3 2 3 5" xfId="14486" xr:uid="{4D0DE980-84B8-4BD2-946C-ED1F4E907290}"/>
    <cellStyle name="Normal 4 3 2 2 2 3 2 4" xfId="9454" xr:uid="{B81F5EAA-7D8E-43B5-94D7-313E66088BA5}"/>
    <cellStyle name="Normal 4 3 2 2 2 3 2 4 2" xfId="18770" xr:uid="{1EE05662-004F-48DA-98F1-8D0591F66442}"/>
    <cellStyle name="Normal 4 3 2 2 2 3 2 5" xfId="19569" xr:uid="{05243B0D-249A-49D1-936B-27CDC20C7653}"/>
    <cellStyle name="Normal 4 3 2 2 2 3 2 6" xfId="28016" xr:uid="{C425988A-994D-4627-99E7-F59FFCB858C9}"/>
    <cellStyle name="Normal 4 3 2 2 2 3 2 7" xfId="36463" xr:uid="{DEE64021-507B-4855-AB09-1D839697A5D5}"/>
    <cellStyle name="Normal 4 3 2 2 2 3 2 8" xfId="10269" xr:uid="{18447EEF-E049-4EB5-98F6-AFEA84A195B4}"/>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2 2 2" xfId="26344" xr:uid="{DFF2E6AC-6952-424B-AD71-2B490E00717A}"/>
    <cellStyle name="Normal 4 3 2 2 2 3 3 2 2 3" xfId="34791" xr:uid="{F8108B32-8AB1-493A-988E-02265D689488}"/>
    <cellStyle name="Normal 4 3 2 2 2 3 3 2 2 4" xfId="43238" xr:uid="{00F44AA3-3627-46B2-B79E-83ED21808921}"/>
    <cellStyle name="Normal 4 3 2 2 2 3 3 2 2 5" xfId="17044" xr:uid="{42BD2307-FDEF-4CA9-98CF-E1CF60162783}"/>
    <cellStyle name="Normal 4 3 2 2 2 3 3 2 3" xfId="22127" xr:uid="{5BB08F65-9F5E-44E1-A6F8-DFAB692A2BD6}"/>
    <cellStyle name="Normal 4 3 2 2 2 3 3 2 4" xfId="30574" xr:uid="{8E208FE8-E1C0-4F6C-A407-AD5D08906218}"/>
    <cellStyle name="Normal 4 3 2 2 2 3 3 2 5" xfId="39021" xr:uid="{CD15589A-33D9-4745-B433-EDE4DF6D5596}"/>
    <cellStyle name="Normal 4 3 2 2 2 3 3 2 6" xfId="12827" xr:uid="{E83EC6DA-B9EE-49DC-B541-99A85AFC7332}"/>
    <cellStyle name="Normal 4 3 2 2 2 3 3 3" xfId="5573" xr:uid="{00000000-0005-0000-0000-00003B140000}"/>
    <cellStyle name="Normal 4 3 2 2 2 3 3 3 2" xfId="24199" xr:uid="{13ED9E95-2C1A-423F-9574-DBF28B6ACF31}"/>
    <cellStyle name="Normal 4 3 2 2 2 3 3 3 3" xfId="32646" xr:uid="{76652D26-0E56-4199-853A-3D7BE0262781}"/>
    <cellStyle name="Normal 4 3 2 2 2 3 3 3 4" xfId="41093" xr:uid="{B7F42696-D3A6-4324-B650-F0BB0BD1FE1E}"/>
    <cellStyle name="Normal 4 3 2 2 2 3 3 3 5" xfId="14899" xr:uid="{0F821106-EEA3-471C-A8F2-5882BB399477}"/>
    <cellStyle name="Normal 4 3 2 2 2 3 3 4" xfId="19982" xr:uid="{E7BCADC2-D597-40E1-A326-831FF74FB3F0}"/>
    <cellStyle name="Normal 4 3 2 2 2 3 3 5" xfId="28429" xr:uid="{43569317-D054-4EBC-80AB-8BC78E7E744F}"/>
    <cellStyle name="Normal 4 3 2 2 2 3 3 6" xfId="36876" xr:uid="{6CC3AD54-F39C-4F9C-9050-19F6C0227D17}"/>
    <cellStyle name="Normal 4 3 2 2 2 3 3 7" xfId="10682" xr:uid="{AFBF080A-0AE1-4B3F-BE6F-396089353E08}"/>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2 2 2" xfId="26757" xr:uid="{F20480EF-564E-4DA1-8821-A998F74950E7}"/>
    <cellStyle name="Normal 4 3 2 2 2 3 4 2 2 3" xfId="35204" xr:uid="{822F1964-BC51-4278-AF73-A074AFBACE7A}"/>
    <cellStyle name="Normal 4 3 2 2 2 3 4 2 2 4" xfId="43651" xr:uid="{6EAF1EB5-F1E2-4992-90A5-0A777BD06746}"/>
    <cellStyle name="Normal 4 3 2 2 2 3 4 2 2 5" xfId="17457" xr:uid="{6BA0A29A-1622-4DE5-9E0A-C91E514E30BF}"/>
    <cellStyle name="Normal 4 3 2 2 2 3 4 2 3" xfId="22540" xr:uid="{B4C207F2-7343-4AC1-A92B-17BE6CC52B45}"/>
    <cellStyle name="Normal 4 3 2 2 2 3 4 2 4" xfId="30987" xr:uid="{C5DF8AD3-B351-4356-82EA-AA3E685073F1}"/>
    <cellStyle name="Normal 4 3 2 2 2 3 4 2 5" xfId="39434" xr:uid="{176096A2-FC8B-43DA-BA88-E2E6F00DFEF6}"/>
    <cellStyle name="Normal 4 3 2 2 2 3 4 2 6" xfId="13240" xr:uid="{2976139E-31EF-43B3-9BD2-727820A93E38}"/>
    <cellStyle name="Normal 4 3 2 2 2 3 4 3" xfId="5986" xr:uid="{00000000-0005-0000-0000-00003F140000}"/>
    <cellStyle name="Normal 4 3 2 2 2 3 4 3 2" xfId="24612" xr:uid="{981CE049-9FA6-4F0F-B576-3A4C7ECD9C2B}"/>
    <cellStyle name="Normal 4 3 2 2 2 3 4 3 3" xfId="33059" xr:uid="{72A5A1E7-243B-414F-9BF8-FBA173AA514C}"/>
    <cellStyle name="Normal 4 3 2 2 2 3 4 3 4" xfId="41506" xr:uid="{2D1AACE4-3598-49CD-A678-8BACA57A08B1}"/>
    <cellStyle name="Normal 4 3 2 2 2 3 4 3 5" xfId="15312" xr:uid="{92AFFBD0-2230-4A57-BD18-F85AE24DEEAD}"/>
    <cellStyle name="Normal 4 3 2 2 2 3 4 4" xfId="20395" xr:uid="{4B4E5887-0800-4157-BD56-F812AAB1A229}"/>
    <cellStyle name="Normal 4 3 2 2 2 3 4 5" xfId="28842" xr:uid="{8A446CA8-55CE-4323-A814-607A21E517B2}"/>
    <cellStyle name="Normal 4 3 2 2 2 3 4 6" xfId="37289" xr:uid="{63D3035D-C705-4D1D-A6CE-5B05570917BC}"/>
    <cellStyle name="Normal 4 3 2 2 2 3 4 7" xfId="11095" xr:uid="{2022D795-3DDB-4CD6-B037-4A1DDBD04E8F}"/>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2 2 2" xfId="27170" xr:uid="{9550AD5A-2C16-4804-8769-894B6DA54B5C}"/>
    <cellStyle name="Normal 4 3 2 2 2 3 5 2 2 3" xfId="35617" xr:uid="{C66B3E71-0711-451E-8E16-5EFBF6933D7F}"/>
    <cellStyle name="Normal 4 3 2 2 2 3 5 2 2 4" xfId="44064" xr:uid="{DF7394A1-9426-47DB-B014-9639A6092B01}"/>
    <cellStyle name="Normal 4 3 2 2 2 3 5 2 2 5" xfId="17870" xr:uid="{3D7B4D98-FBF9-447C-B619-AAAB41391B03}"/>
    <cellStyle name="Normal 4 3 2 2 2 3 5 2 3" xfId="22953" xr:uid="{C892B3B5-54B3-42B6-847C-2A877E145236}"/>
    <cellStyle name="Normal 4 3 2 2 2 3 5 2 4" xfId="31400" xr:uid="{722837EA-26CC-4BB9-96EE-38445B3C1732}"/>
    <cellStyle name="Normal 4 3 2 2 2 3 5 2 5" xfId="39847" xr:uid="{F44FF3D6-AC76-45FF-B06E-8EAA60A813E2}"/>
    <cellStyle name="Normal 4 3 2 2 2 3 5 2 6" xfId="13653" xr:uid="{CB8AEB89-C975-44FD-AB00-90D9F76A11EC}"/>
    <cellStyle name="Normal 4 3 2 2 2 3 5 3" xfId="6399" xr:uid="{00000000-0005-0000-0000-000043140000}"/>
    <cellStyle name="Normal 4 3 2 2 2 3 5 3 2" xfId="25025" xr:uid="{9D76C2BE-5562-45B8-A56E-108AC15A43D1}"/>
    <cellStyle name="Normal 4 3 2 2 2 3 5 3 3" xfId="33472" xr:uid="{E32A55CF-DEAA-4FB6-8012-C20AB811B971}"/>
    <cellStyle name="Normal 4 3 2 2 2 3 5 3 4" xfId="41919" xr:uid="{EF3E1D22-A2ED-4530-8664-DFCA2EBC6BF4}"/>
    <cellStyle name="Normal 4 3 2 2 2 3 5 3 5" xfId="15725" xr:uid="{86932FDE-2209-42BE-8BA7-5DCFF90DCAB6}"/>
    <cellStyle name="Normal 4 3 2 2 2 3 5 4" xfId="20808" xr:uid="{E2B3BDF2-6765-4BF9-B98A-C62F41872981}"/>
    <cellStyle name="Normal 4 3 2 2 2 3 5 5" xfId="29255" xr:uid="{20CEA352-DB89-418B-A5BD-790FEFD68311}"/>
    <cellStyle name="Normal 4 3 2 2 2 3 5 6" xfId="37702" xr:uid="{700AADB7-85F5-46FB-8FFD-03959615C79B}"/>
    <cellStyle name="Normal 4 3 2 2 2 3 5 7" xfId="11508" xr:uid="{6C1A3551-9259-473A-A855-81BA237E82F4}"/>
    <cellStyle name="Normal 4 3 2 2 2 3 6" xfId="2529" xr:uid="{00000000-0005-0000-0000-000044140000}"/>
    <cellStyle name="Normal 4 3 2 2 2 3 6 2" xfId="6812" xr:uid="{00000000-0005-0000-0000-000045140000}"/>
    <cellStyle name="Normal 4 3 2 2 2 3 6 2 2" xfId="25438" xr:uid="{4D64648B-8922-43D8-8130-7262C6060848}"/>
    <cellStyle name="Normal 4 3 2 2 2 3 6 2 3" xfId="33885" xr:uid="{34E36869-E491-4987-8AE2-64BE5C75F83F}"/>
    <cellStyle name="Normal 4 3 2 2 2 3 6 2 4" xfId="42332" xr:uid="{7C48568F-1C33-4BEC-AE0A-259F7A2FB030}"/>
    <cellStyle name="Normal 4 3 2 2 2 3 6 2 5" xfId="16138" xr:uid="{FFB65459-2252-402C-8FD3-C7BFDDCD0848}"/>
    <cellStyle name="Normal 4 3 2 2 2 3 6 3" xfId="21221" xr:uid="{F217E691-E36B-49CF-9318-5AE09DE7CF8B}"/>
    <cellStyle name="Normal 4 3 2 2 2 3 6 4" xfId="29668" xr:uid="{ED8648D3-7B04-4473-9A92-8AF34814349E}"/>
    <cellStyle name="Normal 4 3 2 2 2 3 6 5" xfId="38115" xr:uid="{127C8E6E-9CD3-42C3-8AC0-5E4ACCA44432}"/>
    <cellStyle name="Normal 4 3 2 2 2 3 6 6" xfId="11921" xr:uid="{9134C2BA-DCA7-4D8B-B302-F453438E2C95}"/>
    <cellStyle name="Normal 4 3 2 2 2 3 7" xfId="4747" xr:uid="{00000000-0005-0000-0000-000046140000}"/>
    <cellStyle name="Normal 4 3 2 2 2 3 7 2" xfId="23373" xr:uid="{FB7BECB5-9C7C-4ADE-A9DE-CB9EA4E4D3D3}"/>
    <cellStyle name="Normal 4 3 2 2 2 3 7 3" xfId="31820" xr:uid="{4D3E9442-EE08-4417-A9AD-C41BC8185A14}"/>
    <cellStyle name="Normal 4 3 2 2 2 3 7 4" xfId="40267" xr:uid="{9C29AC3B-76B7-4405-A5AC-217D2326A269}"/>
    <cellStyle name="Normal 4 3 2 2 2 3 7 5" xfId="14073" xr:uid="{5C19F312-B47D-41FC-88B2-6C0C9BF18B99}"/>
    <cellStyle name="Normal 4 3 2 2 2 3 8" xfId="9029" xr:uid="{CC421D7E-69EF-4D96-A95C-E67F046F8D14}"/>
    <cellStyle name="Normal 4 3 2 2 2 3 8 2" xfId="18353" xr:uid="{B8667D0C-9D2C-4D4F-946E-EA2562B493C9}"/>
    <cellStyle name="Normal 4 3 2 2 2 3 9" xfId="19156" xr:uid="{6C88C3E2-531E-4B9E-8CA7-35A3B5BE56BE}"/>
    <cellStyle name="Normal 4 3 2 2 2 4" xfId="844" xr:uid="{00000000-0005-0000-0000-000047140000}"/>
    <cellStyle name="Normal 4 3 2 2 2 4 2" xfId="3080" xr:uid="{00000000-0005-0000-0000-000048140000}"/>
    <cellStyle name="Normal 4 3 2 2 2 4 2 2" xfId="7302" xr:uid="{00000000-0005-0000-0000-000049140000}"/>
    <cellStyle name="Normal 4 3 2 2 2 4 2 2 2" xfId="25928" xr:uid="{05307956-A573-4E1B-9C96-32291A65FD16}"/>
    <cellStyle name="Normal 4 3 2 2 2 4 2 2 3" xfId="34375" xr:uid="{5050AE50-5E57-4E65-8B09-5ED66B2FF443}"/>
    <cellStyle name="Normal 4 3 2 2 2 4 2 2 4" xfId="42822" xr:uid="{EA59F3B9-24EF-4130-BEA3-E57CFE8BFE37}"/>
    <cellStyle name="Normal 4 3 2 2 2 4 2 2 5" xfId="16628" xr:uid="{22C87BE7-AE37-4A87-88D7-4C084F599EBA}"/>
    <cellStyle name="Normal 4 3 2 2 2 4 2 3" xfId="21711" xr:uid="{73A38F72-CA71-4E0C-8762-A5D77D6CCEBC}"/>
    <cellStyle name="Normal 4 3 2 2 2 4 2 4" xfId="30158" xr:uid="{DB198F3B-FF76-40D8-A68D-05CC0DB1E515}"/>
    <cellStyle name="Normal 4 3 2 2 2 4 2 5" xfId="38605" xr:uid="{748F05CB-0761-4878-99B2-BC071E52206F}"/>
    <cellStyle name="Normal 4 3 2 2 2 4 2 6" xfId="12411" xr:uid="{DD671356-9A6F-4B86-9D0D-2B3374FC9858}"/>
    <cellStyle name="Normal 4 3 2 2 2 4 3" xfId="5157" xr:uid="{00000000-0005-0000-0000-00004A140000}"/>
    <cellStyle name="Normal 4 3 2 2 2 4 3 2" xfId="23783" xr:uid="{6697F51B-370B-44B8-A970-CEB23A636F1C}"/>
    <cellStyle name="Normal 4 3 2 2 2 4 3 3" xfId="32230" xr:uid="{B96398F3-DD77-4318-ABDD-6210E158CC17}"/>
    <cellStyle name="Normal 4 3 2 2 2 4 3 4" xfId="40677" xr:uid="{9AD2D0FD-2ADC-4D91-97B3-D105B4CE92BA}"/>
    <cellStyle name="Normal 4 3 2 2 2 4 3 5" xfId="14483" xr:uid="{B7E8B95D-B239-4C8D-B480-40826EE66B53}"/>
    <cellStyle name="Normal 4 3 2 2 2 4 4" xfId="9247" xr:uid="{70D9D224-DB0B-42B4-B4A9-BC88F455C395}"/>
    <cellStyle name="Normal 4 3 2 2 2 4 4 2" xfId="18563" xr:uid="{F1ED9892-59FD-4320-ACA5-D14B13223ECA}"/>
    <cellStyle name="Normal 4 3 2 2 2 4 5" xfId="19566" xr:uid="{74D4D54F-9C57-48EF-B630-9D3B485B8DDC}"/>
    <cellStyle name="Normal 4 3 2 2 2 4 6" xfId="28013" xr:uid="{17EDB607-E471-4A5F-B559-3E77A89A005C}"/>
    <cellStyle name="Normal 4 3 2 2 2 4 7" xfId="36460" xr:uid="{B47F2BBE-2551-4691-8041-E183ED9D5D84}"/>
    <cellStyle name="Normal 4 3 2 2 2 4 8" xfId="10266" xr:uid="{9A271742-FD61-4D4E-AC88-0AB5C4353C86}"/>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2 2 2" xfId="26341" xr:uid="{B3D0532C-74FF-4DF9-8F89-71232D6B0138}"/>
    <cellStyle name="Normal 4 3 2 2 2 5 2 2 3" xfId="34788" xr:uid="{297CC266-BB49-43C6-9A8A-2BD3E9CEB9C9}"/>
    <cellStyle name="Normal 4 3 2 2 2 5 2 2 4" xfId="43235" xr:uid="{E20C797F-D632-487A-8E9A-A8ABCD26EFA0}"/>
    <cellStyle name="Normal 4 3 2 2 2 5 2 2 5" xfId="17041" xr:uid="{F51411F6-3E9C-44AC-91D5-416A7EC97E69}"/>
    <cellStyle name="Normal 4 3 2 2 2 5 2 3" xfId="22124" xr:uid="{FE4D8FC1-C434-458B-823E-A661A69046E8}"/>
    <cellStyle name="Normal 4 3 2 2 2 5 2 4" xfId="30571" xr:uid="{862D2839-62CD-44EF-A904-9E9DBD8CA527}"/>
    <cellStyle name="Normal 4 3 2 2 2 5 2 5" xfId="39018" xr:uid="{0E12D71B-EE86-4EA5-80C1-EA36059C3AAE}"/>
    <cellStyle name="Normal 4 3 2 2 2 5 2 6" xfId="12824" xr:uid="{C72C97D9-97A4-4528-A821-F99DD85DEAA1}"/>
    <cellStyle name="Normal 4 3 2 2 2 5 3" xfId="5570" xr:uid="{00000000-0005-0000-0000-00004E140000}"/>
    <cellStyle name="Normal 4 3 2 2 2 5 3 2" xfId="24196" xr:uid="{7D1FA4C4-18D4-4726-AC72-AE4CDB2FA2C2}"/>
    <cellStyle name="Normal 4 3 2 2 2 5 3 3" xfId="32643" xr:uid="{FF8DECCD-2314-4800-A44A-E2D09474B2B8}"/>
    <cellStyle name="Normal 4 3 2 2 2 5 3 4" xfId="41090" xr:uid="{3A451CEE-E91C-4A10-9A4D-E99D9A77D6F0}"/>
    <cellStyle name="Normal 4 3 2 2 2 5 3 5" xfId="14896" xr:uid="{B4B61004-7BD2-419F-BC01-9D1F6C3DB950}"/>
    <cellStyle name="Normal 4 3 2 2 2 5 4" xfId="19979" xr:uid="{A3A80221-7006-4E58-9A16-439DCD625EEF}"/>
    <cellStyle name="Normal 4 3 2 2 2 5 5" xfId="28426" xr:uid="{B11A5820-6455-4705-ABFD-A92E5EC4F429}"/>
    <cellStyle name="Normal 4 3 2 2 2 5 6" xfId="36873" xr:uid="{A5658299-886C-449E-867F-B2875323EF00}"/>
    <cellStyle name="Normal 4 3 2 2 2 5 7" xfId="10679" xr:uid="{1656111B-43C5-4F4C-8D43-6EF0F780F8DC}"/>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2 2 2" xfId="26754" xr:uid="{F5FE8BFB-3EAF-4E9A-A3C6-A0509B6C8C1A}"/>
    <cellStyle name="Normal 4 3 2 2 2 6 2 2 3" xfId="35201" xr:uid="{8482336A-0017-4A35-BEEF-89E4BD197FAA}"/>
    <cellStyle name="Normal 4 3 2 2 2 6 2 2 4" xfId="43648" xr:uid="{20960F4E-58B0-48D0-A4D0-D9EC43E946FB}"/>
    <cellStyle name="Normal 4 3 2 2 2 6 2 2 5" xfId="17454" xr:uid="{82C357B1-30C6-483A-9171-B5BFD9366525}"/>
    <cellStyle name="Normal 4 3 2 2 2 6 2 3" xfId="22537" xr:uid="{05786DAD-701D-4788-9F5E-9B89A975144D}"/>
    <cellStyle name="Normal 4 3 2 2 2 6 2 4" xfId="30984" xr:uid="{EE562B1B-B19B-469A-9810-2A172A51F1E6}"/>
    <cellStyle name="Normal 4 3 2 2 2 6 2 5" xfId="39431" xr:uid="{1509EE41-9CA9-4AF4-8FC8-E509AD282E85}"/>
    <cellStyle name="Normal 4 3 2 2 2 6 2 6" xfId="13237" xr:uid="{28BAD83B-C211-476D-998C-D67662649BAE}"/>
    <cellStyle name="Normal 4 3 2 2 2 6 3" xfId="5983" xr:uid="{00000000-0005-0000-0000-000052140000}"/>
    <cellStyle name="Normal 4 3 2 2 2 6 3 2" xfId="24609" xr:uid="{64E853BD-7E38-4177-AA8D-A0668AA4BE73}"/>
    <cellStyle name="Normal 4 3 2 2 2 6 3 3" xfId="33056" xr:uid="{03306FBE-D56E-477A-A6E4-E7AF7B5A4F21}"/>
    <cellStyle name="Normal 4 3 2 2 2 6 3 4" xfId="41503" xr:uid="{17805EB2-C6AE-49B7-9505-12C84D586CD4}"/>
    <cellStyle name="Normal 4 3 2 2 2 6 3 5" xfId="15309" xr:uid="{3C2730CA-EB15-4BBF-91DB-9C2B7A4D44A2}"/>
    <cellStyle name="Normal 4 3 2 2 2 6 4" xfId="20392" xr:uid="{EA4549D0-AD73-4C57-9684-1F140F03C3AD}"/>
    <cellStyle name="Normal 4 3 2 2 2 6 5" xfId="28839" xr:uid="{CC0C12FA-9A29-4106-8DCD-9A4D18C30C8E}"/>
    <cellStyle name="Normal 4 3 2 2 2 6 6" xfId="37286" xr:uid="{F9B4CF50-7B97-4426-ACFA-089F7F21832D}"/>
    <cellStyle name="Normal 4 3 2 2 2 6 7" xfId="11092" xr:uid="{1E26F842-8EB3-4FB5-980A-506B2983F2E8}"/>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2 2 2" xfId="27167" xr:uid="{098318EA-D27D-4A95-B98E-442F526FED78}"/>
    <cellStyle name="Normal 4 3 2 2 2 7 2 2 3" xfId="35614" xr:uid="{5CBEB6AD-7605-4573-90CE-79C08AD71747}"/>
    <cellStyle name="Normal 4 3 2 2 2 7 2 2 4" xfId="44061" xr:uid="{F34A3AA3-FD8A-4266-9B37-18EBE1756582}"/>
    <cellStyle name="Normal 4 3 2 2 2 7 2 2 5" xfId="17867" xr:uid="{B7502DE5-4F07-4B40-B887-FDE75F58C444}"/>
    <cellStyle name="Normal 4 3 2 2 2 7 2 3" xfId="22950" xr:uid="{9710EA6B-C79A-4B96-9AEB-53631E2AF5FF}"/>
    <cellStyle name="Normal 4 3 2 2 2 7 2 4" xfId="31397" xr:uid="{593F8C55-A37E-4B34-8461-9260E750B471}"/>
    <cellStyle name="Normal 4 3 2 2 2 7 2 5" xfId="39844" xr:uid="{08E88301-9752-40CD-9AA1-CC5394F5F56C}"/>
    <cellStyle name="Normal 4 3 2 2 2 7 2 6" xfId="13650" xr:uid="{889716EF-5469-44F9-85D0-9DF09A082365}"/>
    <cellStyle name="Normal 4 3 2 2 2 7 3" xfId="6396" xr:uid="{00000000-0005-0000-0000-000056140000}"/>
    <cellStyle name="Normal 4 3 2 2 2 7 3 2" xfId="25022" xr:uid="{B8E8B16C-94A1-4101-9712-A249C529C14A}"/>
    <cellStyle name="Normal 4 3 2 2 2 7 3 3" xfId="33469" xr:uid="{9FC61E36-BD0F-428F-9A9B-650E5A0AE5B5}"/>
    <cellStyle name="Normal 4 3 2 2 2 7 3 4" xfId="41916" xr:uid="{EDF58086-4EE2-40BC-BBCC-086FBA3E9513}"/>
    <cellStyle name="Normal 4 3 2 2 2 7 3 5" xfId="15722" xr:uid="{303EEFAF-F989-4AE2-8313-802C9EE73B3C}"/>
    <cellStyle name="Normal 4 3 2 2 2 7 4" xfId="20805" xr:uid="{7785EC2C-22AD-402B-BD1A-0A5072FACDEB}"/>
    <cellStyle name="Normal 4 3 2 2 2 7 5" xfId="29252" xr:uid="{5B2D110A-A85B-4501-9C95-1AE01B86A01B}"/>
    <cellStyle name="Normal 4 3 2 2 2 7 6" xfId="37699" xr:uid="{AB2F1FBD-48DE-410F-A4B9-4DFF5A7FC7CC}"/>
    <cellStyle name="Normal 4 3 2 2 2 7 7" xfId="11505" xr:uid="{B9FF7816-DA2F-49D7-AB8F-91E6203D474E}"/>
    <cellStyle name="Normal 4 3 2 2 2 8" xfId="2526" xr:uid="{00000000-0005-0000-0000-000057140000}"/>
    <cellStyle name="Normal 4 3 2 2 2 8 2" xfId="6809" xr:uid="{00000000-0005-0000-0000-000058140000}"/>
    <cellStyle name="Normal 4 3 2 2 2 8 2 2" xfId="25435" xr:uid="{CF0E87C5-E606-4834-A340-89F5BF9527B6}"/>
    <cellStyle name="Normal 4 3 2 2 2 8 2 3" xfId="33882" xr:uid="{7B7BD941-B231-4745-A06F-7A158E84C854}"/>
    <cellStyle name="Normal 4 3 2 2 2 8 2 4" xfId="42329" xr:uid="{E769BAEE-42BA-40C2-975D-CBE308DAA99F}"/>
    <cellStyle name="Normal 4 3 2 2 2 8 2 5" xfId="16135" xr:uid="{A211B888-07D3-4449-8D81-64306584BA2B}"/>
    <cellStyle name="Normal 4 3 2 2 2 8 3" xfId="21218" xr:uid="{452ACA8B-07C8-437A-B8E5-D30469569CBC}"/>
    <cellStyle name="Normal 4 3 2 2 2 8 4" xfId="29665" xr:uid="{2A65C43B-CF5D-446C-96FE-75D0AB0B4AEE}"/>
    <cellStyle name="Normal 4 3 2 2 2 8 5" xfId="38112" xr:uid="{3BE04369-9A1D-45DC-86DA-AADDF713D499}"/>
    <cellStyle name="Normal 4 3 2 2 2 8 6" xfId="11918" xr:uid="{55496C1A-B0C6-4DA8-9622-0225BA6FD25D}"/>
    <cellStyle name="Normal 4 3 2 2 2 9" xfId="4744" xr:uid="{00000000-0005-0000-0000-000059140000}"/>
    <cellStyle name="Normal 4 3 2 2 2 9 2" xfId="23370" xr:uid="{5F0CB815-C9B4-4DA2-9DB5-04118A40650F}"/>
    <cellStyle name="Normal 4 3 2 2 2 9 3" xfId="31817" xr:uid="{F744D097-1595-489C-97E4-B5A87CD9E39E}"/>
    <cellStyle name="Normal 4 3 2 2 2 9 4" xfId="40264" xr:uid="{59DAD697-F541-4AA8-861D-EC890F23B08F}"/>
    <cellStyle name="Normal 4 3 2 2 2 9 5" xfId="14070" xr:uid="{4DE78D64-F0FD-4DA2-8949-72501B4ED069}"/>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10 2" xfId="18145" xr:uid="{71FA9A3B-9EEE-4350-8527-A075D9126D59}"/>
    <cellStyle name="Normal 4 3 3 11" xfId="19157" xr:uid="{CD9894B3-948D-49F8-A3A3-9B3F57FA3CD3}"/>
    <cellStyle name="Normal 4 3 3 12" xfId="27604" xr:uid="{1882A1E8-2BE2-4BEA-8D47-86584869F67A}"/>
    <cellStyle name="Normal 4 3 3 13" xfId="36051" xr:uid="{044F4359-B78A-47C0-AB77-742984288DF3}"/>
    <cellStyle name="Normal 4 3 3 14" xfId="9857" xr:uid="{80D792FA-4251-4D77-8184-12928C5BAFA9}"/>
    <cellStyle name="Normal 4 3 3 2" xfId="375" xr:uid="{00000000-0005-0000-0000-00005E140000}"/>
    <cellStyle name="Normal 4 3 3 2 10" xfId="19158" xr:uid="{76B0803F-DD47-4DFC-BAB6-03D678A4F8B8}"/>
    <cellStyle name="Normal 4 3 3 2 11" xfId="27605" xr:uid="{76291BC6-98F8-425E-A951-28344CC7343E}"/>
    <cellStyle name="Normal 4 3 3 2 12" xfId="36052" xr:uid="{23F34812-3517-4815-863F-29310BB7B20A}"/>
    <cellStyle name="Normal 4 3 3 2 13" xfId="9858" xr:uid="{E216807E-BDD5-4CAD-A628-E7AF90B124B4}"/>
    <cellStyle name="Normal 4 3 3 2 2" xfId="376" xr:uid="{00000000-0005-0000-0000-00005F140000}"/>
    <cellStyle name="Normal 4 3 3 2 2 10" xfId="27606" xr:uid="{D8C5E60C-6B87-4793-9449-1B094580B994}"/>
    <cellStyle name="Normal 4 3 3 2 2 11" xfId="36053" xr:uid="{DA2AC136-833A-4478-949B-72EA275E11F6}"/>
    <cellStyle name="Normal 4 3 3 2 2 12" xfId="9859" xr:uid="{6745461E-12F8-42C5-BF5E-E4235D5C2D63}"/>
    <cellStyle name="Normal 4 3 3 2 2 2" xfId="851" xr:uid="{00000000-0005-0000-0000-000060140000}"/>
    <cellStyle name="Normal 4 3 3 2 2 2 2" xfId="3086" xr:uid="{00000000-0005-0000-0000-000061140000}"/>
    <cellStyle name="Normal 4 3 3 2 2 2 2 2" xfId="7308" xr:uid="{00000000-0005-0000-0000-000062140000}"/>
    <cellStyle name="Normal 4 3 3 2 2 2 2 2 2" xfId="25934" xr:uid="{FC70A699-A558-4EC2-B64B-F7EFA1DEF79E}"/>
    <cellStyle name="Normal 4 3 3 2 2 2 2 2 3" xfId="34381" xr:uid="{E35891B9-209A-4935-9B06-64C77D09433D}"/>
    <cellStyle name="Normal 4 3 3 2 2 2 2 2 4" xfId="42828" xr:uid="{5005AC60-405B-4506-8B21-AAABD7789C2F}"/>
    <cellStyle name="Normal 4 3 3 2 2 2 2 2 5" xfId="16634" xr:uid="{DB23ECBF-3297-42C4-A63B-AA844750AE1B}"/>
    <cellStyle name="Normal 4 3 3 2 2 2 2 3" xfId="21717" xr:uid="{1E49B361-3919-4597-91AD-ABF24D89F37C}"/>
    <cellStyle name="Normal 4 3 3 2 2 2 2 4" xfId="30164" xr:uid="{AEA27487-E462-4127-9D15-A76ED123866E}"/>
    <cellStyle name="Normal 4 3 3 2 2 2 2 5" xfId="38611" xr:uid="{618361DF-7B95-4D41-93C3-13940A995E54}"/>
    <cellStyle name="Normal 4 3 3 2 2 2 2 6" xfId="12417" xr:uid="{251969E8-8A95-4F53-8453-B505D498CB1F}"/>
    <cellStyle name="Normal 4 3 3 2 2 2 3" xfId="5163" xr:uid="{00000000-0005-0000-0000-000063140000}"/>
    <cellStyle name="Normal 4 3 3 2 2 2 3 2" xfId="23789" xr:uid="{515D3842-9862-4A3B-A5CD-B269F70A7832}"/>
    <cellStyle name="Normal 4 3 3 2 2 2 3 3" xfId="32236" xr:uid="{663EAB65-D863-4B16-9D64-011AD38F34D5}"/>
    <cellStyle name="Normal 4 3 3 2 2 2 3 4" xfId="40683" xr:uid="{7D2BF148-4454-4963-B3D5-87D1B9AAE903}"/>
    <cellStyle name="Normal 4 3 3 2 2 2 3 5" xfId="14489" xr:uid="{8B2EC2B7-8C6D-42A0-9B30-63574F115129}"/>
    <cellStyle name="Normal 4 3 3 2 2 2 4" xfId="9556" xr:uid="{7233D5E9-9F1E-43FF-8391-DCCFDF8A705D}"/>
    <cellStyle name="Normal 4 3 3 2 2 2 4 2" xfId="18872" xr:uid="{9CDA0CA8-0814-42EA-9BEC-798AAB57D295}"/>
    <cellStyle name="Normal 4 3 3 2 2 2 5" xfId="19572" xr:uid="{7FF3EF71-0174-46F0-9FAB-6E3A1DA74D2E}"/>
    <cellStyle name="Normal 4 3 3 2 2 2 6" xfId="28019" xr:uid="{71229616-600D-4E79-8000-A863256E3A7A}"/>
    <cellStyle name="Normal 4 3 3 2 2 2 7" xfId="36466" xr:uid="{F3CD5EE4-33C0-4A96-A74A-8A9BC4BF7732}"/>
    <cellStyle name="Normal 4 3 3 2 2 2 8" xfId="10272" xr:uid="{A35978B1-2F04-4269-B09D-DEDC89A3B324}"/>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2 2 2" xfId="26347" xr:uid="{681E1963-782A-4709-BF6A-B74CC033F8D3}"/>
    <cellStyle name="Normal 4 3 3 2 2 3 2 2 3" xfId="34794" xr:uid="{BF1F53C0-0A08-4345-8A19-38BAA67C1835}"/>
    <cellStyle name="Normal 4 3 3 2 2 3 2 2 4" xfId="43241" xr:uid="{7C2423EA-1525-4F4E-A1A5-01E7174FB0D0}"/>
    <cellStyle name="Normal 4 3 3 2 2 3 2 2 5" xfId="17047" xr:uid="{E1AF6A62-33F5-43FA-8A5A-46764F34DCB2}"/>
    <cellStyle name="Normal 4 3 3 2 2 3 2 3" xfId="22130" xr:uid="{C5A4BEE5-6F91-44CC-96D2-EDAF6BB1D6EB}"/>
    <cellStyle name="Normal 4 3 3 2 2 3 2 4" xfId="30577" xr:uid="{1E5B54A9-EFFE-4790-90D2-9D0CEC41DF7B}"/>
    <cellStyle name="Normal 4 3 3 2 2 3 2 5" xfId="39024" xr:uid="{F08C1C97-11B8-4B34-9AE3-7E8F5BF2AB7F}"/>
    <cellStyle name="Normal 4 3 3 2 2 3 2 6" xfId="12830" xr:uid="{0A2837F2-0C7D-4E70-AECD-077540CDFA72}"/>
    <cellStyle name="Normal 4 3 3 2 2 3 3" xfId="5576" xr:uid="{00000000-0005-0000-0000-000067140000}"/>
    <cellStyle name="Normal 4 3 3 2 2 3 3 2" xfId="24202" xr:uid="{FEABF8CC-8B53-46D7-8769-B5DC6F06E311}"/>
    <cellStyle name="Normal 4 3 3 2 2 3 3 3" xfId="32649" xr:uid="{1DC3875A-EE8A-4159-8B78-7951E4D83294}"/>
    <cellStyle name="Normal 4 3 3 2 2 3 3 4" xfId="41096" xr:uid="{EFEE1797-3FBC-4F62-B83D-0FCDDF4B7746}"/>
    <cellStyle name="Normal 4 3 3 2 2 3 3 5" xfId="14902" xr:uid="{182B36B5-54C2-4CDB-8014-2634748BD5D2}"/>
    <cellStyle name="Normal 4 3 3 2 2 3 4" xfId="19985" xr:uid="{7ED756DC-667C-478A-9908-2E92370EC37F}"/>
    <cellStyle name="Normal 4 3 3 2 2 3 5" xfId="28432" xr:uid="{29B2ECEE-D6A9-40AB-8552-3021A871D132}"/>
    <cellStyle name="Normal 4 3 3 2 2 3 6" xfId="36879" xr:uid="{BB68BF7B-5B8E-4A91-B996-B476795D4EDB}"/>
    <cellStyle name="Normal 4 3 3 2 2 3 7" xfId="10685" xr:uid="{91541B2C-79B5-4C06-8D61-3291DCEAF29E}"/>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2 2 2" xfId="26760" xr:uid="{CB497C6B-43CF-4D7E-9F24-4A62B73409FA}"/>
    <cellStyle name="Normal 4 3 3 2 2 4 2 2 3" xfId="35207" xr:uid="{413B91DE-8A89-4315-A9B6-4E05AB7FC4E0}"/>
    <cellStyle name="Normal 4 3 3 2 2 4 2 2 4" xfId="43654" xr:uid="{4B63746F-8B31-48C6-ABE2-BE3B95D55420}"/>
    <cellStyle name="Normal 4 3 3 2 2 4 2 2 5" xfId="17460" xr:uid="{4E78B4FB-8C12-47B1-AFD3-6FB07F1E0DCB}"/>
    <cellStyle name="Normal 4 3 3 2 2 4 2 3" xfId="22543" xr:uid="{FD876CAB-794E-4369-B202-900B04B74F6D}"/>
    <cellStyle name="Normal 4 3 3 2 2 4 2 4" xfId="30990" xr:uid="{07E881F3-7D18-4BB2-A8DE-77E4F1E76366}"/>
    <cellStyle name="Normal 4 3 3 2 2 4 2 5" xfId="39437" xr:uid="{98E68975-E504-4C50-8488-C695D3BC065F}"/>
    <cellStyle name="Normal 4 3 3 2 2 4 2 6" xfId="13243" xr:uid="{38F7DCD4-E9CA-480B-ABCF-3474DC534FE1}"/>
    <cellStyle name="Normal 4 3 3 2 2 4 3" xfId="5989" xr:uid="{00000000-0005-0000-0000-00006B140000}"/>
    <cellStyle name="Normal 4 3 3 2 2 4 3 2" xfId="24615" xr:uid="{00BA8110-34D7-4BB2-BECA-CCBE2470C9B5}"/>
    <cellStyle name="Normal 4 3 3 2 2 4 3 3" xfId="33062" xr:uid="{2D5FAF04-DDCB-4E1F-8A75-77CD261524FF}"/>
    <cellStyle name="Normal 4 3 3 2 2 4 3 4" xfId="41509" xr:uid="{282B2D03-69B0-4A0F-8DB1-3B7376B165E9}"/>
    <cellStyle name="Normal 4 3 3 2 2 4 3 5" xfId="15315" xr:uid="{2B56FAF9-A6E6-4DD6-B17D-A67FF75025EB}"/>
    <cellStyle name="Normal 4 3 3 2 2 4 4" xfId="20398" xr:uid="{F5F5DD43-DEDB-4C08-BDE5-5BA60A377DCB}"/>
    <cellStyle name="Normal 4 3 3 2 2 4 5" xfId="28845" xr:uid="{E3243A22-C1B0-4D8F-A6DB-96700DA4EA77}"/>
    <cellStyle name="Normal 4 3 3 2 2 4 6" xfId="37292" xr:uid="{503E189A-0A27-451E-90B3-BA892D3AA21D}"/>
    <cellStyle name="Normal 4 3 3 2 2 4 7" xfId="11098" xr:uid="{14359446-5794-4679-ADAD-4B1AA7454C18}"/>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2 2 2" xfId="27173" xr:uid="{056A9CE1-37D0-494A-B470-4E0FAEFCD509}"/>
    <cellStyle name="Normal 4 3 3 2 2 5 2 2 3" xfId="35620" xr:uid="{4C3E0A12-E1F6-4A9A-A590-45F0EE827FEF}"/>
    <cellStyle name="Normal 4 3 3 2 2 5 2 2 4" xfId="44067" xr:uid="{A2224556-5186-4713-8BB2-7F75DA6522C9}"/>
    <cellStyle name="Normal 4 3 3 2 2 5 2 2 5" xfId="17873" xr:uid="{6B79023B-C648-41BC-8F38-296E64A676A5}"/>
    <cellStyle name="Normal 4 3 3 2 2 5 2 3" xfId="22956" xr:uid="{ADF8CC60-CD14-4513-B853-8CE68B291D4E}"/>
    <cellStyle name="Normal 4 3 3 2 2 5 2 4" xfId="31403" xr:uid="{37086684-01BA-45EE-A7C1-BE26B6A99DEF}"/>
    <cellStyle name="Normal 4 3 3 2 2 5 2 5" xfId="39850" xr:uid="{F68EAF16-EB14-4F98-B3D2-674266BFAF1A}"/>
    <cellStyle name="Normal 4 3 3 2 2 5 2 6" xfId="13656" xr:uid="{96D25982-F103-42E1-9F18-3B6CE2243859}"/>
    <cellStyle name="Normal 4 3 3 2 2 5 3" xfId="6402" xr:uid="{00000000-0005-0000-0000-00006F140000}"/>
    <cellStyle name="Normal 4 3 3 2 2 5 3 2" xfId="25028" xr:uid="{FD88C6CE-8FCC-49BF-8676-F3F39B574BC0}"/>
    <cellStyle name="Normal 4 3 3 2 2 5 3 3" xfId="33475" xr:uid="{7084DAAA-2B0F-44FF-9429-C22467E4B003}"/>
    <cellStyle name="Normal 4 3 3 2 2 5 3 4" xfId="41922" xr:uid="{FBA92311-C1E0-4969-B889-47DA160F0874}"/>
    <cellStyle name="Normal 4 3 3 2 2 5 3 5" xfId="15728" xr:uid="{9A7A00AE-88F4-489D-B657-49A66F4AA2FF}"/>
    <cellStyle name="Normal 4 3 3 2 2 5 4" xfId="20811" xr:uid="{F050FD92-FB43-4ECC-90AE-8D245F621F4F}"/>
    <cellStyle name="Normal 4 3 3 2 2 5 5" xfId="29258" xr:uid="{3D5AA11F-2419-4AF7-B2B1-0A95AD82086E}"/>
    <cellStyle name="Normal 4 3 3 2 2 5 6" xfId="37705" xr:uid="{BC2647D5-0046-4226-96AF-BE711AB384C5}"/>
    <cellStyle name="Normal 4 3 3 2 2 5 7" xfId="11511" xr:uid="{2D4B7172-E58B-4F1B-A73D-9C68C2D46C23}"/>
    <cellStyle name="Normal 4 3 3 2 2 6" xfId="2532" xr:uid="{00000000-0005-0000-0000-000070140000}"/>
    <cellStyle name="Normal 4 3 3 2 2 6 2" xfId="6815" xr:uid="{00000000-0005-0000-0000-000071140000}"/>
    <cellStyle name="Normal 4 3 3 2 2 6 2 2" xfId="25441" xr:uid="{346989FA-97FB-423F-A124-CC5B77E2D170}"/>
    <cellStyle name="Normal 4 3 3 2 2 6 2 3" xfId="33888" xr:uid="{F3C65914-7A18-49ED-B2D0-45849271D747}"/>
    <cellStyle name="Normal 4 3 3 2 2 6 2 4" xfId="42335" xr:uid="{65ADF033-171A-43E7-864E-AF1FDFBE8DC5}"/>
    <cellStyle name="Normal 4 3 3 2 2 6 2 5" xfId="16141" xr:uid="{1A1F22E1-4CF9-49AC-B68F-2B3AAAA286D0}"/>
    <cellStyle name="Normal 4 3 3 2 2 6 3" xfId="21224" xr:uid="{5685D2AD-19EB-42DB-A33C-DD9B5851EA57}"/>
    <cellStyle name="Normal 4 3 3 2 2 6 4" xfId="29671" xr:uid="{B22E47E0-4F44-49BF-ACAA-3722FB66C46F}"/>
    <cellStyle name="Normal 4 3 3 2 2 6 5" xfId="38118" xr:uid="{DC0EEAC9-9210-4445-AAF6-A74D9048CA41}"/>
    <cellStyle name="Normal 4 3 3 2 2 6 6" xfId="11924" xr:uid="{15A25BC1-74B2-4CFF-9EAF-57ABF206BE98}"/>
    <cellStyle name="Normal 4 3 3 2 2 7" xfId="4750" xr:uid="{00000000-0005-0000-0000-000072140000}"/>
    <cellStyle name="Normal 4 3 3 2 2 7 2" xfId="23376" xr:uid="{349B6472-E981-4255-BB90-C73CCE18F361}"/>
    <cellStyle name="Normal 4 3 3 2 2 7 3" xfId="31823" xr:uid="{2F1E7AF2-FF98-49B4-AB41-65C62B96F9AE}"/>
    <cellStyle name="Normal 4 3 3 2 2 7 4" xfId="40270" xr:uid="{E060A300-8A49-4880-8286-67B8F91E4ED3}"/>
    <cellStyle name="Normal 4 3 3 2 2 7 5" xfId="14076" xr:uid="{DD84EEC0-2AD1-4559-807B-3D85E7A8AC71}"/>
    <cellStyle name="Normal 4 3 3 2 2 8" xfId="9131" xr:uid="{D7BA3B10-6765-4B57-99D1-3AF7343772F8}"/>
    <cellStyle name="Normal 4 3 3 2 2 8 2" xfId="18455" xr:uid="{BBF61B17-31DE-4A64-BC30-8D9DAE88D27E}"/>
    <cellStyle name="Normal 4 3 3 2 2 9" xfId="19159" xr:uid="{85398649-932F-4A57-BA8A-DD610BF35A37}"/>
    <cellStyle name="Normal 4 3 3 2 3" xfId="850" xr:uid="{00000000-0005-0000-0000-000073140000}"/>
    <cellStyle name="Normal 4 3 3 2 3 2" xfId="3085" xr:uid="{00000000-0005-0000-0000-000074140000}"/>
    <cellStyle name="Normal 4 3 3 2 3 2 2" xfId="7307" xr:uid="{00000000-0005-0000-0000-000075140000}"/>
    <cellStyle name="Normal 4 3 3 2 3 2 2 2" xfId="25933" xr:uid="{B2AA6AE8-9075-434D-9CE0-B90F993C8EDA}"/>
    <cellStyle name="Normal 4 3 3 2 3 2 2 3" xfId="34380" xr:uid="{8FACBE10-0B15-4812-8E35-5CEBB0C9683B}"/>
    <cellStyle name="Normal 4 3 3 2 3 2 2 4" xfId="42827" xr:uid="{C924FC6D-19A4-42C9-815B-5C9F5CC040A2}"/>
    <cellStyle name="Normal 4 3 3 2 3 2 2 5" xfId="16633" xr:uid="{09735F46-A8A0-4EBF-8F83-45A3CEF9B19E}"/>
    <cellStyle name="Normal 4 3 3 2 3 2 3" xfId="21716" xr:uid="{0D2E016D-E8D6-469E-B3EB-15C6437EF996}"/>
    <cellStyle name="Normal 4 3 3 2 3 2 4" xfId="30163" xr:uid="{03D66E9D-BAEB-4140-9E96-09D4BACE1D58}"/>
    <cellStyle name="Normal 4 3 3 2 3 2 5" xfId="38610" xr:uid="{6C9C921C-B8BD-478C-A458-D88511B43441}"/>
    <cellStyle name="Normal 4 3 3 2 3 2 6" xfId="12416" xr:uid="{90008AD9-E0A4-4729-8646-095AE7F323ED}"/>
    <cellStyle name="Normal 4 3 3 2 3 3" xfId="5162" xr:uid="{00000000-0005-0000-0000-000076140000}"/>
    <cellStyle name="Normal 4 3 3 2 3 3 2" xfId="23788" xr:uid="{1BE2C8CF-178C-4205-A632-BE8EA3159F62}"/>
    <cellStyle name="Normal 4 3 3 2 3 3 3" xfId="32235" xr:uid="{01503F6C-1D17-4EB1-A647-627390DF1318}"/>
    <cellStyle name="Normal 4 3 3 2 3 3 4" xfId="40682" xr:uid="{987671B1-7129-4576-A135-908D3A83B4F6}"/>
    <cellStyle name="Normal 4 3 3 2 3 3 5" xfId="14488" xr:uid="{A7BBAD8B-65F4-4FE6-81BD-30C48F1B02F5}"/>
    <cellStyle name="Normal 4 3 3 2 3 4" xfId="9349" xr:uid="{E498700C-D7AE-42FC-8EB1-59BA2C1BA6B9}"/>
    <cellStyle name="Normal 4 3 3 2 3 4 2" xfId="18665" xr:uid="{0489A9D7-69C1-4E0A-A648-060E6CB91C53}"/>
    <cellStyle name="Normal 4 3 3 2 3 5" xfId="19571" xr:uid="{C809C97D-9C3C-4180-8693-E29ED4781FCF}"/>
    <cellStyle name="Normal 4 3 3 2 3 6" xfId="28018" xr:uid="{443DA134-C4BF-4277-BC37-99B8AE472678}"/>
    <cellStyle name="Normal 4 3 3 2 3 7" xfId="36465" xr:uid="{BB716EF1-59ED-4C00-976C-921D918E55BE}"/>
    <cellStyle name="Normal 4 3 3 2 3 8" xfId="10271" xr:uid="{BC11A7F3-73DB-472E-909A-1B9E18FBF8AF}"/>
    <cellStyle name="Normal 4 3 3 2 4" xfId="1268" xr:uid="{00000000-0005-0000-0000-000077140000}"/>
    <cellStyle name="Normal 4 3 3 2 4 2" xfId="3498" xr:uid="{00000000-0005-0000-0000-000078140000}"/>
    <cellStyle name="Normal 4 3 3 2 4 2 2" xfId="7720" xr:uid="{00000000-0005-0000-0000-000079140000}"/>
    <cellStyle name="Normal 4 3 3 2 4 2 2 2" xfId="26346" xr:uid="{0B9B632E-AB03-4357-A9FC-5F852BF09645}"/>
    <cellStyle name="Normal 4 3 3 2 4 2 2 3" xfId="34793" xr:uid="{6197B8BD-D40B-4B42-B139-94D3E4E5B02B}"/>
    <cellStyle name="Normal 4 3 3 2 4 2 2 4" xfId="43240" xr:uid="{3D8CA754-0F4B-4CC0-9668-6F6E76C775E6}"/>
    <cellStyle name="Normal 4 3 3 2 4 2 2 5" xfId="17046" xr:uid="{695F4394-EBB6-4614-BAFA-214AC953262D}"/>
    <cellStyle name="Normal 4 3 3 2 4 2 3" xfId="22129" xr:uid="{77040A53-20BC-4AEB-A40B-7E31ABC5CA5B}"/>
    <cellStyle name="Normal 4 3 3 2 4 2 4" xfId="30576" xr:uid="{18459794-B57C-486B-8150-58D01F0A6484}"/>
    <cellStyle name="Normal 4 3 3 2 4 2 5" xfId="39023" xr:uid="{98BF95F7-1B73-4B0F-A845-D8BB535B1925}"/>
    <cellStyle name="Normal 4 3 3 2 4 2 6" xfId="12829" xr:uid="{A010C6B0-D258-4438-B385-17CD7EAA0124}"/>
    <cellStyle name="Normal 4 3 3 2 4 3" xfId="5575" xr:uid="{00000000-0005-0000-0000-00007A140000}"/>
    <cellStyle name="Normal 4 3 3 2 4 3 2" xfId="24201" xr:uid="{A1670493-5348-4D53-82EC-87F77F145AB8}"/>
    <cellStyle name="Normal 4 3 3 2 4 3 3" xfId="32648" xr:uid="{96A19FC6-7A96-49F2-B534-68CF7D070A99}"/>
    <cellStyle name="Normal 4 3 3 2 4 3 4" xfId="41095" xr:uid="{1A2E1798-15CF-400B-AECB-03C1D1620BB3}"/>
    <cellStyle name="Normal 4 3 3 2 4 3 5" xfId="14901" xr:uid="{8B2816E5-115B-46FC-B8D9-50F991AC4269}"/>
    <cellStyle name="Normal 4 3 3 2 4 4" xfId="19984" xr:uid="{EA10EE45-6F6D-4010-9A7A-5713943A9A3A}"/>
    <cellStyle name="Normal 4 3 3 2 4 5" xfId="28431" xr:uid="{86E90041-2B9B-40C4-B717-FF4608FEEE1C}"/>
    <cellStyle name="Normal 4 3 3 2 4 6" xfId="36878" xr:uid="{CF9C55F7-333F-4639-9C98-6E0FCEBC6552}"/>
    <cellStyle name="Normal 4 3 3 2 4 7" xfId="10684" xr:uid="{2BE60248-04D0-45C8-A19F-719DD0C7002D}"/>
    <cellStyle name="Normal 4 3 3 2 5" xfId="1681" xr:uid="{00000000-0005-0000-0000-00007B140000}"/>
    <cellStyle name="Normal 4 3 3 2 5 2" xfId="3911" xr:uid="{00000000-0005-0000-0000-00007C140000}"/>
    <cellStyle name="Normal 4 3 3 2 5 2 2" xfId="8133" xr:uid="{00000000-0005-0000-0000-00007D140000}"/>
    <cellStyle name="Normal 4 3 3 2 5 2 2 2" xfId="26759" xr:uid="{92AAE8C9-0233-4C47-8B1F-6E3C02197B28}"/>
    <cellStyle name="Normal 4 3 3 2 5 2 2 3" xfId="35206" xr:uid="{1E896CD6-35F7-493D-9459-64E33BDAB35A}"/>
    <cellStyle name="Normal 4 3 3 2 5 2 2 4" xfId="43653" xr:uid="{3F5BDA49-7827-4482-85C7-675174AFF94E}"/>
    <cellStyle name="Normal 4 3 3 2 5 2 2 5" xfId="17459" xr:uid="{52E34B0B-B511-46B8-A91E-2CAD60415430}"/>
    <cellStyle name="Normal 4 3 3 2 5 2 3" xfId="22542" xr:uid="{63E5A6B1-7383-49E9-95D2-4754BCFA6156}"/>
    <cellStyle name="Normal 4 3 3 2 5 2 4" xfId="30989" xr:uid="{D9251780-AD3F-42D6-8C3A-1E4CFA071E19}"/>
    <cellStyle name="Normal 4 3 3 2 5 2 5" xfId="39436" xr:uid="{28B83AA7-3E76-4A40-AEDD-A350A53C543D}"/>
    <cellStyle name="Normal 4 3 3 2 5 2 6" xfId="13242" xr:uid="{775D00F7-2E59-4666-85DE-3A81BBBBCBEC}"/>
    <cellStyle name="Normal 4 3 3 2 5 3" xfId="5988" xr:uid="{00000000-0005-0000-0000-00007E140000}"/>
    <cellStyle name="Normal 4 3 3 2 5 3 2" xfId="24614" xr:uid="{03D55FCA-6380-4C01-8A5D-72FAEFCDC261}"/>
    <cellStyle name="Normal 4 3 3 2 5 3 3" xfId="33061" xr:uid="{1E3E9F7B-8A4A-453C-974F-1A4C247FD4B8}"/>
    <cellStyle name="Normal 4 3 3 2 5 3 4" xfId="41508" xr:uid="{A848BDE6-1AB8-4A70-B7C2-6B0031501E2F}"/>
    <cellStyle name="Normal 4 3 3 2 5 3 5" xfId="15314" xr:uid="{EBAA3B8E-AD84-48C1-97B8-AE8DD44BDD68}"/>
    <cellStyle name="Normal 4 3 3 2 5 4" xfId="20397" xr:uid="{9BF25738-FEE0-46D0-B1E3-E8DC94B07F8E}"/>
    <cellStyle name="Normal 4 3 3 2 5 5" xfId="28844" xr:uid="{BFB49F49-FF26-44CF-AAB0-D24D3EF0E0EE}"/>
    <cellStyle name="Normal 4 3 3 2 5 6" xfId="37291" xr:uid="{EEBA2A3F-533A-47DC-8067-5E6AD6CE9B9F}"/>
    <cellStyle name="Normal 4 3 3 2 5 7" xfId="11097" xr:uid="{896645AD-0C03-4EED-97F9-F8D1C75FC14A}"/>
    <cellStyle name="Normal 4 3 3 2 6" xfId="2095" xr:uid="{00000000-0005-0000-0000-00007F140000}"/>
    <cellStyle name="Normal 4 3 3 2 6 2" xfId="4324" xr:uid="{00000000-0005-0000-0000-000080140000}"/>
    <cellStyle name="Normal 4 3 3 2 6 2 2" xfId="8546" xr:uid="{00000000-0005-0000-0000-000081140000}"/>
    <cellStyle name="Normal 4 3 3 2 6 2 2 2" xfId="27172" xr:uid="{483C413D-8F13-40BE-AD2E-763C5C5693A9}"/>
    <cellStyle name="Normal 4 3 3 2 6 2 2 3" xfId="35619" xr:uid="{0860F3AD-8A97-44B0-90DD-10BD0C771622}"/>
    <cellStyle name="Normal 4 3 3 2 6 2 2 4" xfId="44066" xr:uid="{F436C52C-51EA-42DD-BB8C-D1A408EF56AA}"/>
    <cellStyle name="Normal 4 3 3 2 6 2 2 5" xfId="17872" xr:uid="{2D1DCDF3-A5D2-48F3-943E-30B0F9B5E5FF}"/>
    <cellStyle name="Normal 4 3 3 2 6 2 3" xfId="22955" xr:uid="{A90EFC75-0512-45FA-8738-8414621F73CC}"/>
    <cellStyle name="Normal 4 3 3 2 6 2 4" xfId="31402" xr:uid="{39DA723C-4509-49C3-8E43-5702D5119951}"/>
    <cellStyle name="Normal 4 3 3 2 6 2 5" xfId="39849" xr:uid="{5061E752-5AAC-4B5A-985F-722071C1C38C}"/>
    <cellStyle name="Normal 4 3 3 2 6 2 6" xfId="13655" xr:uid="{050AA525-9B17-4262-9DB7-A8BF7D37C899}"/>
    <cellStyle name="Normal 4 3 3 2 6 3" xfId="6401" xr:uid="{00000000-0005-0000-0000-000082140000}"/>
    <cellStyle name="Normal 4 3 3 2 6 3 2" xfId="25027" xr:uid="{62E7402C-0A17-4F2B-8E2E-9BC2DC2D2881}"/>
    <cellStyle name="Normal 4 3 3 2 6 3 3" xfId="33474" xr:uid="{49365A90-1ADE-40B3-8F7D-5A5E90EAF6BE}"/>
    <cellStyle name="Normal 4 3 3 2 6 3 4" xfId="41921" xr:uid="{9D3C1761-CCD9-4CDA-887A-75816838692D}"/>
    <cellStyle name="Normal 4 3 3 2 6 3 5" xfId="15727" xr:uid="{9FCB852C-C966-4D44-8A34-7A57248BCE4A}"/>
    <cellStyle name="Normal 4 3 3 2 6 4" xfId="20810" xr:uid="{D815B939-E7E7-4A5F-A1C3-707FEBDCF347}"/>
    <cellStyle name="Normal 4 3 3 2 6 5" xfId="29257" xr:uid="{0B222879-3C7C-4897-B259-644A420D616B}"/>
    <cellStyle name="Normal 4 3 3 2 6 6" xfId="37704" xr:uid="{88351046-E09A-477B-B9F2-238935B395BA}"/>
    <cellStyle name="Normal 4 3 3 2 6 7" xfId="11510" xr:uid="{8BB5D74E-42CF-42B6-ADA7-1C783C1ADCAA}"/>
    <cellStyle name="Normal 4 3 3 2 7" xfId="2531" xr:uid="{00000000-0005-0000-0000-000083140000}"/>
    <cellStyle name="Normal 4 3 3 2 7 2" xfId="6814" xr:uid="{00000000-0005-0000-0000-000084140000}"/>
    <cellStyle name="Normal 4 3 3 2 7 2 2" xfId="25440" xr:uid="{0A5A9F24-BC0F-4C27-B345-7A2F05323331}"/>
    <cellStyle name="Normal 4 3 3 2 7 2 3" xfId="33887" xr:uid="{9169F485-B29A-4F6B-80B7-103848EBA941}"/>
    <cellStyle name="Normal 4 3 3 2 7 2 4" xfId="42334" xr:uid="{6A1DB731-88FF-49BF-9DCF-60799106E5B4}"/>
    <cellStyle name="Normal 4 3 3 2 7 2 5" xfId="16140" xr:uid="{4C9577C8-5DC8-43E5-8706-8A75C06FADB1}"/>
    <cellStyle name="Normal 4 3 3 2 7 3" xfId="21223" xr:uid="{5EEE111A-C715-42B6-B158-5111689A171C}"/>
    <cellStyle name="Normal 4 3 3 2 7 4" xfId="29670" xr:uid="{850547BF-74A6-4DFF-AF8D-931DD1CCF1E4}"/>
    <cellStyle name="Normal 4 3 3 2 7 5" xfId="38117" xr:uid="{B9DD3BC0-DE41-49E8-B72E-C89D6526B3AD}"/>
    <cellStyle name="Normal 4 3 3 2 7 6" xfId="11923" xr:uid="{CB00E653-C670-4342-8230-E683185B64A0}"/>
    <cellStyle name="Normal 4 3 3 2 8" xfId="4749" xr:uid="{00000000-0005-0000-0000-000085140000}"/>
    <cellStyle name="Normal 4 3 3 2 8 2" xfId="23375" xr:uid="{6DFABF85-2AF4-4FCD-89F6-96ACCD155199}"/>
    <cellStyle name="Normal 4 3 3 2 8 3" xfId="31822" xr:uid="{CC22EA59-5BB4-417E-9C5E-0AB4962739D7}"/>
    <cellStyle name="Normal 4 3 3 2 8 4" xfId="40269" xr:uid="{611BCAD0-C427-4EFF-8607-E70100E042E9}"/>
    <cellStyle name="Normal 4 3 3 2 8 5" xfId="14075" xr:uid="{36AD9FC7-95A8-40C7-B1CB-C0DD0239F883}"/>
    <cellStyle name="Normal 4 3 3 2 9" xfId="8924" xr:uid="{F9E914C5-63E8-4CB8-8EA1-7427CE35C4AA}"/>
    <cellStyle name="Normal 4 3 3 2 9 2" xfId="18248" xr:uid="{76ED09A7-96FA-4C51-B64D-E147255D37F3}"/>
    <cellStyle name="Normal 4 3 3 3" xfId="377" xr:uid="{00000000-0005-0000-0000-000086140000}"/>
    <cellStyle name="Normal 4 3 3 3 10" xfId="27607" xr:uid="{0E438D4E-001F-4CB0-A5A1-4EED2601FFC6}"/>
    <cellStyle name="Normal 4 3 3 3 11" xfId="36054" xr:uid="{118A1A31-C23B-4591-AD9A-37660139CC36}"/>
    <cellStyle name="Normal 4 3 3 3 12" xfId="9860" xr:uid="{E302E4DB-6FA8-4221-B612-A9EEE56890F2}"/>
    <cellStyle name="Normal 4 3 3 3 2" xfId="852" xr:uid="{00000000-0005-0000-0000-000087140000}"/>
    <cellStyle name="Normal 4 3 3 3 2 2" xfId="3087" xr:uid="{00000000-0005-0000-0000-000088140000}"/>
    <cellStyle name="Normal 4 3 3 3 2 2 2" xfId="7309" xr:uid="{00000000-0005-0000-0000-000089140000}"/>
    <cellStyle name="Normal 4 3 3 3 2 2 2 2" xfId="25935" xr:uid="{4289BB10-3EA7-4916-91AD-7A5C5A6E238D}"/>
    <cellStyle name="Normal 4 3 3 3 2 2 2 3" xfId="34382" xr:uid="{939F75BC-8953-4987-AE77-D5700466E674}"/>
    <cellStyle name="Normal 4 3 3 3 2 2 2 4" xfId="42829" xr:uid="{161D9EC7-75CE-4882-9DA5-FCF9D59B19A2}"/>
    <cellStyle name="Normal 4 3 3 3 2 2 2 5" xfId="16635" xr:uid="{003FA47D-8F60-4F89-AF12-FC154F6C8CAE}"/>
    <cellStyle name="Normal 4 3 3 3 2 2 3" xfId="21718" xr:uid="{33C69664-9B98-44BF-ABCC-0F335FB9B391}"/>
    <cellStyle name="Normal 4 3 3 3 2 2 4" xfId="30165" xr:uid="{AEFD36B1-2484-447C-B536-65B619B87195}"/>
    <cellStyle name="Normal 4 3 3 3 2 2 5" xfId="38612" xr:uid="{F6597438-4673-4358-B388-F0420C142981}"/>
    <cellStyle name="Normal 4 3 3 3 2 2 6" xfId="12418" xr:uid="{CCC60E0B-5285-45EF-B66A-D94CBD0271B5}"/>
    <cellStyle name="Normal 4 3 3 3 2 3" xfId="5164" xr:uid="{00000000-0005-0000-0000-00008A140000}"/>
    <cellStyle name="Normal 4 3 3 3 2 3 2" xfId="23790" xr:uid="{9802942C-1085-49F5-99D7-43C30F3EB27B}"/>
    <cellStyle name="Normal 4 3 3 3 2 3 3" xfId="32237" xr:uid="{054744E5-48C5-4881-9757-2EBCF79C3CC3}"/>
    <cellStyle name="Normal 4 3 3 3 2 3 4" xfId="40684" xr:uid="{92499CB3-493E-4315-8B35-BE359FAC92AD}"/>
    <cellStyle name="Normal 4 3 3 3 2 3 5" xfId="14490" xr:uid="{BBE61DEF-7135-43A0-9147-85F169B0E4A2}"/>
    <cellStyle name="Normal 4 3 3 3 2 4" xfId="9453" xr:uid="{18D68920-503C-42C1-A733-EBE17DC6D008}"/>
    <cellStyle name="Normal 4 3 3 3 2 4 2" xfId="18769" xr:uid="{B77CA1CD-7501-42D4-8DB5-0C7529E7C85F}"/>
    <cellStyle name="Normal 4 3 3 3 2 5" xfId="19573" xr:uid="{09D10DEA-DF84-48C2-ADCE-7481FCEA05C3}"/>
    <cellStyle name="Normal 4 3 3 3 2 6" xfId="28020" xr:uid="{DD53DD71-0C4C-4C87-945C-09A1E2C52DBA}"/>
    <cellStyle name="Normal 4 3 3 3 2 7" xfId="36467" xr:uid="{9E99FFD1-59A2-4953-BD0A-D0183A4B8E82}"/>
    <cellStyle name="Normal 4 3 3 3 2 8" xfId="10273" xr:uid="{ECC3655B-A933-44CB-9EF5-620B8AAA8E15}"/>
    <cellStyle name="Normal 4 3 3 3 3" xfId="1270" xr:uid="{00000000-0005-0000-0000-00008B140000}"/>
    <cellStyle name="Normal 4 3 3 3 3 2" xfId="3500" xr:uid="{00000000-0005-0000-0000-00008C140000}"/>
    <cellStyle name="Normal 4 3 3 3 3 2 2" xfId="7722" xr:uid="{00000000-0005-0000-0000-00008D140000}"/>
    <cellStyle name="Normal 4 3 3 3 3 2 2 2" xfId="26348" xr:uid="{C56AD01C-43B6-40BC-BD04-C2AFE7C131EE}"/>
    <cellStyle name="Normal 4 3 3 3 3 2 2 3" xfId="34795" xr:uid="{F869AE19-7F7D-46A9-B4CD-F53D822068BE}"/>
    <cellStyle name="Normal 4 3 3 3 3 2 2 4" xfId="43242" xr:uid="{27B2FCFC-A5CD-499B-B286-3013883F78EA}"/>
    <cellStyle name="Normal 4 3 3 3 3 2 2 5" xfId="17048" xr:uid="{28E69AA5-E6A1-441A-B9C1-DFD9569B94B0}"/>
    <cellStyle name="Normal 4 3 3 3 3 2 3" xfId="22131" xr:uid="{7C3A796E-003A-4044-9152-D512BF84803D}"/>
    <cellStyle name="Normal 4 3 3 3 3 2 4" xfId="30578" xr:uid="{1D45AEF0-ECEE-4570-94C3-FAF18B523196}"/>
    <cellStyle name="Normal 4 3 3 3 3 2 5" xfId="39025" xr:uid="{B2AAA2AD-627B-4662-AE4D-C1CE079AA5ED}"/>
    <cellStyle name="Normal 4 3 3 3 3 2 6" xfId="12831" xr:uid="{581ADA20-4083-46E6-935D-48E6659893F0}"/>
    <cellStyle name="Normal 4 3 3 3 3 3" xfId="5577" xr:uid="{00000000-0005-0000-0000-00008E140000}"/>
    <cellStyle name="Normal 4 3 3 3 3 3 2" xfId="24203" xr:uid="{42E9B5DE-30DD-4438-B44A-0530400CF08D}"/>
    <cellStyle name="Normal 4 3 3 3 3 3 3" xfId="32650" xr:uid="{A52450ED-5890-49BE-BD6E-E45DFACC9829}"/>
    <cellStyle name="Normal 4 3 3 3 3 3 4" xfId="41097" xr:uid="{4150614C-CCF8-4088-9EC4-C6946DFF408D}"/>
    <cellStyle name="Normal 4 3 3 3 3 3 5" xfId="14903" xr:uid="{DC0DA1B2-06B5-4DF7-9CC5-C10F43C3EE61}"/>
    <cellStyle name="Normal 4 3 3 3 3 4" xfId="19986" xr:uid="{00982949-38AB-4C53-86B1-C6DE7AA828E0}"/>
    <cellStyle name="Normal 4 3 3 3 3 5" xfId="28433" xr:uid="{E2A54B1E-2833-45FD-BD22-5CD45824852F}"/>
    <cellStyle name="Normal 4 3 3 3 3 6" xfId="36880" xr:uid="{C1573C42-3A8C-41C5-B7C1-2EA6268FDDA7}"/>
    <cellStyle name="Normal 4 3 3 3 3 7" xfId="10686" xr:uid="{8D1070F1-F8BB-4C73-8A68-50D4B4E69785}"/>
    <cellStyle name="Normal 4 3 3 3 4" xfId="1683" xr:uid="{00000000-0005-0000-0000-00008F140000}"/>
    <cellStyle name="Normal 4 3 3 3 4 2" xfId="3913" xr:uid="{00000000-0005-0000-0000-000090140000}"/>
    <cellStyle name="Normal 4 3 3 3 4 2 2" xfId="8135" xr:uid="{00000000-0005-0000-0000-000091140000}"/>
    <cellStyle name="Normal 4 3 3 3 4 2 2 2" xfId="26761" xr:uid="{D6BDEA8A-A56E-4F8B-919F-65CDF5F64184}"/>
    <cellStyle name="Normal 4 3 3 3 4 2 2 3" xfId="35208" xr:uid="{D2FE67D3-4CC4-4588-909C-16D1BA04C719}"/>
    <cellStyle name="Normal 4 3 3 3 4 2 2 4" xfId="43655" xr:uid="{B9E380AB-4B01-4F18-9E2E-677639926F12}"/>
    <cellStyle name="Normal 4 3 3 3 4 2 2 5" xfId="17461" xr:uid="{13F12819-3EA8-4C32-9329-59F8A83EF690}"/>
    <cellStyle name="Normal 4 3 3 3 4 2 3" xfId="22544" xr:uid="{B7393799-DB37-4D84-9AF7-DDB74A453E67}"/>
    <cellStyle name="Normal 4 3 3 3 4 2 4" xfId="30991" xr:uid="{34392804-3736-458C-BB80-B31CA56CB657}"/>
    <cellStyle name="Normal 4 3 3 3 4 2 5" xfId="39438" xr:uid="{493F940E-03A6-459D-A832-B3A9DA38FE41}"/>
    <cellStyle name="Normal 4 3 3 3 4 2 6" xfId="13244" xr:uid="{2432AD19-E151-4ED1-814D-22979FB5510F}"/>
    <cellStyle name="Normal 4 3 3 3 4 3" xfId="5990" xr:uid="{00000000-0005-0000-0000-000092140000}"/>
    <cellStyle name="Normal 4 3 3 3 4 3 2" xfId="24616" xr:uid="{1559E9BB-685D-4C8B-8D4F-48BE693C07D2}"/>
    <cellStyle name="Normal 4 3 3 3 4 3 3" xfId="33063" xr:uid="{49381C44-4F22-4FDC-A4BB-5EDF5A12966D}"/>
    <cellStyle name="Normal 4 3 3 3 4 3 4" xfId="41510" xr:uid="{58FCC58A-8A58-406C-A211-C0275774EDCF}"/>
    <cellStyle name="Normal 4 3 3 3 4 3 5" xfId="15316" xr:uid="{52F2453B-36F7-45B4-8B53-3D86C2EE48DA}"/>
    <cellStyle name="Normal 4 3 3 3 4 4" xfId="20399" xr:uid="{E7EF2F3E-A9A4-4BDD-8DA5-B51AE68E2B52}"/>
    <cellStyle name="Normal 4 3 3 3 4 5" xfId="28846" xr:uid="{FB8FC919-7D23-40EB-95EB-E4F3B53B7FE3}"/>
    <cellStyle name="Normal 4 3 3 3 4 6" xfId="37293" xr:uid="{301E7FDF-BF65-46F4-86D7-4E744A9F8ACC}"/>
    <cellStyle name="Normal 4 3 3 3 4 7" xfId="11099" xr:uid="{042DB2DA-AAFC-454C-B1ED-5BC7221BBD7D}"/>
    <cellStyle name="Normal 4 3 3 3 5" xfId="2097" xr:uid="{00000000-0005-0000-0000-000093140000}"/>
    <cellStyle name="Normal 4 3 3 3 5 2" xfId="4326" xr:uid="{00000000-0005-0000-0000-000094140000}"/>
    <cellStyle name="Normal 4 3 3 3 5 2 2" xfId="8548" xr:uid="{00000000-0005-0000-0000-000095140000}"/>
    <cellStyle name="Normal 4 3 3 3 5 2 2 2" xfId="27174" xr:uid="{47D762BA-ABE7-4A50-B857-F99386C765B2}"/>
    <cellStyle name="Normal 4 3 3 3 5 2 2 3" xfId="35621" xr:uid="{BDD49652-DAE3-417F-B033-68F18871DA29}"/>
    <cellStyle name="Normal 4 3 3 3 5 2 2 4" xfId="44068" xr:uid="{5B5CD8D3-48D2-4D80-8830-22302BDFDA57}"/>
    <cellStyle name="Normal 4 3 3 3 5 2 2 5" xfId="17874" xr:uid="{BB1E56DB-F91D-40ED-B3F6-29B4D2D669BE}"/>
    <cellStyle name="Normal 4 3 3 3 5 2 3" xfId="22957" xr:uid="{E5465718-FDC3-4A01-B547-282DE027E845}"/>
    <cellStyle name="Normal 4 3 3 3 5 2 4" xfId="31404" xr:uid="{CF8418E9-AA25-4DFA-ABE1-9BCBF558B836}"/>
    <cellStyle name="Normal 4 3 3 3 5 2 5" xfId="39851" xr:uid="{A92EAE34-D551-4DE6-A26E-F6BB790CED3C}"/>
    <cellStyle name="Normal 4 3 3 3 5 2 6" xfId="13657" xr:uid="{6921201A-BF00-49F3-9893-22D4B50B616F}"/>
    <cellStyle name="Normal 4 3 3 3 5 3" xfId="6403" xr:uid="{00000000-0005-0000-0000-000096140000}"/>
    <cellStyle name="Normal 4 3 3 3 5 3 2" xfId="25029" xr:uid="{E0E14AB2-17DA-471D-A5E8-92E5FF396752}"/>
    <cellStyle name="Normal 4 3 3 3 5 3 3" xfId="33476" xr:uid="{F140A754-F0BE-4F45-B554-1BA07890B984}"/>
    <cellStyle name="Normal 4 3 3 3 5 3 4" xfId="41923" xr:uid="{2AFD5DDC-E694-4100-B8F9-DDEEB249233B}"/>
    <cellStyle name="Normal 4 3 3 3 5 3 5" xfId="15729" xr:uid="{8A84F9BE-8B4B-47C4-AD53-4B96F32510F3}"/>
    <cellStyle name="Normal 4 3 3 3 5 4" xfId="20812" xr:uid="{57B20F1B-94F3-4D1C-ADB0-54DA8C16453C}"/>
    <cellStyle name="Normal 4 3 3 3 5 5" xfId="29259" xr:uid="{DAE765F7-14D5-4371-940D-CA62199938C9}"/>
    <cellStyle name="Normal 4 3 3 3 5 6" xfId="37706" xr:uid="{D83E8231-5C3E-45EB-A742-A2A938858472}"/>
    <cellStyle name="Normal 4 3 3 3 5 7" xfId="11512" xr:uid="{15A425A0-6CE3-4FD8-A5F7-6F91457FFAA6}"/>
    <cellStyle name="Normal 4 3 3 3 6" xfId="2533" xr:uid="{00000000-0005-0000-0000-000097140000}"/>
    <cellStyle name="Normal 4 3 3 3 6 2" xfId="6816" xr:uid="{00000000-0005-0000-0000-000098140000}"/>
    <cellStyle name="Normal 4 3 3 3 6 2 2" xfId="25442" xr:uid="{CA57AEFC-DA1A-4C33-AD26-D8FAB6BA420A}"/>
    <cellStyle name="Normal 4 3 3 3 6 2 3" xfId="33889" xr:uid="{DD430A24-5D48-4DAB-9389-A00180A912D5}"/>
    <cellStyle name="Normal 4 3 3 3 6 2 4" xfId="42336" xr:uid="{0B6F5514-20D0-4BBE-91A3-C3C510950CED}"/>
    <cellStyle name="Normal 4 3 3 3 6 2 5" xfId="16142" xr:uid="{01CAE6F4-A160-4776-B79D-765D0E6DB706}"/>
    <cellStyle name="Normal 4 3 3 3 6 3" xfId="21225" xr:uid="{A8E46134-B98B-48B4-9551-DC149F32F48C}"/>
    <cellStyle name="Normal 4 3 3 3 6 4" xfId="29672" xr:uid="{B461BF10-880B-408F-BC39-756B229B4F39}"/>
    <cellStyle name="Normal 4 3 3 3 6 5" xfId="38119" xr:uid="{ECCC9150-EECA-4D90-BC38-78A256DDBA94}"/>
    <cellStyle name="Normal 4 3 3 3 6 6" xfId="11925" xr:uid="{3CDF5368-2EF1-4AAE-9909-675E79B37521}"/>
    <cellStyle name="Normal 4 3 3 3 7" xfId="4751" xr:uid="{00000000-0005-0000-0000-000099140000}"/>
    <cellStyle name="Normal 4 3 3 3 7 2" xfId="23377" xr:uid="{0FA17933-62D8-4211-A30D-4DD2E1BD2396}"/>
    <cellStyle name="Normal 4 3 3 3 7 3" xfId="31824" xr:uid="{E1583FA4-A662-4B10-BB04-A3AC0C511A02}"/>
    <cellStyle name="Normal 4 3 3 3 7 4" xfId="40271" xr:uid="{A5ED73E7-A13B-4F71-B889-6FCA49EAC6DE}"/>
    <cellStyle name="Normal 4 3 3 3 7 5" xfId="14077" xr:uid="{53AA1B38-4082-49C0-BCBC-520A73E578F5}"/>
    <cellStyle name="Normal 4 3 3 3 8" xfId="9028" xr:uid="{A0BD85BE-0D8B-455E-B326-708B8FF8A8C8}"/>
    <cellStyle name="Normal 4 3 3 3 8 2" xfId="18352" xr:uid="{F8125E74-508C-464C-B42A-48DC513C0B68}"/>
    <cellStyle name="Normal 4 3 3 3 9" xfId="19160" xr:uid="{8DE8224C-87E4-4998-9C21-7FF0A31C2BBC}"/>
    <cellStyle name="Normal 4 3 3 4" xfId="849" xr:uid="{00000000-0005-0000-0000-00009A140000}"/>
    <cellStyle name="Normal 4 3 3 4 2" xfId="3084" xr:uid="{00000000-0005-0000-0000-00009B140000}"/>
    <cellStyle name="Normal 4 3 3 4 2 2" xfId="7306" xr:uid="{00000000-0005-0000-0000-00009C140000}"/>
    <cellStyle name="Normal 4 3 3 4 2 2 2" xfId="25932" xr:uid="{D77E2825-057C-4898-9A7B-2708FD4FC3AF}"/>
    <cellStyle name="Normal 4 3 3 4 2 2 3" xfId="34379" xr:uid="{AA03232B-D5F7-4457-8C5E-D3678380A2AE}"/>
    <cellStyle name="Normal 4 3 3 4 2 2 4" xfId="42826" xr:uid="{2D67B341-7B06-4A94-90BE-70632F987B2B}"/>
    <cellStyle name="Normal 4 3 3 4 2 2 5" xfId="16632" xr:uid="{C303EF0F-D788-4588-9FF1-3DBB126417FA}"/>
    <cellStyle name="Normal 4 3 3 4 2 3" xfId="21715" xr:uid="{F4A0EC91-085E-48B3-8213-BF1C974E9513}"/>
    <cellStyle name="Normal 4 3 3 4 2 4" xfId="30162" xr:uid="{05232CB0-D9A3-4474-934A-91612258A90C}"/>
    <cellStyle name="Normal 4 3 3 4 2 5" xfId="38609" xr:uid="{BCCEBD25-25F1-4BC8-99E4-4138BC76C4FC}"/>
    <cellStyle name="Normal 4 3 3 4 2 6" xfId="12415" xr:uid="{CE4D4B71-040C-447F-8E1C-8921F8505D41}"/>
    <cellStyle name="Normal 4 3 3 4 3" xfId="5161" xr:uid="{00000000-0005-0000-0000-00009D140000}"/>
    <cellStyle name="Normal 4 3 3 4 3 2" xfId="23787" xr:uid="{C7B5D302-1512-4467-8D3A-A180DBD096E3}"/>
    <cellStyle name="Normal 4 3 3 4 3 3" xfId="32234" xr:uid="{E4B7AF82-0703-4658-B1E9-E710A7FF974F}"/>
    <cellStyle name="Normal 4 3 3 4 3 4" xfId="40681" xr:uid="{398E5292-3D94-4EC7-806B-5D3AA27E8D69}"/>
    <cellStyle name="Normal 4 3 3 4 3 5" xfId="14487" xr:uid="{13BD6FC4-2C8E-4B5E-A161-C4814A462F69}"/>
    <cellStyle name="Normal 4 3 3 4 4" xfId="9246" xr:uid="{E1107DA9-8F13-4216-80A2-CEA1D2EF57FC}"/>
    <cellStyle name="Normal 4 3 3 4 4 2" xfId="18562" xr:uid="{0B636221-3174-45AF-B5FD-397343D66AE7}"/>
    <cellStyle name="Normal 4 3 3 4 5" xfId="19570" xr:uid="{41942CE1-3C68-4B2B-AC6B-9980E5189FD4}"/>
    <cellStyle name="Normal 4 3 3 4 6" xfId="28017" xr:uid="{D8BFD25B-81C1-49B8-901E-09D346EEA54F}"/>
    <cellStyle name="Normal 4 3 3 4 7" xfId="36464" xr:uid="{BD424C1B-F2D0-4190-8BF5-EED1C396E387}"/>
    <cellStyle name="Normal 4 3 3 4 8" xfId="10270" xr:uid="{77BB9EC1-016E-4B27-B814-4ACB282B7D75}"/>
    <cellStyle name="Normal 4 3 3 5" xfId="1267" xr:uid="{00000000-0005-0000-0000-00009E140000}"/>
    <cellStyle name="Normal 4 3 3 5 2" xfId="3497" xr:uid="{00000000-0005-0000-0000-00009F140000}"/>
    <cellStyle name="Normal 4 3 3 5 2 2" xfId="7719" xr:uid="{00000000-0005-0000-0000-0000A0140000}"/>
    <cellStyle name="Normal 4 3 3 5 2 2 2" xfId="26345" xr:uid="{849BC706-09BA-4AC8-8392-7F004AD3D1F0}"/>
    <cellStyle name="Normal 4 3 3 5 2 2 3" xfId="34792" xr:uid="{2527FBAE-91CB-4F29-82D9-E2B9B9341731}"/>
    <cellStyle name="Normal 4 3 3 5 2 2 4" xfId="43239" xr:uid="{43C0B9DD-EA91-429B-B4B9-D93BEF4DA4EB}"/>
    <cellStyle name="Normal 4 3 3 5 2 2 5" xfId="17045" xr:uid="{AF88780B-88A9-4082-B982-41A7BCFE394D}"/>
    <cellStyle name="Normal 4 3 3 5 2 3" xfId="22128" xr:uid="{792BE41D-6C49-4DF7-9164-450BCA84D7D8}"/>
    <cellStyle name="Normal 4 3 3 5 2 4" xfId="30575" xr:uid="{57D73D2D-7DF9-414E-B793-24AAFAACEB66}"/>
    <cellStyle name="Normal 4 3 3 5 2 5" xfId="39022" xr:uid="{335DA105-811D-4E01-8C4C-C6CCE82E683F}"/>
    <cellStyle name="Normal 4 3 3 5 2 6" xfId="12828" xr:uid="{B457D703-1645-4F4B-985D-E7EDA2C933AA}"/>
    <cellStyle name="Normal 4 3 3 5 3" xfId="5574" xr:uid="{00000000-0005-0000-0000-0000A1140000}"/>
    <cellStyle name="Normal 4 3 3 5 3 2" xfId="24200" xr:uid="{F44D6F4A-EB8D-4C7F-AB31-70FAFFA2C0D5}"/>
    <cellStyle name="Normal 4 3 3 5 3 3" xfId="32647" xr:uid="{63A94021-0308-41A7-A487-53E6CC0B93CC}"/>
    <cellStyle name="Normal 4 3 3 5 3 4" xfId="41094" xr:uid="{373EE738-A46B-4AD8-A62A-6DBDA586B4D8}"/>
    <cellStyle name="Normal 4 3 3 5 3 5" xfId="14900" xr:uid="{2248D7E1-B9DA-4B47-A73A-6FB3071BB4EB}"/>
    <cellStyle name="Normal 4 3 3 5 4" xfId="19983" xr:uid="{BABA573F-CF87-4337-A596-FA32FCB9BC53}"/>
    <cellStyle name="Normal 4 3 3 5 5" xfId="28430" xr:uid="{5A8FD8A4-A7FC-4B5B-8575-B320F2DAF7A6}"/>
    <cellStyle name="Normal 4 3 3 5 6" xfId="36877" xr:uid="{CD4B67DE-5F94-432E-A859-0B3DB6301B65}"/>
    <cellStyle name="Normal 4 3 3 5 7" xfId="10683" xr:uid="{494AA3AD-5430-4D45-B61B-584F3F3FEF1E}"/>
    <cellStyle name="Normal 4 3 3 6" xfId="1680" xr:uid="{00000000-0005-0000-0000-0000A2140000}"/>
    <cellStyle name="Normal 4 3 3 6 2" xfId="3910" xr:uid="{00000000-0005-0000-0000-0000A3140000}"/>
    <cellStyle name="Normal 4 3 3 6 2 2" xfId="8132" xr:uid="{00000000-0005-0000-0000-0000A4140000}"/>
    <cellStyle name="Normal 4 3 3 6 2 2 2" xfId="26758" xr:uid="{43128AA4-17A8-4174-93C5-A64B19C21CCD}"/>
    <cellStyle name="Normal 4 3 3 6 2 2 3" xfId="35205" xr:uid="{E05299F5-FECD-43C4-A112-898E611F338A}"/>
    <cellStyle name="Normal 4 3 3 6 2 2 4" xfId="43652" xr:uid="{2ECC886F-8254-42B5-B035-066D5FB8B821}"/>
    <cellStyle name="Normal 4 3 3 6 2 2 5" xfId="17458" xr:uid="{F8956FFB-8FF4-40A9-BD14-7DF503EA3559}"/>
    <cellStyle name="Normal 4 3 3 6 2 3" xfId="22541" xr:uid="{8A413A3F-EADF-47DF-B7AE-1795AA691372}"/>
    <cellStyle name="Normal 4 3 3 6 2 4" xfId="30988" xr:uid="{F81FA450-AA2B-494A-B798-B2D8709E9F07}"/>
    <cellStyle name="Normal 4 3 3 6 2 5" xfId="39435" xr:uid="{C19C6E0F-9661-4D48-ABEC-24A9E91F7138}"/>
    <cellStyle name="Normal 4 3 3 6 2 6" xfId="13241" xr:uid="{AFAB8B17-0B6F-4F23-A570-E483BF992854}"/>
    <cellStyle name="Normal 4 3 3 6 3" xfId="5987" xr:uid="{00000000-0005-0000-0000-0000A5140000}"/>
    <cellStyle name="Normal 4 3 3 6 3 2" xfId="24613" xr:uid="{704C29B1-C51A-4E40-AA04-93A4F386606B}"/>
    <cellStyle name="Normal 4 3 3 6 3 3" xfId="33060" xr:uid="{C26C1568-A5D9-4CA8-9AC4-527D24EE8FAF}"/>
    <cellStyle name="Normal 4 3 3 6 3 4" xfId="41507" xr:uid="{7B0EF1C7-80A1-45EA-ACF4-6FC859BE6785}"/>
    <cellStyle name="Normal 4 3 3 6 3 5" xfId="15313" xr:uid="{DDA3C28B-062C-4E23-8976-92FE870D7F0C}"/>
    <cellStyle name="Normal 4 3 3 6 4" xfId="20396" xr:uid="{2D4D5DB1-8FB7-47F0-85E8-FAD3B650F772}"/>
    <cellStyle name="Normal 4 3 3 6 5" xfId="28843" xr:uid="{E01BAD41-32EF-4CC5-8D4E-0B30D919FDE3}"/>
    <cellStyle name="Normal 4 3 3 6 6" xfId="37290" xr:uid="{D8FF5C01-AFD1-4D0E-9561-0D753DA8829D}"/>
    <cellStyle name="Normal 4 3 3 6 7" xfId="11096" xr:uid="{942AFD2E-73BA-4001-95C6-14EB32AC4398}"/>
    <cellStyle name="Normal 4 3 3 7" xfId="2094" xr:uid="{00000000-0005-0000-0000-0000A6140000}"/>
    <cellStyle name="Normal 4 3 3 7 2" xfId="4323" xr:uid="{00000000-0005-0000-0000-0000A7140000}"/>
    <cellStyle name="Normal 4 3 3 7 2 2" xfId="8545" xr:uid="{00000000-0005-0000-0000-0000A8140000}"/>
    <cellStyle name="Normal 4 3 3 7 2 2 2" xfId="27171" xr:uid="{3A207622-3DF5-4F3B-8D0E-F5171D889D4F}"/>
    <cellStyle name="Normal 4 3 3 7 2 2 3" xfId="35618" xr:uid="{10E17D2D-2F09-40BD-BCC4-EC51F248FA72}"/>
    <cellStyle name="Normal 4 3 3 7 2 2 4" xfId="44065" xr:uid="{817D5C5D-9C28-4D66-BB89-C94D81248795}"/>
    <cellStyle name="Normal 4 3 3 7 2 2 5" xfId="17871" xr:uid="{69BA4710-3B41-452C-BADE-5BC386A062D4}"/>
    <cellStyle name="Normal 4 3 3 7 2 3" xfId="22954" xr:uid="{0137E333-3AA7-47C6-BF49-C600AE092AF3}"/>
    <cellStyle name="Normal 4 3 3 7 2 4" xfId="31401" xr:uid="{1D1CA3B4-1DC9-4AFE-A3EC-A7812534805A}"/>
    <cellStyle name="Normal 4 3 3 7 2 5" xfId="39848" xr:uid="{010568F4-0AF2-4BF1-8B0A-CE207E00B572}"/>
    <cellStyle name="Normal 4 3 3 7 2 6" xfId="13654" xr:uid="{0CF52A2B-FC0F-4CC6-8987-F2CF1622E135}"/>
    <cellStyle name="Normal 4 3 3 7 3" xfId="6400" xr:uid="{00000000-0005-0000-0000-0000A9140000}"/>
    <cellStyle name="Normal 4 3 3 7 3 2" xfId="25026" xr:uid="{E802C368-8909-49D6-8BC9-54FECBEABC20}"/>
    <cellStyle name="Normal 4 3 3 7 3 3" xfId="33473" xr:uid="{7857D58A-A9ED-4CA4-8424-2BB339D28273}"/>
    <cellStyle name="Normal 4 3 3 7 3 4" xfId="41920" xr:uid="{1F966988-3E67-444C-8ADA-B14FF75C8F5E}"/>
    <cellStyle name="Normal 4 3 3 7 3 5" xfId="15726" xr:uid="{6B49393D-0C5C-4C1E-B157-E993ACB8E743}"/>
    <cellStyle name="Normal 4 3 3 7 4" xfId="20809" xr:uid="{BC865E82-6D19-44C7-B783-604967626386}"/>
    <cellStyle name="Normal 4 3 3 7 5" xfId="29256" xr:uid="{E6012E00-3392-472E-8BD7-19D9EC955330}"/>
    <cellStyle name="Normal 4 3 3 7 6" xfId="37703" xr:uid="{813D7EC8-284C-4637-AF67-39430F67C64F}"/>
    <cellStyle name="Normal 4 3 3 7 7" xfId="11509" xr:uid="{E624A6AC-0743-4A24-9003-72570D1B2039}"/>
    <cellStyle name="Normal 4 3 3 8" xfId="2530" xr:uid="{00000000-0005-0000-0000-0000AA140000}"/>
    <cellStyle name="Normal 4 3 3 8 2" xfId="6813" xr:uid="{00000000-0005-0000-0000-0000AB140000}"/>
    <cellStyle name="Normal 4 3 3 8 2 2" xfId="25439" xr:uid="{2E556332-FA1D-4833-B9B7-A1BBB0CBF50A}"/>
    <cellStyle name="Normal 4 3 3 8 2 3" xfId="33886" xr:uid="{33EDC71E-600D-42A2-80E3-9B234342E166}"/>
    <cellStyle name="Normal 4 3 3 8 2 4" xfId="42333" xr:uid="{D95CB94C-DB60-49BB-9A8A-1A98575BA25F}"/>
    <cellStyle name="Normal 4 3 3 8 2 5" xfId="16139" xr:uid="{74D42390-4D49-447F-850C-833599C3E3D9}"/>
    <cellStyle name="Normal 4 3 3 8 3" xfId="21222" xr:uid="{E57A34A2-D307-4A4E-9079-1893BAF93810}"/>
    <cellStyle name="Normal 4 3 3 8 4" xfId="29669" xr:uid="{12DD91FC-CADC-4701-8EFD-7D3D9B425F57}"/>
    <cellStyle name="Normal 4 3 3 8 5" xfId="38116" xr:uid="{0C8D078F-AEB0-4CE0-A286-48CD31CBB94D}"/>
    <cellStyle name="Normal 4 3 3 8 6" xfId="11922" xr:uid="{E46BD69D-DD3F-4F42-B6E8-BAE702B138B6}"/>
    <cellStyle name="Normal 4 3 3 9" xfId="4748" xr:uid="{00000000-0005-0000-0000-0000AC140000}"/>
    <cellStyle name="Normal 4 3 3 9 2" xfId="23374" xr:uid="{1577D4AD-6328-469A-858E-499C858F595A}"/>
    <cellStyle name="Normal 4 3 3 9 3" xfId="31821" xr:uid="{02C98B28-C83D-4C92-AE3C-D355D9958119}"/>
    <cellStyle name="Normal 4 3 3 9 4" xfId="40268" xr:uid="{954FE261-AC12-4F9A-B6C4-A33928854D3A}"/>
    <cellStyle name="Normal 4 3 3 9 5" xfId="14074" xr:uid="{2EDBAE4F-5C90-4A6C-B702-092005D15E8C}"/>
    <cellStyle name="Normal 4 3 4" xfId="842" xr:uid="{00000000-0005-0000-0000-0000AD140000}"/>
    <cellStyle name="Normal 4 3 4 2" xfId="3079" xr:uid="{00000000-0005-0000-0000-0000AE140000}"/>
    <cellStyle name="Normal 4 3 4 2 2" xfId="7301" xr:uid="{00000000-0005-0000-0000-0000AF140000}"/>
    <cellStyle name="Normal 4 3 4 2 2 2" xfId="25927" xr:uid="{5579019D-B420-4F2C-8D7C-13955C0693C5}"/>
    <cellStyle name="Normal 4 3 4 2 2 3" xfId="34374" xr:uid="{EA713663-03EC-4573-B2F2-916373100CCC}"/>
    <cellStyle name="Normal 4 3 4 2 2 4" xfId="42821" xr:uid="{CB97B14C-DD70-4A00-80F7-01161D2F5DAD}"/>
    <cellStyle name="Normal 4 3 4 2 2 5" xfId="16627" xr:uid="{BFFBC5F6-A950-4632-A545-275017E03B12}"/>
    <cellStyle name="Normal 4 3 4 2 3" xfId="21710" xr:uid="{6C0C3945-B24A-4A68-AF2D-DBA886A5001A}"/>
    <cellStyle name="Normal 4 3 4 2 4" xfId="30157" xr:uid="{8F3D755D-621C-4BFA-94C8-614F092F93E6}"/>
    <cellStyle name="Normal 4 3 4 2 5" xfId="38604" xr:uid="{3167D0D2-25FA-428A-80F8-4150928C7BBA}"/>
    <cellStyle name="Normal 4 3 4 2 6" xfId="12410" xr:uid="{3FA85FBC-FDDD-4099-9F00-B72A31E66774}"/>
    <cellStyle name="Normal 4 3 4 3" xfId="5156" xr:uid="{00000000-0005-0000-0000-0000B0140000}"/>
    <cellStyle name="Normal 4 3 4 3 2" xfId="23782" xr:uid="{281B680C-6464-4137-B18A-D0A921BA4CCE}"/>
    <cellStyle name="Normal 4 3 4 3 3" xfId="32229" xr:uid="{34E94DB9-24AD-426B-A335-48BEEDA0CD40}"/>
    <cellStyle name="Normal 4 3 4 3 4" xfId="40676" xr:uid="{B59F74BA-B843-4C78-A1AC-D03FD05265DC}"/>
    <cellStyle name="Normal 4 3 4 3 5" xfId="14482" xr:uid="{20FE095D-0103-4DA2-9266-D37EC38EA511}"/>
    <cellStyle name="Normal 4 3 4 4" xfId="9608" xr:uid="{C2EFFD2B-01D5-4B2B-BD85-BB4245D6A35E}"/>
    <cellStyle name="Normal 4 3 4 4 2" xfId="18910" xr:uid="{EC6A265F-A4A4-434C-BB17-0B9EB083223B}"/>
    <cellStyle name="Normal 4 3 4 5" xfId="19565" xr:uid="{2C843E7F-8978-41A2-9CFA-9AD4C7940141}"/>
    <cellStyle name="Normal 4 3 4 6" xfId="28012" xr:uid="{7766E7BF-7BA0-4BFB-B2DA-72C26D0E3AC1}"/>
    <cellStyle name="Normal 4 3 4 7" xfId="36459" xr:uid="{3C86530E-F85C-4CFD-AF9F-1F91DFE519F7}"/>
    <cellStyle name="Normal 4 3 4 8" xfId="10265" xr:uid="{5EFB84C1-CCE0-4614-B148-0640254C88C6}"/>
    <cellStyle name="Normal 4 3 5" xfId="1262" xr:uid="{00000000-0005-0000-0000-0000B1140000}"/>
    <cellStyle name="Normal 4 3 5 2" xfId="3492" xr:uid="{00000000-0005-0000-0000-0000B2140000}"/>
    <cellStyle name="Normal 4 3 5 2 2" xfId="7714" xr:uid="{00000000-0005-0000-0000-0000B3140000}"/>
    <cellStyle name="Normal 4 3 5 2 2 2" xfId="26340" xr:uid="{61986A69-8BE8-42DC-8456-A99C8EA730B9}"/>
    <cellStyle name="Normal 4 3 5 2 2 3" xfId="34787" xr:uid="{506F7703-6FDB-4279-A960-3FC7CED63881}"/>
    <cellStyle name="Normal 4 3 5 2 2 4" xfId="43234" xr:uid="{7C7379D1-EAFE-4592-8340-B9B3D0BEAB69}"/>
    <cellStyle name="Normal 4 3 5 2 2 5" xfId="17040" xr:uid="{A472E5FC-2897-4BC1-94F9-04BFA3214C15}"/>
    <cellStyle name="Normal 4 3 5 2 3" xfId="22123" xr:uid="{10A16D2B-607E-435B-899F-E087675193AD}"/>
    <cellStyle name="Normal 4 3 5 2 4" xfId="30570" xr:uid="{D2C940FE-E185-4580-9003-708826CC23D0}"/>
    <cellStyle name="Normal 4 3 5 2 5" xfId="39017" xr:uid="{D9D30458-6141-4EB2-A627-0F5E4C3383D7}"/>
    <cellStyle name="Normal 4 3 5 2 6" xfId="12823" xr:uid="{05A8BFC7-AE5E-4D13-A97C-12CF1A816A81}"/>
    <cellStyle name="Normal 4 3 5 3" xfId="5569" xr:uid="{00000000-0005-0000-0000-0000B4140000}"/>
    <cellStyle name="Normal 4 3 5 3 2" xfId="24195" xr:uid="{8544D865-DE21-4D97-8291-C9DC88B66BC3}"/>
    <cellStyle name="Normal 4 3 5 3 3" xfId="32642" xr:uid="{93C8D60B-2B32-4228-BB32-DB42C1BFCE57}"/>
    <cellStyle name="Normal 4 3 5 3 4" xfId="41089" xr:uid="{422E87D8-BEE6-48B4-81DB-719B828EF7EB}"/>
    <cellStyle name="Normal 4 3 5 3 5" xfId="14895" xr:uid="{5F2C1B9C-6F81-4D0B-A9E3-861D1B78FF73}"/>
    <cellStyle name="Normal 4 3 5 4" xfId="19978" xr:uid="{E1906A27-3E2E-4447-8323-1A8C6EA00307}"/>
    <cellStyle name="Normal 4 3 5 5" xfId="28425" xr:uid="{B8C2258F-8E21-498D-9C59-3287E5817223}"/>
    <cellStyle name="Normal 4 3 5 6" xfId="36872" xr:uid="{8850746A-34B4-444B-9780-0DF5D59DC995}"/>
    <cellStyle name="Normal 4 3 5 7" xfId="10678" xr:uid="{74CF8BAC-82A2-438E-84EA-EE53842DEA56}"/>
    <cellStyle name="Normal 4 3 6" xfId="1675" xr:uid="{00000000-0005-0000-0000-0000B5140000}"/>
    <cellStyle name="Normal 4 3 6 2" xfId="3905" xr:uid="{00000000-0005-0000-0000-0000B6140000}"/>
    <cellStyle name="Normal 4 3 6 2 2" xfId="8127" xr:uid="{00000000-0005-0000-0000-0000B7140000}"/>
    <cellStyle name="Normal 4 3 6 2 2 2" xfId="26753" xr:uid="{5D3304C9-4CA8-4F04-944D-6511B6116848}"/>
    <cellStyle name="Normal 4 3 6 2 2 3" xfId="35200" xr:uid="{C4112E69-F7F9-4D9A-900A-573C20F63418}"/>
    <cellStyle name="Normal 4 3 6 2 2 4" xfId="43647" xr:uid="{8711660F-41F0-4705-AE56-6706D13CBFFD}"/>
    <cellStyle name="Normal 4 3 6 2 2 5" xfId="17453" xr:uid="{D5646C3A-440D-4CBE-9437-128CD348E27A}"/>
    <cellStyle name="Normal 4 3 6 2 3" xfId="22536" xr:uid="{C9AC12CD-9F64-4DFF-8425-95B14A46B076}"/>
    <cellStyle name="Normal 4 3 6 2 4" xfId="30983" xr:uid="{7795B0FD-51F7-462E-9081-CAD6607BF08F}"/>
    <cellStyle name="Normal 4 3 6 2 5" xfId="39430" xr:uid="{CED8DF0F-DD1A-440A-AA5B-76229FD3CBDD}"/>
    <cellStyle name="Normal 4 3 6 2 6" xfId="13236" xr:uid="{D92DCD99-CC41-466C-8911-14C64ECB6658}"/>
    <cellStyle name="Normal 4 3 6 3" xfId="5982" xr:uid="{00000000-0005-0000-0000-0000B8140000}"/>
    <cellStyle name="Normal 4 3 6 3 2" xfId="24608" xr:uid="{F50480CE-DE22-474E-BD4D-7C6CC0F47074}"/>
    <cellStyle name="Normal 4 3 6 3 3" xfId="33055" xr:uid="{8C228486-8E38-48B5-90B4-D79CC4FD63EA}"/>
    <cellStyle name="Normal 4 3 6 3 4" xfId="41502" xr:uid="{89A660E5-E0ED-47F8-A6ED-716DEAF6B737}"/>
    <cellStyle name="Normal 4 3 6 3 5" xfId="15308" xr:uid="{BC8DE24E-C4E8-4AC6-8AA3-5EA03FF3B60E}"/>
    <cellStyle name="Normal 4 3 6 4" xfId="20391" xr:uid="{CDAFE0AD-597D-45E4-B114-59044F045D63}"/>
    <cellStyle name="Normal 4 3 6 5" xfId="28838" xr:uid="{E9D67350-1257-40F0-BB46-48B1A7B7381C}"/>
    <cellStyle name="Normal 4 3 6 6" xfId="37285" xr:uid="{FE8C8E3B-775F-457C-9D27-E16D7C5D7558}"/>
    <cellStyle name="Normal 4 3 6 7" xfId="11091" xr:uid="{D925EE03-1552-4E86-95FB-41AFF7FFA713}"/>
    <cellStyle name="Normal 4 3 7" xfId="2089" xr:uid="{00000000-0005-0000-0000-0000B9140000}"/>
    <cellStyle name="Normal 4 3 7 2" xfId="4318" xr:uid="{00000000-0005-0000-0000-0000BA140000}"/>
    <cellStyle name="Normal 4 3 7 2 2" xfId="8540" xr:uid="{00000000-0005-0000-0000-0000BB140000}"/>
    <cellStyle name="Normal 4 3 7 2 2 2" xfId="27166" xr:uid="{D9BA6167-B3E3-45B0-AD2F-97D708CFCE8B}"/>
    <cellStyle name="Normal 4 3 7 2 2 3" xfId="35613" xr:uid="{BC62554C-EFDA-40E9-A5C3-34E88519C83F}"/>
    <cellStyle name="Normal 4 3 7 2 2 4" xfId="44060" xr:uid="{05685167-3948-4447-BFA4-5C3EC2609776}"/>
    <cellStyle name="Normal 4 3 7 2 2 5" xfId="17866" xr:uid="{097B5FFB-3003-4342-B221-45654F5F2380}"/>
    <cellStyle name="Normal 4 3 7 2 3" xfId="22949" xr:uid="{4A5DA0E0-F5D8-4474-93EA-7FAC446DAA92}"/>
    <cellStyle name="Normal 4 3 7 2 4" xfId="31396" xr:uid="{ABB7A4F5-0DE2-4246-9DEA-015A0A881C2F}"/>
    <cellStyle name="Normal 4 3 7 2 5" xfId="39843" xr:uid="{9960D48C-A29F-422D-9DDE-EB639DAEC241}"/>
    <cellStyle name="Normal 4 3 7 2 6" xfId="13649" xr:uid="{10A7E040-7613-44A4-BEAA-5595E2E54540}"/>
    <cellStyle name="Normal 4 3 7 3" xfId="6395" xr:uid="{00000000-0005-0000-0000-0000BC140000}"/>
    <cellStyle name="Normal 4 3 7 3 2" xfId="25021" xr:uid="{11566A75-ECC7-44E0-9DB4-9660B74AD20F}"/>
    <cellStyle name="Normal 4 3 7 3 3" xfId="33468" xr:uid="{2A7CC014-2A54-48EC-893B-3F0832D70D68}"/>
    <cellStyle name="Normal 4 3 7 3 4" xfId="41915" xr:uid="{42DC120E-F6B1-4C3A-B7D8-70584C8BF1F4}"/>
    <cellStyle name="Normal 4 3 7 3 5" xfId="15721" xr:uid="{86828D93-03B5-403B-89F5-E0132FC68E13}"/>
    <cellStyle name="Normal 4 3 7 4" xfId="20804" xr:uid="{0B516EC5-11E5-4F37-955A-0315DBE51BB6}"/>
    <cellStyle name="Normal 4 3 7 5" xfId="29251" xr:uid="{FCEAEAC6-7626-4BE6-AA2A-FC541C26F871}"/>
    <cellStyle name="Normal 4 3 7 6" xfId="37698" xr:uid="{66E87E97-396F-44F6-B615-920F3259BEEF}"/>
    <cellStyle name="Normal 4 3 7 7" xfId="11504" xr:uid="{3C85DD63-211B-46A2-BBC7-A54FF4FE5ACD}"/>
    <cellStyle name="Normal 4 3 8" xfId="2525" xr:uid="{00000000-0005-0000-0000-0000BD140000}"/>
    <cellStyle name="Normal 4 3 8 2" xfId="6808" xr:uid="{00000000-0005-0000-0000-0000BE140000}"/>
    <cellStyle name="Normal 4 3 8 2 2" xfId="25434" xr:uid="{2E9B5D71-B3EA-4617-990C-4E1C54763C60}"/>
    <cellStyle name="Normal 4 3 8 2 3" xfId="33881" xr:uid="{9C0E6C3D-032E-40DF-A3DE-5C56BB31FEE4}"/>
    <cellStyle name="Normal 4 3 8 2 4" xfId="42328" xr:uid="{A20EA47E-118B-46FD-A912-B4FD2416730B}"/>
    <cellStyle name="Normal 4 3 8 2 5" xfId="16134" xr:uid="{765CBED7-7067-488B-92B8-C4BAE4E9942E}"/>
    <cellStyle name="Normal 4 3 8 3" xfId="21217" xr:uid="{094E03FB-F806-44CF-BEFE-ED0FAE28080C}"/>
    <cellStyle name="Normal 4 3 8 4" xfId="29664" xr:uid="{8BF677A3-D100-4C72-9113-03272CB5735E}"/>
    <cellStyle name="Normal 4 3 8 5" xfId="38111" xr:uid="{ED010D86-C52C-4260-A808-95FE27294DC4}"/>
    <cellStyle name="Normal 4 3 8 6" xfId="11917" xr:uid="{8D28D936-F67B-4E77-9199-C254DD43833C}"/>
    <cellStyle name="Normal 4 3 9" xfId="4743" xr:uid="{00000000-0005-0000-0000-0000BF140000}"/>
    <cellStyle name="Normal 4 3 9 2" xfId="23369" xr:uid="{6F090389-4D49-473A-BC26-EB96B2FA896F}"/>
    <cellStyle name="Normal 4 3 9 3" xfId="31816" xr:uid="{7E269622-0357-4BCD-8DA0-F223A8625A24}"/>
    <cellStyle name="Normal 4 3 9 4" xfId="40263" xr:uid="{04DBB49B-3FE7-4516-A958-49D5A0A51983}"/>
    <cellStyle name="Normal 4 3 9 5" xfId="14069" xr:uid="{47C628CD-662C-4507-AEE4-05F9DF7250A7}"/>
    <cellStyle name="Normal 4 4" xfId="378" xr:uid="{00000000-0005-0000-0000-0000C0140000}"/>
    <cellStyle name="Normal 4 4 10" xfId="2534" xr:uid="{00000000-0005-0000-0000-0000C1140000}"/>
    <cellStyle name="Normal 4 4 10 2" xfId="6817" xr:uid="{00000000-0005-0000-0000-0000C2140000}"/>
    <cellStyle name="Normal 4 4 10 2 2" xfId="25443" xr:uid="{12C31036-DB79-4A62-8984-AC2166942238}"/>
    <cellStyle name="Normal 4 4 10 2 3" xfId="33890" xr:uid="{02F739DC-FAA4-470C-896A-27A52B88400A}"/>
    <cellStyle name="Normal 4 4 10 2 4" xfId="42337" xr:uid="{61BFDC74-929B-4EF6-BD62-85505204568D}"/>
    <cellStyle name="Normal 4 4 10 2 5" xfId="16143" xr:uid="{F05F4DBD-1DC8-48DC-AC00-8A799A47FB21}"/>
    <cellStyle name="Normal 4 4 10 3" xfId="21226" xr:uid="{4B80BE81-7EBF-4A87-BC9C-545557160BAF}"/>
    <cellStyle name="Normal 4 4 10 4" xfId="29673" xr:uid="{A9CC1CE9-AF83-4986-8A77-AA0650C4904F}"/>
    <cellStyle name="Normal 4 4 10 5" xfId="38120" xr:uid="{0BA92434-88C5-4B13-867D-AAAA514CD0B4}"/>
    <cellStyle name="Normal 4 4 10 6" xfId="11926" xr:uid="{65B11489-6D85-41CE-B2ED-91BC9824799F}"/>
    <cellStyle name="Normal 4 4 11" xfId="4752" xr:uid="{00000000-0005-0000-0000-0000C3140000}"/>
    <cellStyle name="Normal 4 4 11 2" xfId="23378" xr:uid="{31F584DB-795A-4382-8063-1CF294904945}"/>
    <cellStyle name="Normal 4 4 11 3" xfId="31825" xr:uid="{889059D8-91F5-4E08-BBED-46A995996589}"/>
    <cellStyle name="Normal 4 4 11 4" xfId="40272" xr:uid="{A289C95B-9169-47A2-A032-852EDEC1D3BC}"/>
    <cellStyle name="Normal 4 4 11 5" xfId="14078" xr:uid="{EA3FC49B-F641-40A8-B52B-951EBF9E9D2B}"/>
    <cellStyle name="Normal 4 4 12" xfId="8749" xr:uid="{A91736B6-873D-4B1A-8B29-18DC69E5E65F}"/>
    <cellStyle name="Normal 4 4 12 2" xfId="18073" xr:uid="{C57563C1-9534-4579-99C5-64FD13D61B92}"/>
    <cellStyle name="Normal 4 4 13" xfId="19161" xr:uid="{70F1380C-4FE4-4882-850D-B056CFB6401E}"/>
    <cellStyle name="Normal 4 4 14" xfId="27608" xr:uid="{3BE51839-AF05-4A59-8F8E-B24DB4B5A463}"/>
    <cellStyle name="Normal 4 4 15" xfId="36055" xr:uid="{5CA712B4-3A21-43DD-AE31-45ECD87104FA}"/>
    <cellStyle name="Normal 4 4 16" xfId="9861" xr:uid="{81D57264-9347-4E3B-9270-9904CB921E07}"/>
    <cellStyle name="Normal 4 4 2" xfId="379" xr:uid="{00000000-0005-0000-0000-0000C4140000}"/>
    <cellStyle name="Normal 4 4 2 10" xfId="4753" xr:uid="{00000000-0005-0000-0000-0000C5140000}"/>
    <cellStyle name="Normal 4 4 2 10 2" xfId="23379" xr:uid="{9C5FAE5D-3876-4BF8-9ADC-EED66ABA42E9}"/>
    <cellStyle name="Normal 4 4 2 10 3" xfId="31826" xr:uid="{9A7E2BEA-FB39-426E-8501-32AA6E374CC7}"/>
    <cellStyle name="Normal 4 4 2 10 4" xfId="40273" xr:uid="{1BF3B9A6-E7D8-43C4-BB9D-18D62C3086A6}"/>
    <cellStyle name="Normal 4 4 2 10 5" xfId="14079" xr:uid="{091AE914-89DF-4B07-B34F-EE4C9DC28CC5}"/>
    <cellStyle name="Normal 4 4 2 11" xfId="8781" xr:uid="{12B8F0AD-1EB8-4D0A-9CAD-21DEEFEDAE41}"/>
    <cellStyle name="Normal 4 4 2 11 2" xfId="18105" xr:uid="{9EB4B4EE-0435-406F-B6FF-F623AC85DEC1}"/>
    <cellStyle name="Normal 4 4 2 12" xfId="19162" xr:uid="{AAE90974-708B-40B6-8F8C-10F6299410C2}"/>
    <cellStyle name="Normal 4 4 2 13" xfId="27609" xr:uid="{BD482844-CB5F-4A54-A355-AF34D8BCD746}"/>
    <cellStyle name="Normal 4 4 2 14" xfId="36056" xr:uid="{AE3E27E8-24D1-441E-8356-3CF9CFC33058}"/>
    <cellStyle name="Normal 4 4 2 15" xfId="9862" xr:uid="{F1905AC4-408C-4CA7-970E-A117C064633C}"/>
    <cellStyle name="Normal 4 4 2 2" xfId="380" xr:uid="{00000000-0005-0000-0000-0000C6140000}"/>
    <cellStyle name="Normal 4 4 2 2 10" xfId="8824" xr:uid="{FF218EA8-00A9-476B-AA88-FBBBBED2D06B}"/>
    <cellStyle name="Normal 4 4 2 2 10 2" xfId="18148" xr:uid="{3EB98086-3448-4C93-A477-1B3A910904DE}"/>
    <cellStyle name="Normal 4 4 2 2 11" xfId="19163" xr:uid="{5811BF44-E356-4AD1-B5E0-F20F03D8E094}"/>
    <cellStyle name="Normal 4 4 2 2 12" xfId="27610" xr:uid="{401637B2-FC10-4929-9DA6-5534B1BC1FC7}"/>
    <cellStyle name="Normal 4 4 2 2 13" xfId="36057" xr:uid="{10EDF134-911A-46B1-926C-87E9E2AEF4AE}"/>
    <cellStyle name="Normal 4 4 2 2 14" xfId="9863" xr:uid="{C11AB4C3-8194-4D38-9C19-2CC0F33298EF}"/>
    <cellStyle name="Normal 4 4 2 2 2" xfId="381" xr:uid="{00000000-0005-0000-0000-0000C7140000}"/>
    <cellStyle name="Normal 4 4 2 2 2 10" xfId="19164" xr:uid="{65BB354D-CC4A-47C1-A990-BE68100DA758}"/>
    <cellStyle name="Normal 4 4 2 2 2 11" xfId="27611" xr:uid="{C95D1D53-696F-437E-9B18-FBBEF0B067C4}"/>
    <cellStyle name="Normal 4 4 2 2 2 12" xfId="36058" xr:uid="{3588E69D-13AA-4BCA-B01B-3DCA3875C720}"/>
    <cellStyle name="Normal 4 4 2 2 2 13" xfId="9864" xr:uid="{4E1569C6-2CA4-4384-97FC-827545B3288D}"/>
    <cellStyle name="Normal 4 4 2 2 2 2" xfId="382" xr:uid="{00000000-0005-0000-0000-0000C8140000}"/>
    <cellStyle name="Normal 4 4 2 2 2 2 10" xfId="27612" xr:uid="{7A884793-364F-4BB5-B113-25A4115A053A}"/>
    <cellStyle name="Normal 4 4 2 2 2 2 11" xfId="36059" xr:uid="{915C56E1-A46F-4C95-BFFD-3EFCAEA7A563}"/>
    <cellStyle name="Normal 4 4 2 2 2 2 12" xfId="9865" xr:uid="{4DD98AB3-B032-40DD-B7F3-BCE6093A47BB}"/>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2 2 2" xfId="25940" xr:uid="{6CBD8DD2-30AD-45DF-9780-F8146A473D09}"/>
    <cellStyle name="Normal 4 4 2 2 2 2 2 2 2 3" xfId="34387" xr:uid="{E04EDCAF-E51A-482D-B827-B25FD2E844FF}"/>
    <cellStyle name="Normal 4 4 2 2 2 2 2 2 2 4" xfId="42834" xr:uid="{AA2C5054-C601-4FFF-A7E4-18C908C3FC03}"/>
    <cellStyle name="Normal 4 4 2 2 2 2 2 2 2 5" xfId="16640" xr:uid="{76CEE39C-9070-46AA-A677-B404B6A9E760}"/>
    <cellStyle name="Normal 4 4 2 2 2 2 2 2 3" xfId="21723" xr:uid="{DB017A24-8074-4960-92D1-CAFD231919C3}"/>
    <cellStyle name="Normal 4 4 2 2 2 2 2 2 4" xfId="30170" xr:uid="{45BBE726-F4C4-4687-AD50-E4F1206CBBC7}"/>
    <cellStyle name="Normal 4 4 2 2 2 2 2 2 5" xfId="38617" xr:uid="{B550BFCF-FA3B-4BF5-BBC2-812BAB14C4F2}"/>
    <cellStyle name="Normal 4 4 2 2 2 2 2 2 6" xfId="12423" xr:uid="{802152FF-6D81-4A3E-8067-9664A7029FD8}"/>
    <cellStyle name="Normal 4 4 2 2 2 2 2 3" xfId="5169" xr:uid="{00000000-0005-0000-0000-0000CC140000}"/>
    <cellStyle name="Normal 4 4 2 2 2 2 2 3 2" xfId="23795" xr:uid="{BC1FEB4E-DC62-41F7-AB85-CFD14359F03E}"/>
    <cellStyle name="Normal 4 4 2 2 2 2 2 3 3" xfId="32242" xr:uid="{15AD19B4-E91D-436D-90F1-DC15003F5C4B}"/>
    <cellStyle name="Normal 4 4 2 2 2 2 2 3 4" xfId="40689" xr:uid="{FBC9032B-E005-4671-B864-985B2B1B3DAC}"/>
    <cellStyle name="Normal 4 4 2 2 2 2 2 3 5" xfId="14495" xr:uid="{6B207D12-D8C6-4080-BAF6-F5F26CE53960}"/>
    <cellStyle name="Normal 4 4 2 2 2 2 2 4" xfId="9559" xr:uid="{6E5E886C-D83F-47E6-AD2B-552CC2A98FD0}"/>
    <cellStyle name="Normal 4 4 2 2 2 2 2 4 2" xfId="18875" xr:uid="{52050B90-AA10-4998-8520-D26BBD8BF799}"/>
    <cellStyle name="Normal 4 4 2 2 2 2 2 5" xfId="19578" xr:uid="{A103D300-438F-47F0-A626-B110287C8998}"/>
    <cellStyle name="Normal 4 4 2 2 2 2 2 6" xfId="28025" xr:uid="{7DA6BBCD-20EE-4FA2-8109-6F84047F6F7A}"/>
    <cellStyle name="Normal 4 4 2 2 2 2 2 7" xfId="36472" xr:uid="{74A281EB-EB72-41C5-9B19-B8F9D989DCC1}"/>
    <cellStyle name="Normal 4 4 2 2 2 2 2 8" xfId="10278" xr:uid="{7398CB90-3CE3-45E3-919A-FD6473BBE63F}"/>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2 2 2" xfId="26353" xr:uid="{1FA31EA1-6A98-443F-9D4D-FF24DB613E7D}"/>
    <cellStyle name="Normal 4 4 2 2 2 2 3 2 2 3" xfId="34800" xr:uid="{8692AAC0-FBE3-48D5-A247-1344E00FF9F9}"/>
    <cellStyle name="Normal 4 4 2 2 2 2 3 2 2 4" xfId="43247" xr:uid="{54561E41-9571-4CCB-BD2C-FA7BEA094C50}"/>
    <cellStyle name="Normal 4 4 2 2 2 2 3 2 2 5" xfId="17053" xr:uid="{06B5DA88-8DE4-48EC-BD9E-5ACCD7594F0B}"/>
    <cellStyle name="Normal 4 4 2 2 2 2 3 2 3" xfId="22136" xr:uid="{CD5C206F-8EC5-4A5C-B384-EFAD73542973}"/>
    <cellStyle name="Normal 4 4 2 2 2 2 3 2 4" xfId="30583" xr:uid="{635A54E4-D260-4BAB-9E5A-6E5BE0F36FD0}"/>
    <cellStyle name="Normal 4 4 2 2 2 2 3 2 5" xfId="39030" xr:uid="{E9C2002E-B742-4192-890A-6195C124C19E}"/>
    <cellStyle name="Normal 4 4 2 2 2 2 3 2 6" xfId="12836" xr:uid="{C2EA30C7-F1E4-45CA-873D-C7F6C9C146AA}"/>
    <cellStyle name="Normal 4 4 2 2 2 2 3 3" xfId="5582" xr:uid="{00000000-0005-0000-0000-0000D0140000}"/>
    <cellStyle name="Normal 4 4 2 2 2 2 3 3 2" xfId="24208" xr:uid="{B61F2C67-33FF-4C9A-AAEC-A5442C901103}"/>
    <cellStyle name="Normal 4 4 2 2 2 2 3 3 3" xfId="32655" xr:uid="{13D3E2ED-D4EE-4997-8A3E-1FD9D741707A}"/>
    <cellStyle name="Normal 4 4 2 2 2 2 3 3 4" xfId="41102" xr:uid="{CDD94E5B-0D9E-48C8-833F-FED3ED624876}"/>
    <cellStyle name="Normal 4 4 2 2 2 2 3 3 5" xfId="14908" xr:uid="{C451A29D-FEAE-426B-8B76-F1F8781E61CA}"/>
    <cellStyle name="Normal 4 4 2 2 2 2 3 4" xfId="19991" xr:uid="{7CF0729D-9919-45F0-9E03-03EA5E4A7218}"/>
    <cellStyle name="Normal 4 4 2 2 2 2 3 5" xfId="28438" xr:uid="{FEE6D811-B2E3-4572-B0D0-C7E85FC53931}"/>
    <cellStyle name="Normal 4 4 2 2 2 2 3 6" xfId="36885" xr:uid="{E4520CE5-E67C-4D03-B2DC-A311B75AA959}"/>
    <cellStyle name="Normal 4 4 2 2 2 2 3 7" xfId="10691" xr:uid="{F529CFA5-6CCC-4310-8EB8-07C2259EA927}"/>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2 2 2" xfId="26766" xr:uid="{0DCD02E6-F991-44E6-8E32-F778D5E9CECC}"/>
    <cellStyle name="Normal 4 4 2 2 2 2 4 2 2 3" xfId="35213" xr:uid="{A30636E5-3A56-4C9D-99D8-DA1B687F31FF}"/>
    <cellStyle name="Normal 4 4 2 2 2 2 4 2 2 4" xfId="43660" xr:uid="{1D92F3DE-3C10-4926-AD9A-B81C336B19AE}"/>
    <cellStyle name="Normal 4 4 2 2 2 2 4 2 2 5" xfId="17466" xr:uid="{D8BA03C7-F036-4369-81F4-667F447128C1}"/>
    <cellStyle name="Normal 4 4 2 2 2 2 4 2 3" xfId="22549" xr:uid="{4B1CCE94-A568-4EC0-AE5F-14CC3058DC29}"/>
    <cellStyle name="Normal 4 4 2 2 2 2 4 2 4" xfId="30996" xr:uid="{C7060065-DD57-4A7E-A975-6BE6B8FD3D97}"/>
    <cellStyle name="Normal 4 4 2 2 2 2 4 2 5" xfId="39443" xr:uid="{6F286208-6546-4355-B293-4BE1AEE51C9D}"/>
    <cellStyle name="Normal 4 4 2 2 2 2 4 2 6" xfId="13249" xr:uid="{52448F1B-BEEE-4F6E-87DF-FD93CD2088FF}"/>
    <cellStyle name="Normal 4 4 2 2 2 2 4 3" xfId="5995" xr:uid="{00000000-0005-0000-0000-0000D4140000}"/>
    <cellStyle name="Normal 4 4 2 2 2 2 4 3 2" xfId="24621" xr:uid="{F83CE422-0197-4114-AAE9-B56F8481994F}"/>
    <cellStyle name="Normal 4 4 2 2 2 2 4 3 3" xfId="33068" xr:uid="{A57FDF65-6336-44BB-8219-E3497CBF3EDA}"/>
    <cellStyle name="Normal 4 4 2 2 2 2 4 3 4" xfId="41515" xr:uid="{491FE1AE-95BE-4020-8B88-97E0ED5793A4}"/>
    <cellStyle name="Normal 4 4 2 2 2 2 4 3 5" xfId="15321" xr:uid="{E0A24E66-97DB-46B8-830A-E3C89914EB90}"/>
    <cellStyle name="Normal 4 4 2 2 2 2 4 4" xfId="20404" xr:uid="{51360729-4C91-4BCC-B320-906F2DCC028B}"/>
    <cellStyle name="Normal 4 4 2 2 2 2 4 5" xfId="28851" xr:uid="{085BC5E8-9C43-4AEB-AB64-631C44EFA510}"/>
    <cellStyle name="Normal 4 4 2 2 2 2 4 6" xfId="37298" xr:uid="{5E1EDB61-CD56-446C-A479-13FF7516E1FD}"/>
    <cellStyle name="Normal 4 4 2 2 2 2 4 7" xfId="11104" xr:uid="{7D93B85F-4C77-46A6-B8DF-7EA41F287ACF}"/>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2 2 2" xfId="27179" xr:uid="{02DBEFD8-9E4A-48B9-A453-FE5A0270F8A6}"/>
    <cellStyle name="Normal 4 4 2 2 2 2 5 2 2 3" xfId="35626" xr:uid="{B7B040AC-A86D-4535-BD80-63C0A3F64DDE}"/>
    <cellStyle name="Normal 4 4 2 2 2 2 5 2 2 4" xfId="44073" xr:uid="{B3C453F2-B0F5-43C8-BE97-CF7E6D3F647E}"/>
    <cellStyle name="Normal 4 4 2 2 2 2 5 2 2 5" xfId="17879" xr:uid="{1EDD367A-F775-43B7-93D6-A0F67ED83E3C}"/>
    <cellStyle name="Normal 4 4 2 2 2 2 5 2 3" xfId="22962" xr:uid="{7AA634A5-88AF-4506-8E0B-9C75905765A3}"/>
    <cellStyle name="Normal 4 4 2 2 2 2 5 2 4" xfId="31409" xr:uid="{FFD5FB89-0C8C-4F81-9B16-D61FD94BB6E7}"/>
    <cellStyle name="Normal 4 4 2 2 2 2 5 2 5" xfId="39856" xr:uid="{D403137C-D4E7-460A-84E5-74C285BCCEA8}"/>
    <cellStyle name="Normal 4 4 2 2 2 2 5 2 6" xfId="13662" xr:uid="{1D8AB172-998B-4C6F-8177-F8EB05818FFE}"/>
    <cellStyle name="Normal 4 4 2 2 2 2 5 3" xfId="6408" xr:uid="{00000000-0005-0000-0000-0000D8140000}"/>
    <cellStyle name="Normal 4 4 2 2 2 2 5 3 2" xfId="25034" xr:uid="{BCC0FEAC-C2D1-4F98-B09F-98359ED5D624}"/>
    <cellStyle name="Normal 4 4 2 2 2 2 5 3 3" xfId="33481" xr:uid="{6CE85BDD-BFDD-47A2-AE65-C5F6130C71B1}"/>
    <cellStyle name="Normal 4 4 2 2 2 2 5 3 4" xfId="41928" xr:uid="{6F7B2809-4E99-4BC0-9C0E-E7296194B5ED}"/>
    <cellStyle name="Normal 4 4 2 2 2 2 5 3 5" xfId="15734" xr:uid="{085856F7-E292-4DA8-AA45-66967AF23841}"/>
    <cellStyle name="Normal 4 4 2 2 2 2 5 4" xfId="20817" xr:uid="{2377D1EE-4279-46DE-81BE-98C7328019AE}"/>
    <cellStyle name="Normal 4 4 2 2 2 2 5 5" xfId="29264" xr:uid="{4E4E8DBA-A1CA-4F72-A857-7FD2BBBD8846}"/>
    <cellStyle name="Normal 4 4 2 2 2 2 5 6" xfId="37711" xr:uid="{509D792E-7A6E-42AC-B25D-E49FA237623D}"/>
    <cellStyle name="Normal 4 4 2 2 2 2 5 7" xfId="11517" xr:uid="{51A2AB0C-2979-41F3-AC70-A8B2E6F8D6FF}"/>
    <cellStyle name="Normal 4 4 2 2 2 2 6" xfId="2538" xr:uid="{00000000-0005-0000-0000-0000D9140000}"/>
    <cellStyle name="Normal 4 4 2 2 2 2 6 2" xfId="6821" xr:uid="{00000000-0005-0000-0000-0000DA140000}"/>
    <cellStyle name="Normal 4 4 2 2 2 2 6 2 2" xfId="25447" xr:uid="{313B0478-EC58-4893-8A3F-DEC376B6DC2C}"/>
    <cellStyle name="Normal 4 4 2 2 2 2 6 2 3" xfId="33894" xr:uid="{F208D8D2-8097-44B3-9D66-39C292D72E40}"/>
    <cellStyle name="Normal 4 4 2 2 2 2 6 2 4" xfId="42341" xr:uid="{1D81673A-BA7E-4003-A1DD-94CEE62F1C5E}"/>
    <cellStyle name="Normal 4 4 2 2 2 2 6 2 5" xfId="16147" xr:uid="{4AC8145C-FAF0-47A0-A50A-2939C9EB7F99}"/>
    <cellStyle name="Normal 4 4 2 2 2 2 6 3" xfId="21230" xr:uid="{4F6B9689-B02A-4AE0-9BAB-699FA8441766}"/>
    <cellStyle name="Normal 4 4 2 2 2 2 6 4" xfId="29677" xr:uid="{EE26C319-5708-4426-B663-C099D6495889}"/>
    <cellStyle name="Normal 4 4 2 2 2 2 6 5" xfId="38124" xr:uid="{B98F22FB-71F0-4631-8A27-EACFB23F784A}"/>
    <cellStyle name="Normal 4 4 2 2 2 2 6 6" xfId="11930" xr:uid="{A731A5B6-F444-47C5-B1D1-51D66F00C3CD}"/>
    <cellStyle name="Normal 4 4 2 2 2 2 7" xfId="4756" xr:uid="{00000000-0005-0000-0000-0000DB140000}"/>
    <cellStyle name="Normal 4 4 2 2 2 2 7 2" xfId="23382" xr:uid="{F6E3FA0E-5E2E-4AA0-954C-32E0B60B45A8}"/>
    <cellStyle name="Normal 4 4 2 2 2 2 7 3" xfId="31829" xr:uid="{C3E3BFA7-C8A2-4EAF-AEAF-A7F93426FF88}"/>
    <cellStyle name="Normal 4 4 2 2 2 2 7 4" xfId="40276" xr:uid="{A58BCF6E-52C4-4812-8BD7-5C51AE226F6B}"/>
    <cellStyle name="Normal 4 4 2 2 2 2 7 5" xfId="14082" xr:uid="{26290533-6EFA-4BF8-833A-9BD81EEED59C}"/>
    <cellStyle name="Normal 4 4 2 2 2 2 8" xfId="9134" xr:uid="{B37D4C66-6754-4A5E-BFF7-77694E4355C2}"/>
    <cellStyle name="Normal 4 4 2 2 2 2 8 2" xfId="18458" xr:uid="{DAFBF510-BAEE-44DD-86A6-A17731C1ADF7}"/>
    <cellStyle name="Normal 4 4 2 2 2 2 9" xfId="19165" xr:uid="{32ACB98A-6315-441D-8F0E-8F44854E4D6D}"/>
    <cellStyle name="Normal 4 4 2 2 2 3" xfId="856" xr:uid="{00000000-0005-0000-0000-0000DC140000}"/>
    <cellStyle name="Normal 4 4 2 2 2 3 2" xfId="3091" xr:uid="{00000000-0005-0000-0000-0000DD140000}"/>
    <cellStyle name="Normal 4 4 2 2 2 3 2 2" xfId="7313" xr:uid="{00000000-0005-0000-0000-0000DE140000}"/>
    <cellStyle name="Normal 4 4 2 2 2 3 2 2 2" xfId="25939" xr:uid="{6D362A30-8842-4540-A323-2A4E8DABB52D}"/>
    <cellStyle name="Normal 4 4 2 2 2 3 2 2 3" xfId="34386" xr:uid="{E15FB189-E6D1-440D-8BE5-2F48AFE610D4}"/>
    <cellStyle name="Normal 4 4 2 2 2 3 2 2 4" xfId="42833" xr:uid="{C6BBF459-5E20-465B-B7AF-576F80E68F78}"/>
    <cellStyle name="Normal 4 4 2 2 2 3 2 2 5" xfId="16639" xr:uid="{F1F8AF18-D414-484C-BE68-D07DD16AB7CB}"/>
    <cellStyle name="Normal 4 4 2 2 2 3 2 3" xfId="21722" xr:uid="{25BBC382-900E-42A5-96DE-D48AB67D0AAB}"/>
    <cellStyle name="Normal 4 4 2 2 2 3 2 4" xfId="30169" xr:uid="{6D338A2B-8CF9-469F-90E8-26C6C0D7B1B7}"/>
    <cellStyle name="Normal 4 4 2 2 2 3 2 5" xfId="38616" xr:uid="{3E4CEC2C-8A73-4CC0-844D-7C1FC29E0BB2}"/>
    <cellStyle name="Normal 4 4 2 2 2 3 2 6" xfId="12422" xr:uid="{2112FD34-735D-44C7-8E09-B040AF555A0E}"/>
    <cellStyle name="Normal 4 4 2 2 2 3 3" xfId="5168" xr:uid="{00000000-0005-0000-0000-0000DF140000}"/>
    <cellStyle name="Normal 4 4 2 2 2 3 3 2" xfId="23794" xr:uid="{7EFAC2F7-7E25-482F-99DB-D97ABFF86C7A}"/>
    <cellStyle name="Normal 4 4 2 2 2 3 3 3" xfId="32241" xr:uid="{59CD7BEA-D2EC-4918-94C3-B0DA834C71E9}"/>
    <cellStyle name="Normal 4 4 2 2 2 3 3 4" xfId="40688" xr:uid="{6832FD6F-B973-4897-B791-B45B5FAC36A0}"/>
    <cellStyle name="Normal 4 4 2 2 2 3 3 5" xfId="14494" xr:uid="{EA6C5B6A-AE64-45BF-9076-E86ED3CEAC0D}"/>
    <cellStyle name="Normal 4 4 2 2 2 3 4" xfId="9352" xr:uid="{76F31DA2-44D0-447F-BA9C-6271BA6AAE96}"/>
    <cellStyle name="Normal 4 4 2 2 2 3 4 2" xfId="18668" xr:uid="{86D3BB1A-3889-425E-B60A-AFF0A9A5D5D8}"/>
    <cellStyle name="Normal 4 4 2 2 2 3 5" xfId="19577" xr:uid="{7004AB67-569D-4E75-B80C-36AA57507F59}"/>
    <cellStyle name="Normal 4 4 2 2 2 3 6" xfId="28024" xr:uid="{4A795212-2D6A-4699-A703-C249422260DB}"/>
    <cellStyle name="Normal 4 4 2 2 2 3 7" xfId="36471" xr:uid="{FED4FD96-FBBB-43AF-ABFD-CC968E554006}"/>
    <cellStyle name="Normal 4 4 2 2 2 3 8" xfId="10277" xr:uid="{87652688-2A29-4102-99BB-DF97D6551E95}"/>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2 2 2" xfId="26352" xr:uid="{0C96D4B9-C370-4303-A881-2C7E25F1D19C}"/>
    <cellStyle name="Normal 4 4 2 2 2 4 2 2 3" xfId="34799" xr:uid="{2D6410ED-232D-4F78-B8AE-8F8F4619DE76}"/>
    <cellStyle name="Normal 4 4 2 2 2 4 2 2 4" xfId="43246" xr:uid="{344E2D7C-E66C-40B2-B06A-50B0F3858B2C}"/>
    <cellStyle name="Normal 4 4 2 2 2 4 2 2 5" xfId="17052" xr:uid="{150E9B27-B303-4CF3-8F09-903DD3821AB3}"/>
    <cellStyle name="Normal 4 4 2 2 2 4 2 3" xfId="22135" xr:uid="{98C35C54-48FF-453B-9FF8-5920378B736D}"/>
    <cellStyle name="Normal 4 4 2 2 2 4 2 4" xfId="30582" xr:uid="{3D500B3F-7510-4D1F-8775-2091538F08E1}"/>
    <cellStyle name="Normal 4 4 2 2 2 4 2 5" xfId="39029" xr:uid="{5982EA2B-819F-4446-9383-004F8989731C}"/>
    <cellStyle name="Normal 4 4 2 2 2 4 2 6" xfId="12835" xr:uid="{ECC0F555-17EC-4E0B-B3DB-1EFE9B49C3F5}"/>
    <cellStyle name="Normal 4 4 2 2 2 4 3" xfId="5581" xr:uid="{00000000-0005-0000-0000-0000E3140000}"/>
    <cellStyle name="Normal 4 4 2 2 2 4 3 2" xfId="24207" xr:uid="{013CC876-5E06-4FDC-8918-492E3437B6BD}"/>
    <cellStyle name="Normal 4 4 2 2 2 4 3 3" xfId="32654" xr:uid="{E5878805-77FB-4FFE-8743-6C1E6F2DD2EC}"/>
    <cellStyle name="Normal 4 4 2 2 2 4 3 4" xfId="41101" xr:uid="{F13834BD-99F2-4FC2-8D6A-C10255EDB772}"/>
    <cellStyle name="Normal 4 4 2 2 2 4 3 5" xfId="14907" xr:uid="{EEF65A24-4481-4496-A90B-FE25D18E987B}"/>
    <cellStyle name="Normal 4 4 2 2 2 4 4" xfId="19990" xr:uid="{F8B7DA0A-B36A-48B5-9C77-D94434A1B90D}"/>
    <cellStyle name="Normal 4 4 2 2 2 4 5" xfId="28437" xr:uid="{70EF4DF9-73F1-40BF-A0E5-1B7DF4BA36BE}"/>
    <cellStyle name="Normal 4 4 2 2 2 4 6" xfId="36884" xr:uid="{2E63C0DE-FB1D-482E-936C-883906579AAA}"/>
    <cellStyle name="Normal 4 4 2 2 2 4 7" xfId="10690" xr:uid="{8FA5FE32-E42A-4DA9-AB09-98D0F92B03C2}"/>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2 2 2" xfId="26765" xr:uid="{15885A9B-F31A-468B-A5F9-59F71A38F34F}"/>
    <cellStyle name="Normal 4 4 2 2 2 5 2 2 3" xfId="35212" xr:uid="{D5AB70F3-DF74-4A17-99B2-33767001AFED}"/>
    <cellStyle name="Normal 4 4 2 2 2 5 2 2 4" xfId="43659" xr:uid="{E87FCD4B-E18D-42D0-BCC3-37BBCEBA05AD}"/>
    <cellStyle name="Normal 4 4 2 2 2 5 2 2 5" xfId="17465" xr:uid="{4D77D2DD-B090-4DDC-B1F7-14C91842288A}"/>
    <cellStyle name="Normal 4 4 2 2 2 5 2 3" xfId="22548" xr:uid="{4309A6B3-05E5-46B0-836C-3346418F73D8}"/>
    <cellStyle name="Normal 4 4 2 2 2 5 2 4" xfId="30995" xr:uid="{C69DC308-070E-40E1-B26A-786E2FD59DE6}"/>
    <cellStyle name="Normal 4 4 2 2 2 5 2 5" xfId="39442" xr:uid="{0E5A7AFF-1A40-41E6-9422-451473EBAF0C}"/>
    <cellStyle name="Normal 4 4 2 2 2 5 2 6" xfId="13248" xr:uid="{61267066-EF6F-4619-AF51-E4C56FD14E6B}"/>
    <cellStyle name="Normal 4 4 2 2 2 5 3" xfId="5994" xr:uid="{00000000-0005-0000-0000-0000E7140000}"/>
    <cellStyle name="Normal 4 4 2 2 2 5 3 2" xfId="24620" xr:uid="{535D3937-BF8F-462B-9030-0B0219B6CE7E}"/>
    <cellStyle name="Normal 4 4 2 2 2 5 3 3" xfId="33067" xr:uid="{C81ACACB-34FD-4787-92D0-E6E8E090DFC5}"/>
    <cellStyle name="Normal 4 4 2 2 2 5 3 4" xfId="41514" xr:uid="{3E1CB936-7CF5-4D13-8D02-CC7A27668BBC}"/>
    <cellStyle name="Normal 4 4 2 2 2 5 3 5" xfId="15320" xr:uid="{F142FFDE-48C2-47B4-A47D-5CE310C943A9}"/>
    <cellStyle name="Normal 4 4 2 2 2 5 4" xfId="20403" xr:uid="{8613B5AA-349B-4CEA-B811-9F83213A1C54}"/>
    <cellStyle name="Normal 4 4 2 2 2 5 5" xfId="28850" xr:uid="{E6094D62-BA55-4F69-8060-0E700AD27AD7}"/>
    <cellStyle name="Normal 4 4 2 2 2 5 6" xfId="37297" xr:uid="{C856683D-9AE0-4246-93CA-7E11F50EC103}"/>
    <cellStyle name="Normal 4 4 2 2 2 5 7" xfId="11103" xr:uid="{CD061B7C-3F07-47B4-8404-68E68323B1F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2 2 2" xfId="27178" xr:uid="{3F169FC4-5170-407D-B67E-0E7C17342262}"/>
    <cellStyle name="Normal 4 4 2 2 2 6 2 2 3" xfId="35625" xr:uid="{30021485-4076-4480-8734-9D94A4FAD9E3}"/>
    <cellStyle name="Normal 4 4 2 2 2 6 2 2 4" xfId="44072" xr:uid="{B1931200-73F1-485C-85FA-DA8362FC03D6}"/>
    <cellStyle name="Normal 4 4 2 2 2 6 2 2 5" xfId="17878" xr:uid="{2E50EFD4-9724-4DE3-9D4D-99C6C3CD3F2A}"/>
    <cellStyle name="Normal 4 4 2 2 2 6 2 3" xfId="22961" xr:uid="{9DC30784-F7F8-4A0C-9D47-DC1FF22821A4}"/>
    <cellStyle name="Normal 4 4 2 2 2 6 2 4" xfId="31408" xr:uid="{99CA9B88-28F9-42D0-847D-D9233F6EFF85}"/>
    <cellStyle name="Normal 4 4 2 2 2 6 2 5" xfId="39855" xr:uid="{D31D8C8E-0D1D-4782-AC4D-647A9E2634A0}"/>
    <cellStyle name="Normal 4 4 2 2 2 6 2 6" xfId="13661" xr:uid="{E30914F3-EAC2-41AB-BCB8-1EF2AD7DBF22}"/>
    <cellStyle name="Normal 4 4 2 2 2 6 3" xfId="6407" xr:uid="{00000000-0005-0000-0000-0000EB140000}"/>
    <cellStyle name="Normal 4 4 2 2 2 6 3 2" xfId="25033" xr:uid="{F01B3C4D-CF1F-4D6F-B627-86F132261C88}"/>
    <cellStyle name="Normal 4 4 2 2 2 6 3 3" xfId="33480" xr:uid="{9B62A194-5D93-4EF5-A1A3-FA572547DA6F}"/>
    <cellStyle name="Normal 4 4 2 2 2 6 3 4" xfId="41927" xr:uid="{83B3FDA7-DC94-46E6-8C20-142ADA5A0C5E}"/>
    <cellStyle name="Normal 4 4 2 2 2 6 3 5" xfId="15733" xr:uid="{8F5283F4-4D08-49F2-BC5D-2E7F12247E15}"/>
    <cellStyle name="Normal 4 4 2 2 2 6 4" xfId="20816" xr:uid="{D18F10B4-0460-4062-AF06-2905F7A4CA59}"/>
    <cellStyle name="Normal 4 4 2 2 2 6 5" xfId="29263" xr:uid="{3376B973-5D18-4D17-B1EE-874DA9D1A89D}"/>
    <cellStyle name="Normal 4 4 2 2 2 6 6" xfId="37710" xr:uid="{FB3114E5-05B0-4D5A-B4D9-2FC8114630E2}"/>
    <cellStyle name="Normal 4 4 2 2 2 6 7" xfId="11516" xr:uid="{BA1502A2-C7BD-4B86-A955-8332B00CF24F}"/>
    <cellStyle name="Normal 4 4 2 2 2 7" xfId="2537" xr:uid="{00000000-0005-0000-0000-0000EC140000}"/>
    <cellStyle name="Normal 4 4 2 2 2 7 2" xfId="6820" xr:uid="{00000000-0005-0000-0000-0000ED140000}"/>
    <cellStyle name="Normal 4 4 2 2 2 7 2 2" xfId="25446" xr:uid="{A02BFBDC-9B68-4CA9-91D9-A7C0585D6284}"/>
    <cellStyle name="Normal 4 4 2 2 2 7 2 3" xfId="33893" xr:uid="{0C8CBC22-FA7B-4089-B3B3-8CA783BD3E01}"/>
    <cellStyle name="Normal 4 4 2 2 2 7 2 4" xfId="42340" xr:uid="{07FD894B-7923-47DD-97B1-4113C24FA8F6}"/>
    <cellStyle name="Normal 4 4 2 2 2 7 2 5" xfId="16146" xr:uid="{4F97A575-92AE-4C1E-9B15-0EC6BEAFAF91}"/>
    <cellStyle name="Normal 4 4 2 2 2 7 3" xfId="21229" xr:uid="{77ECDDF0-2F1E-4BF1-93DA-2D25AEF58974}"/>
    <cellStyle name="Normal 4 4 2 2 2 7 4" xfId="29676" xr:uid="{7EF211FB-5914-4F1B-9383-5AB83FF4749E}"/>
    <cellStyle name="Normal 4 4 2 2 2 7 5" xfId="38123" xr:uid="{DD8278BE-58F6-4BE9-AF23-48362E142387}"/>
    <cellStyle name="Normal 4 4 2 2 2 7 6" xfId="11929" xr:uid="{6EB3D853-1E2D-44E4-8EE8-1A1A220BF1D9}"/>
    <cellStyle name="Normal 4 4 2 2 2 8" xfId="4755" xr:uid="{00000000-0005-0000-0000-0000EE140000}"/>
    <cellStyle name="Normal 4 4 2 2 2 8 2" xfId="23381" xr:uid="{D8C339E4-46D2-4D95-ACFC-BBFD575D668D}"/>
    <cellStyle name="Normal 4 4 2 2 2 8 3" xfId="31828" xr:uid="{0A33A6A0-1E63-4024-AE5C-4B1AF0FD8DB5}"/>
    <cellStyle name="Normal 4 4 2 2 2 8 4" xfId="40275" xr:uid="{1296EDF8-5384-4507-8DB0-4C6725DCCF2A}"/>
    <cellStyle name="Normal 4 4 2 2 2 8 5" xfId="14081" xr:uid="{76D72ABE-769A-4937-BCA5-B0DD48105AC8}"/>
    <cellStyle name="Normal 4 4 2 2 2 9" xfId="8927" xr:uid="{195B9197-F273-4D3B-B7A6-9CBAA360D528}"/>
    <cellStyle name="Normal 4 4 2 2 2 9 2" xfId="18251" xr:uid="{DF0134D1-4EDE-4141-87C2-165406A22C8D}"/>
    <cellStyle name="Normal 4 4 2 2 3" xfId="383" xr:uid="{00000000-0005-0000-0000-0000EF140000}"/>
    <cellStyle name="Normal 4 4 2 2 3 10" xfId="27613" xr:uid="{4FBC9406-965A-47AD-9482-C549D5C2F01B}"/>
    <cellStyle name="Normal 4 4 2 2 3 11" xfId="36060" xr:uid="{CEDAC452-D533-4425-BD85-3486F59941D9}"/>
    <cellStyle name="Normal 4 4 2 2 3 12" xfId="9866" xr:uid="{3C7ED0D5-3249-426B-8ADA-176224492F05}"/>
    <cellStyle name="Normal 4 4 2 2 3 2" xfId="858" xr:uid="{00000000-0005-0000-0000-0000F0140000}"/>
    <cellStyle name="Normal 4 4 2 2 3 2 2" xfId="3093" xr:uid="{00000000-0005-0000-0000-0000F1140000}"/>
    <cellStyle name="Normal 4 4 2 2 3 2 2 2" xfId="7315" xr:uid="{00000000-0005-0000-0000-0000F2140000}"/>
    <cellStyle name="Normal 4 4 2 2 3 2 2 2 2" xfId="25941" xr:uid="{B678AF0B-BF3C-4FD3-A0DE-E8C892966AE8}"/>
    <cellStyle name="Normal 4 4 2 2 3 2 2 2 3" xfId="34388" xr:uid="{5C8E14FE-489E-4031-B4A7-7BC6A2256FA7}"/>
    <cellStyle name="Normal 4 4 2 2 3 2 2 2 4" xfId="42835" xr:uid="{A8C5C154-66E1-4B75-97B4-18DD40126015}"/>
    <cellStyle name="Normal 4 4 2 2 3 2 2 2 5" xfId="16641" xr:uid="{6770692B-A1BA-4A5D-8CCD-4B7012D46994}"/>
    <cellStyle name="Normal 4 4 2 2 3 2 2 3" xfId="21724" xr:uid="{9A3C8626-BAB2-4D86-B155-6C230D9E744B}"/>
    <cellStyle name="Normal 4 4 2 2 3 2 2 4" xfId="30171" xr:uid="{08A827CC-1BA2-4277-B935-97ED003ABB52}"/>
    <cellStyle name="Normal 4 4 2 2 3 2 2 5" xfId="38618" xr:uid="{4C2242C9-5359-4BD4-A580-76D385D1113E}"/>
    <cellStyle name="Normal 4 4 2 2 3 2 2 6" xfId="12424" xr:uid="{AB68A670-FC0B-4E8A-83D2-0D57EAEB2B0B}"/>
    <cellStyle name="Normal 4 4 2 2 3 2 3" xfId="5170" xr:uid="{00000000-0005-0000-0000-0000F3140000}"/>
    <cellStyle name="Normal 4 4 2 2 3 2 3 2" xfId="23796" xr:uid="{EBB282DE-35AB-43F1-97D0-AB09CAF5DE21}"/>
    <cellStyle name="Normal 4 4 2 2 3 2 3 3" xfId="32243" xr:uid="{EFF1AC82-7822-44C4-A95D-42C079CBA936}"/>
    <cellStyle name="Normal 4 4 2 2 3 2 3 4" xfId="40690" xr:uid="{9BB3B5DF-A998-46E6-85F6-807777B1BF35}"/>
    <cellStyle name="Normal 4 4 2 2 3 2 3 5" xfId="14496" xr:uid="{6BA8AD56-725F-4E3B-A7D9-8C61B6C285CD}"/>
    <cellStyle name="Normal 4 4 2 2 3 2 4" xfId="9456" xr:uid="{7CB0B972-68D8-4A2C-A3A7-1D2BD109E44A}"/>
    <cellStyle name="Normal 4 4 2 2 3 2 4 2" xfId="18772" xr:uid="{10C989F2-992B-404C-A34B-31D20C161E75}"/>
    <cellStyle name="Normal 4 4 2 2 3 2 5" xfId="19579" xr:uid="{469A86AC-A091-43DC-AA59-5AE0FEDD6CA9}"/>
    <cellStyle name="Normal 4 4 2 2 3 2 6" xfId="28026" xr:uid="{A35176A6-98B2-4B3F-8DAA-F2E17E5B446C}"/>
    <cellStyle name="Normal 4 4 2 2 3 2 7" xfId="36473" xr:uid="{296CD903-600D-4CCE-9E9F-F1C6A3E7916A}"/>
    <cellStyle name="Normal 4 4 2 2 3 2 8" xfId="10279" xr:uid="{85BEC780-84AC-414B-854F-78D656B6D4A8}"/>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2 2 2" xfId="26354" xr:uid="{661BC601-6B5A-4430-A9B4-93DDEA5473C5}"/>
    <cellStyle name="Normal 4 4 2 2 3 3 2 2 3" xfId="34801" xr:uid="{D19089E9-C416-4ADB-9BA7-F91E67D6D8F1}"/>
    <cellStyle name="Normal 4 4 2 2 3 3 2 2 4" xfId="43248" xr:uid="{998131D6-8C4E-46F4-8355-0DF082213704}"/>
    <cellStyle name="Normal 4 4 2 2 3 3 2 2 5" xfId="17054" xr:uid="{1975425B-F229-4247-933C-586F54431A80}"/>
    <cellStyle name="Normal 4 4 2 2 3 3 2 3" xfId="22137" xr:uid="{C833E6D0-0A75-4568-8EF4-74FF225F010B}"/>
    <cellStyle name="Normal 4 4 2 2 3 3 2 4" xfId="30584" xr:uid="{5699C5E3-764C-4DC6-A9EC-D0A93B1D02AA}"/>
    <cellStyle name="Normal 4 4 2 2 3 3 2 5" xfId="39031" xr:uid="{994604CE-8504-4998-99E0-84BD5EBBB0C8}"/>
    <cellStyle name="Normal 4 4 2 2 3 3 2 6" xfId="12837" xr:uid="{60672B7F-A9B9-4123-B347-328EDDF025B3}"/>
    <cellStyle name="Normal 4 4 2 2 3 3 3" xfId="5583" xr:uid="{00000000-0005-0000-0000-0000F7140000}"/>
    <cellStyle name="Normal 4 4 2 2 3 3 3 2" xfId="24209" xr:uid="{86577FFB-0F6F-4BD6-B503-8AF88F8957F2}"/>
    <cellStyle name="Normal 4 4 2 2 3 3 3 3" xfId="32656" xr:uid="{13F6BE2A-0C90-4738-9650-4FDEF3F0F93C}"/>
    <cellStyle name="Normal 4 4 2 2 3 3 3 4" xfId="41103" xr:uid="{9D17F5D1-3E8B-40EA-9BF0-EEEF12A62DC2}"/>
    <cellStyle name="Normal 4 4 2 2 3 3 3 5" xfId="14909" xr:uid="{375069C9-F726-4960-B117-AE18A5CD488B}"/>
    <cellStyle name="Normal 4 4 2 2 3 3 4" xfId="19992" xr:uid="{E0D963B5-925E-4C56-A020-756559398B7C}"/>
    <cellStyle name="Normal 4 4 2 2 3 3 5" xfId="28439" xr:uid="{6B2BDE73-B336-4DD6-93EA-D195C5B946E7}"/>
    <cellStyle name="Normal 4 4 2 2 3 3 6" xfId="36886" xr:uid="{B40C2267-FC2E-47CA-A260-415B3B2F879E}"/>
    <cellStyle name="Normal 4 4 2 2 3 3 7" xfId="10692" xr:uid="{2FAD4288-2BAB-4136-99DD-AAF9D63EB045}"/>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2 2 2" xfId="26767" xr:uid="{D1514A3A-06FB-4430-A2CE-EC9A41E25911}"/>
    <cellStyle name="Normal 4 4 2 2 3 4 2 2 3" xfId="35214" xr:uid="{5875164A-CAF8-4666-A809-F18BE55D9A7C}"/>
    <cellStyle name="Normal 4 4 2 2 3 4 2 2 4" xfId="43661" xr:uid="{3C995019-695D-4ABF-9B87-D4AFDC05B007}"/>
    <cellStyle name="Normal 4 4 2 2 3 4 2 2 5" xfId="17467" xr:uid="{CE232083-5A89-4CD6-929C-D426CC0DAC84}"/>
    <cellStyle name="Normal 4 4 2 2 3 4 2 3" xfId="22550" xr:uid="{20F3802F-8B43-46D3-9D11-F43895BEF782}"/>
    <cellStyle name="Normal 4 4 2 2 3 4 2 4" xfId="30997" xr:uid="{EF53B3EE-8275-48A6-A3A3-9FA9E0C0F45A}"/>
    <cellStyle name="Normal 4 4 2 2 3 4 2 5" xfId="39444" xr:uid="{29F9B6F7-56EE-4059-8AF7-46062C1823F3}"/>
    <cellStyle name="Normal 4 4 2 2 3 4 2 6" xfId="13250" xr:uid="{21B1CA97-BF42-49A6-9310-7D77C565B4F0}"/>
    <cellStyle name="Normal 4 4 2 2 3 4 3" xfId="5996" xr:uid="{00000000-0005-0000-0000-0000FB140000}"/>
    <cellStyle name="Normal 4 4 2 2 3 4 3 2" xfId="24622" xr:uid="{824454AF-142F-4721-8A5C-2042566C8C96}"/>
    <cellStyle name="Normal 4 4 2 2 3 4 3 3" xfId="33069" xr:uid="{1160B323-3D4D-46C7-AA54-9181A4FC57F0}"/>
    <cellStyle name="Normal 4 4 2 2 3 4 3 4" xfId="41516" xr:uid="{3BCF8A20-B64E-434F-9EB5-1CFB3989131E}"/>
    <cellStyle name="Normal 4 4 2 2 3 4 3 5" xfId="15322" xr:uid="{A6ED2E65-452A-4954-83E9-846C8418C0EF}"/>
    <cellStyle name="Normal 4 4 2 2 3 4 4" xfId="20405" xr:uid="{4F010513-2B72-48A6-856E-20A884974E02}"/>
    <cellStyle name="Normal 4 4 2 2 3 4 5" xfId="28852" xr:uid="{9842904F-3AA2-487E-A357-F8E4B419E2FA}"/>
    <cellStyle name="Normal 4 4 2 2 3 4 6" xfId="37299" xr:uid="{EE323B10-82D6-473C-9A31-FDD4AA5DEF5A}"/>
    <cellStyle name="Normal 4 4 2 2 3 4 7" xfId="11105" xr:uid="{32662688-1E1C-4EC3-973D-67FA78435127}"/>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2 2 2" xfId="27180" xr:uid="{A432976E-6FEB-4EE3-8C33-A1F5D6C4EC53}"/>
    <cellStyle name="Normal 4 4 2 2 3 5 2 2 3" xfId="35627" xr:uid="{021D7960-385D-4325-BDCD-5D075F661BE8}"/>
    <cellStyle name="Normal 4 4 2 2 3 5 2 2 4" xfId="44074" xr:uid="{B70BA46C-F1BA-49F7-A7A5-5144EF854254}"/>
    <cellStyle name="Normal 4 4 2 2 3 5 2 2 5" xfId="17880" xr:uid="{0414019E-7097-4439-96B1-91F0D90B266F}"/>
    <cellStyle name="Normal 4 4 2 2 3 5 2 3" xfId="22963" xr:uid="{8BCBCAAA-A57E-4097-B93B-2EF2C388B30C}"/>
    <cellStyle name="Normal 4 4 2 2 3 5 2 4" xfId="31410" xr:uid="{7970D0AF-1022-4AE6-8002-82E8B572092B}"/>
    <cellStyle name="Normal 4 4 2 2 3 5 2 5" xfId="39857" xr:uid="{E2A3ABE5-B2C2-4C2B-9655-A60E9B0502A1}"/>
    <cellStyle name="Normal 4 4 2 2 3 5 2 6" xfId="13663" xr:uid="{1C2256D1-0905-4E95-9D3A-27CD66468192}"/>
    <cellStyle name="Normal 4 4 2 2 3 5 3" xfId="6409" xr:uid="{00000000-0005-0000-0000-0000FF140000}"/>
    <cellStyle name="Normal 4 4 2 2 3 5 3 2" xfId="25035" xr:uid="{F8A9976E-BF50-4D65-91E4-1200B7B06E4B}"/>
    <cellStyle name="Normal 4 4 2 2 3 5 3 3" xfId="33482" xr:uid="{AEF8A7C9-68B3-41F8-9DD7-84742DB24985}"/>
    <cellStyle name="Normal 4 4 2 2 3 5 3 4" xfId="41929" xr:uid="{0282E48D-9F17-439E-851F-122F06AFBD10}"/>
    <cellStyle name="Normal 4 4 2 2 3 5 3 5" xfId="15735" xr:uid="{D9FC305D-162F-4CE4-B13D-0AB1657B9F83}"/>
    <cellStyle name="Normal 4 4 2 2 3 5 4" xfId="20818" xr:uid="{0BEED6F6-0227-44F4-AB94-6067FE262EDC}"/>
    <cellStyle name="Normal 4 4 2 2 3 5 5" xfId="29265" xr:uid="{40913DBB-303F-4DF2-92C6-ED478EBACD50}"/>
    <cellStyle name="Normal 4 4 2 2 3 5 6" xfId="37712" xr:uid="{83B9D9D0-3347-4F89-A0C5-C30CD014ED87}"/>
    <cellStyle name="Normal 4 4 2 2 3 5 7" xfId="11518" xr:uid="{7A0D9F90-018C-409F-BF32-37A4877C34C6}"/>
    <cellStyle name="Normal 4 4 2 2 3 6" xfId="2539" xr:uid="{00000000-0005-0000-0000-000000150000}"/>
    <cellStyle name="Normal 4 4 2 2 3 6 2" xfId="6822" xr:uid="{00000000-0005-0000-0000-000001150000}"/>
    <cellStyle name="Normal 4 4 2 2 3 6 2 2" xfId="25448" xr:uid="{04D5B947-98C8-421E-AB0E-186E6FA96B65}"/>
    <cellStyle name="Normal 4 4 2 2 3 6 2 3" xfId="33895" xr:uid="{C10CC22C-EE7A-4F90-B8B4-9C8A8DD2E1C3}"/>
    <cellStyle name="Normal 4 4 2 2 3 6 2 4" xfId="42342" xr:uid="{FE1DE45B-CF83-421C-9C8F-5C45CB5F5185}"/>
    <cellStyle name="Normal 4 4 2 2 3 6 2 5" xfId="16148" xr:uid="{D2AA22FE-092F-47BA-B081-3CBBEDEC2AFF}"/>
    <cellStyle name="Normal 4 4 2 2 3 6 3" xfId="21231" xr:uid="{C2427AC8-1A96-4A4D-8AD1-1E1C439BAB43}"/>
    <cellStyle name="Normal 4 4 2 2 3 6 4" xfId="29678" xr:uid="{392449D7-37B9-468C-971C-3C73E391D572}"/>
    <cellStyle name="Normal 4 4 2 2 3 6 5" xfId="38125" xr:uid="{31CC05D6-57E1-4319-8A8B-D68ED2B23211}"/>
    <cellStyle name="Normal 4 4 2 2 3 6 6" xfId="11931" xr:uid="{CC0B56DE-36D6-4D8E-9658-4248B39CC096}"/>
    <cellStyle name="Normal 4 4 2 2 3 7" xfId="4757" xr:uid="{00000000-0005-0000-0000-000002150000}"/>
    <cellStyle name="Normal 4 4 2 2 3 7 2" xfId="23383" xr:uid="{86676E1B-FA00-4822-9319-1ED9D2B33291}"/>
    <cellStyle name="Normal 4 4 2 2 3 7 3" xfId="31830" xr:uid="{7D4ACBB8-2665-49E8-864D-76E470BA5D0E}"/>
    <cellStyle name="Normal 4 4 2 2 3 7 4" xfId="40277" xr:uid="{991968B6-7AFF-48B5-B4B9-B86A665822ED}"/>
    <cellStyle name="Normal 4 4 2 2 3 7 5" xfId="14083" xr:uid="{608ECFD3-44DE-48C0-BD3E-6489BCE4E0E5}"/>
    <cellStyle name="Normal 4 4 2 2 3 8" xfId="9031" xr:uid="{F1B59444-328A-4279-8A0A-A9F7E26061D5}"/>
    <cellStyle name="Normal 4 4 2 2 3 8 2" xfId="18355" xr:uid="{DF7323D6-7384-440D-A9E7-68B237F745CF}"/>
    <cellStyle name="Normal 4 4 2 2 3 9" xfId="19166" xr:uid="{0D996491-215D-4B7A-BC67-ECE089A39790}"/>
    <cellStyle name="Normal 4 4 2 2 4" xfId="855" xr:uid="{00000000-0005-0000-0000-000003150000}"/>
    <cellStyle name="Normal 4 4 2 2 4 2" xfId="3090" xr:uid="{00000000-0005-0000-0000-000004150000}"/>
    <cellStyle name="Normal 4 4 2 2 4 2 2" xfId="7312" xr:uid="{00000000-0005-0000-0000-000005150000}"/>
    <cellStyle name="Normal 4 4 2 2 4 2 2 2" xfId="25938" xr:uid="{36C812F9-040F-4651-80F5-5ACF260A445A}"/>
    <cellStyle name="Normal 4 4 2 2 4 2 2 3" xfId="34385" xr:uid="{C2A5AF23-2BC4-448B-A217-934D7A03523F}"/>
    <cellStyle name="Normal 4 4 2 2 4 2 2 4" xfId="42832" xr:uid="{E934CC80-8FB8-4254-9B06-6AB985DDCCB7}"/>
    <cellStyle name="Normal 4 4 2 2 4 2 2 5" xfId="16638" xr:uid="{91AA607E-1A8E-49F8-94C3-E16EBD5474BA}"/>
    <cellStyle name="Normal 4 4 2 2 4 2 3" xfId="21721" xr:uid="{2813736B-1E4F-4E5F-876D-9DCB6A8ACDEF}"/>
    <cellStyle name="Normal 4 4 2 2 4 2 4" xfId="30168" xr:uid="{B6ABF540-8E45-4792-A76B-C1371D937A62}"/>
    <cellStyle name="Normal 4 4 2 2 4 2 5" xfId="38615" xr:uid="{7F201263-7F2F-4230-9E04-BD0725CD86DA}"/>
    <cellStyle name="Normal 4 4 2 2 4 2 6" xfId="12421" xr:uid="{D8104B82-4E6B-4C5E-868B-D80B03A81354}"/>
    <cellStyle name="Normal 4 4 2 2 4 3" xfId="5167" xr:uid="{00000000-0005-0000-0000-000006150000}"/>
    <cellStyle name="Normal 4 4 2 2 4 3 2" xfId="23793" xr:uid="{18EE61F7-9E08-4914-8D4D-1E89E99F6D03}"/>
    <cellStyle name="Normal 4 4 2 2 4 3 3" xfId="32240" xr:uid="{631A1760-CAC9-4894-B91F-4188DE289DC0}"/>
    <cellStyle name="Normal 4 4 2 2 4 3 4" xfId="40687" xr:uid="{DABF7FDE-32EE-49C7-8380-71DF96E1D681}"/>
    <cellStyle name="Normal 4 4 2 2 4 3 5" xfId="14493" xr:uid="{FDC7A9E3-B143-439C-A6D6-E055347E4AE2}"/>
    <cellStyle name="Normal 4 4 2 2 4 4" xfId="9249" xr:uid="{7E4CA7C7-738D-4CFA-907A-40590344548A}"/>
    <cellStyle name="Normal 4 4 2 2 4 4 2" xfId="18565" xr:uid="{477E0F94-0742-417F-B685-7B47037B4E54}"/>
    <cellStyle name="Normal 4 4 2 2 4 5" xfId="19576" xr:uid="{75F017E8-EEDC-4A55-B484-E2A960E21A43}"/>
    <cellStyle name="Normal 4 4 2 2 4 6" xfId="28023" xr:uid="{07ACB901-05A0-4402-AF2B-3168C3028E76}"/>
    <cellStyle name="Normal 4 4 2 2 4 7" xfId="36470" xr:uid="{9E88F477-5414-4134-9428-C8420BFD7BEA}"/>
    <cellStyle name="Normal 4 4 2 2 4 8" xfId="10276" xr:uid="{B8A620AC-531C-4F26-8010-C5E334FCAAED}"/>
    <cellStyle name="Normal 4 4 2 2 5" xfId="1273" xr:uid="{00000000-0005-0000-0000-000007150000}"/>
    <cellStyle name="Normal 4 4 2 2 5 2" xfId="3503" xr:uid="{00000000-0005-0000-0000-000008150000}"/>
    <cellStyle name="Normal 4 4 2 2 5 2 2" xfId="7725" xr:uid="{00000000-0005-0000-0000-000009150000}"/>
    <cellStyle name="Normal 4 4 2 2 5 2 2 2" xfId="26351" xr:uid="{0B814D54-873A-41AE-A888-394BDF8A13D1}"/>
    <cellStyle name="Normal 4 4 2 2 5 2 2 3" xfId="34798" xr:uid="{BA214B4C-CCCA-4C84-80F6-DBA67F87B771}"/>
    <cellStyle name="Normal 4 4 2 2 5 2 2 4" xfId="43245" xr:uid="{AC25B7B7-1300-4044-A62D-5B99A965D874}"/>
    <cellStyle name="Normal 4 4 2 2 5 2 2 5" xfId="17051" xr:uid="{7CD57946-3152-438D-AF64-7AD73DDD3426}"/>
    <cellStyle name="Normal 4 4 2 2 5 2 3" xfId="22134" xr:uid="{89B0AAD8-38F5-4E38-8253-975A073E7F19}"/>
    <cellStyle name="Normal 4 4 2 2 5 2 4" xfId="30581" xr:uid="{E9411219-31FC-4AC0-9D01-C62333E5A9E5}"/>
    <cellStyle name="Normal 4 4 2 2 5 2 5" xfId="39028" xr:uid="{59F7EB57-2F44-49E5-A825-913AF2796019}"/>
    <cellStyle name="Normal 4 4 2 2 5 2 6" xfId="12834" xr:uid="{E0E0A600-0FB1-475F-84AD-D70D7C93E89A}"/>
    <cellStyle name="Normal 4 4 2 2 5 3" xfId="5580" xr:uid="{00000000-0005-0000-0000-00000A150000}"/>
    <cellStyle name="Normal 4 4 2 2 5 3 2" xfId="24206" xr:uid="{A06BC7A3-1DDF-4AFF-AE85-391C991F8BB8}"/>
    <cellStyle name="Normal 4 4 2 2 5 3 3" xfId="32653" xr:uid="{E64E80C4-3D92-436C-81E9-71219F822845}"/>
    <cellStyle name="Normal 4 4 2 2 5 3 4" xfId="41100" xr:uid="{F1C797DA-2C01-44EA-BE67-D1E92196D11F}"/>
    <cellStyle name="Normal 4 4 2 2 5 3 5" xfId="14906" xr:uid="{93EF64D3-8776-4B07-B44B-AC3750F568EB}"/>
    <cellStyle name="Normal 4 4 2 2 5 4" xfId="19989" xr:uid="{2974216D-31FA-4567-828B-9C9A2FD3DBCF}"/>
    <cellStyle name="Normal 4 4 2 2 5 5" xfId="28436" xr:uid="{9C530A79-386B-44D5-81DF-54BAE3372654}"/>
    <cellStyle name="Normal 4 4 2 2 5 6" xfId="36883" xr:uid="{C6D74DA9-72E9-443A-A585-AB37AED834F7}"/>
    <cellStyle name="Normal 4 4 2 2 5 7" xfId="10689" xr:uid="{98A9E70A-5AD3-4355-B173-85643BBB5104}"/>
    <cellStyle name="Normal 4 4 2 2 6" xfId="1686" xr:uid="{00000000-0005-0000-0000-00000B150000}"/>
    <cellStyle name="Normal 4 4 2 2 6 2" xfId="3916" xr:uid="{00000000-0005-0000-0000-00000C150000}"/>
    <cellStyle name="Normal 4 4 2 2 6 2 2" xfId="8138" xr:uid="{00000000-0005-0000-0000-00000D150000}"/>
    <cellStyle name="Normal 4 4 2 2 6 2 2 2" xfId="26764" xr:uid="{DF63A44E-0B0E-4B98-A192-A57CD8C9D48F}"/>
    <cellStyle name="Normal 4 4 2 2 6 2 2 3" xfId="35211" xr:uid="{BBC98E7C-4731-47A6-8815-A4F784AEC84D}"/>
    <cellStyle name="Normal 4 4 2 2 6 2 2 4" xfId="43658" xr:uid="{43FEF269-5A66-4342-80E7-1888CE6AC325}"/>
    <cellStyle name="Normal 4 4 2 2 6 2 2 5" xfId="17464" xr:uid="{08C9C44E-63F2-47FC-B536-BED104524186}"/>
    <cellStyle name="Normal 4 4 2 2 6 2 3" xfId="22547" xr:uid="{94B74E1D-3127-4750-806E-42314646DAE8}"/>
    <cellStyle name="Normal 4 4 2 2 6 2 4" xfId="30994" xr:uid="{78CEAD38-1696-4D85-B2BA-4E67405CB83A}"/>
    <cellStyle name="Normal 4 4 2 2 6 2 5" xfId="39441" xr:uid="{9CE7CA2F-5441-4C84-8CF8-8B2D5BEA4E32}"/>
    <cellStyle name="Normal 4 4 2 2 6 2 6" xfId="13247" xr:uid="{62372C66-C0A8-45C9-8D30-A46C392F90D8}"/>
    <cellStyle name="Normal 4 4 2 2 6 3" xfId="5993" xr:uid="{00000000-0005-0000-0000-00000E150000}"/>
    <cellStyle name="Normal 4 4 2 2 6 3 2" xfId="24619" xr:uid="{D3DC21F9-B321-42C6-90FC-ADD69AF3B3D9}"/>
    <cellStyle name="Normal 4 4 2 2 6 3 3" xfId="33066" xr:uid="{872A88E4-5415-4ED4-92C6-E9BF5454A4A3}"/>
    <cellStyle name="Normal 4 4 2 2 6 3 4" xfId="41513" xr:uid="{34D3A334-1D55-450D-A423-9F74F1BCC911}"/>
    <cellStyle name="Normal 4 4 2 2 6 3 5" xfId="15319" xr:uid="{F399ADFF-2746-4EAF-BA23-6E381BF47964}"/>
    <cellStyle name="Normal 4 4 2 2 6 4" xfId="20402" xr:uid="{0263C044-9C6E-43EE-BCBA-DD8A3CBC756C}"/>
    <cellStyle name="Normal 4 4 2 2 6 5" xfId="28849" xr:uid="{2711C4A7-8A76-4EBE-ACD6-EAFE320D7000}"/>
    <cellStyle name="Normal 4 4 2 2 6 6" xfId="37296" xr:uid="{AE60E72C-A7BF-4B83-82CD-6C3B942BBE34}"/>
    <cellStyle name="Normal 4 4 2 2 6 7" xfId="11102" xr:uid="{0201BD7A-440E-4AA7-A9DA-D8AF97BC2934}"/>
    <cellStyle name="Normal 4 4 2 2 7" xfId="2100" xr:uid="{00000000-0005-0000-0000-00000F150000}"/>
    <cellStyle name="Normal 4 4 2 2 7 2" xfId="4329" xr:uid="{00000000-0005-0000-0000-000010150000}"/>
    <cellStyle name="Normal 4 4 2 2 7 2 2" xfId="8551" xr:uid="{00000000-0005-0000-0000-000011150000}"/>
    <cellStyle name="Normal 4 4 2 2 7 2 2 2" xfId="27177" xr:uid="{4F162165-1189-42C0-92FD-54FE38FFFB83}"/>
    <cellStyle name="Normal 4 4 2 2 7 2 2 3" xfId="35624" xr:uid="{C2D1E721-9985-4DEE-B8B6-EA0EAB0784A5}"/>
    <cellStyle name="Normal 4 4 2 2 7 2 2 4" xfId="44071" xr:uid="{F6F6B425-4312-41C9-99ED-57A2EBBEDA18}"/>
    <cellStyle name="Normal 4 4 2 2 7 2 2 5" xfId="17877" xr:uid="{8B1750DD-50B9-4E81-A0BE-91F8C696528D}"/>
    <cellStyle name="Normal 4 4 2 2 7 2 3" xfId="22960" xr:uid="{32919B87-D8C7-4BD2-8BF9-C2AF4BAC628D}"/>
    <cellStyle name="Normal 4 4 2 2 7 2 4" xfId="31407" xr:uid="{2799C068-61BF-4833-9538-7BF44447E866}"/>
    <cellStyle name="Normal 4 4 2 2 7 2 5" xfId="39854" xr:uid="{90C4B060-ACCC-4BDC-B5A4-8529598E2F12}"/>
    <cellStyle name="Normal 4 4 2 2 7 2 6" xfId="13660" xr:uid="{50BB6C33-AD7D-4DCD-836F-1BF6B7E977A8}"/>
    <cellStyle name="Normal 4 4 2 2 7 3" xfId="6406" xr:uid="{00000000-0005-0000-0000-000012150000}"/>
    <cellStyle name="Normal 4 4 2 2 7 3 2" xfId="25032" xr:uid="{276863B0-F2F7-4E86-A6A9-779E78972543}"/>
    <cellStyle name="Normal 4 4 2 2 7 3 3" xfId="33479" xr:uid="{EFE995DB-A2AD-4176-952C-D85AFD35EF42}"/>
    <cellStyle name="Normal 4 4 2 2 7 3 4" xfId="41926" xr:uid="{643B4185-6AB0-473F-8822-86C9867A4D8C}"/>
    <cellStyle name="Normal 4 4 2 2 7 3 5" xfId="15732" xr:uid="{40036D6A-B57F-4714-9508-C6193973AE05}"/>
    <cellStyle name="Normal 4 4 2 2 7 4" xfId="20815" xr:uid="{9D38A6B9-9525-4B62-A0E0-78B1FF527525}"/>
    <cellStyle name="Normal 4 4 2 2 7 5" xfId="29262" xr:uid="{A5DC658F-224C-4075-B4D1-241F075F8F8F}"/>
    <cellStyle name="Normal 4 4 2 2 7 6" xfId="37709" xr:uid="{4BA9B094-42C4-47C8-897D-3CF11C6D66A7}"/>
    <cellStyle name="Normal 4 4 2 2 7 7" xfId="11515" xr:uid="{57AEF9F1-ED05-4181-B464-E705D08FA560}"/>
    <cellStyle name="Normal 4 4 2 2 8" xfId="2536" xr:uid="{00000000-0005-0000-0000-000013150000}"/>
    <cellStyle name="Normal 4 4 2 2 8 2" xfId="6819" xr:uid="{00000000-0005-0000-0000-000014150000}"/>
    <cellStyle name="Normal 4 4 2 2 8 2 2" xfId="25445" xr:uid="{653B7E51-D53D-4B5B-B4C3-307C407E6AEC}"/>
    <cellStyle name="Normal 4 4 2 2 8 2 3" xfId="33892" xr:uid="{FCD4471D-CA8C-4D6E-A4D9-58C8C2F2D621}"/>
    <cellStyle name="Normal 4 4 2 2 8 2 4" xfId="42339" xr:uid="{63CA651C-60B0-4B6D-BA54-499FB1E8A512}"/>
    <cellStyle name="Normal 4 4 2 2 8 2 5" xfId="16145" xr:uid="{CCC88A75-B0A2-440A-81AF-F134384FC107}"/>
    <cellStyle name="Normal 4 4 2 2 8 3" xfId="21228" xr:uid="{57B4C558-7F56-4AAB-87FC-F5807C3E770E}"/>
    <cellStyle name="Normal 4 4 2 2 8 4" xfId="29675" xr:uid="{52C94956-1916-4F25-9786-13171F986873}"/>
    <cellStyle name="Normal 4 4 2 2 8 5" xfId="38122" xr:uid="{2465FB3B-70CE-43C4-9FEC-D4260293D04B}"/>
    <cellStyle name="Normal 4 4 2 2 8 6" xfId="11928" xr:uid="{563C4E01-D518-4B73-AF81-D255736F5857}"/>
    <cellStyle name="Normal 4 4 2 2 9" xfId="4754" xr:uid="{00000000-0005-0000-0000-000015150000}"/>
    <cellStyle name="Normal 4 4 2 2 9 2" xfId="23380" xr:uid="{91701014-75F1-466C-BDA0-6D67F7019AEF}"/>
    <cellStyle name="Normal 4 4 2 2 9 3" xfId="31827" xr:uid="{862325FA-1581-426A-B658-A8CD0BA31946}"/>
    <cellStyle name="Normal 4 4 2 2 9 4" xfId="40274" xr:uid="{09EC6BA9-E50C-487C-B46B-5E31D5DB22AA}"/>
    <cellStyle name="Normal 4 4 2 2 9 5" xfId="14080" xr:uid="{6AAFB3BA-122A-4241-B9EA-2C67B34639DA}"/>
    <cellStyle name="Normal 4 4 2 3" xfId="384" xr:uid="{00000000-0005-0000-0000-000016150000}"/>
    <cellStyle name="Normal 4 4 2 3 10" xfId="19167" xr:uid="{857CE8AC-8606-4A3F-8320-9657A1348C52}"/>
    <cellStyle name="Normal 4 4 2 3 11" xfId="27614" xr:uid="{8EAD43F5-B7EF-4B1B-AE7A-8843DB159C5A}"/>
    <cellStyle name="Normal 4 4 2 3 12" xfId="36061" xr:uid="{EAC897B2-5EC8-4CB7-90B4-FE29CBBDDB3C}"/>
    <cellStyle name="Normal 4 4 2 3 13" xfId="9867" xr:uid="{F58F4D3E-1FE2-4834-8BD8-9977C91F8B50}"/>
    <cellStyle name="Normal 4 4 2 3 2" xfId="385" xr:uid="{00000000-0005-0000-0000-000017150000}"/>
    <cellStyle name="Normal 4 4 2 3 2 10" xfId="27615" xr:uid="{E09F1C63-D29F-472F-94B5-71013481EEE0}"/>
    <cellStyle name="Normal 4 4 2 3 2 11" xfId="36062" xr:uid="{F8FD8FE5-82DC-4F77-A34C-FFE3B978E936}"/>
    <cellStyle name="Normal 4 4 2 3 2 12" xfId="9868" xr:uid="{D2479E84-618F-4E0E-9ECD-70A71C593D43}"/>
    <cellStyle name="Normal 4 4 2 3 2 2" xfId="860" xr:uid="{00000000-0005-0000-0000-000018150000}"/>
    <cellStyle name="Normal 4 4 2 3 2 2 2" xfId="3095" xr:uid="{00000000-0005-0000-0000-000019150000}"/>
    <cellStyle name="Normal 4 4 2 3 2 2 2 2" xfId="7317" xr:uid="{00000000-0005-0000-0000-00001A150000}"/>
    <cellStyle name="Normal 4 4 2 3 2 2 2 2 2" xfId="25943" xr:uid="{0F0CE551-5F83-4B68-A6F9-EAA677F54E8C}"/>
    <cellStyle name="Normal 4 4 2 3 2 2 2 2 3" xfId="34390" xr:uid="{6D8CF593-92B9-4DD2-9146-2899F84F510A}"/>
    <cellStyle name="Normal 4 4 2 3 2 2 2 2 4" xfId="42837" xr:uid="{F8F60064-4D66-4FE1-82F4-D268E250116F}"/>
    <cellStyle name="Normal 4 4 2 3 2 2 2 2 5" xfId="16643" xr:uid="{F1E6352C-87C4-4E47-B2D9-675AA0C47BFF}"/>
    <cellStyle name="Normal 4 4 2 3 2 2 2 3" xfId="21726" xr:uid="{51DF3AE9-A167-4ED3-825A-95DCC8F72C46}"/>
    <cellStyle name="Normal 4 4 2 3 2 2 2 4" xfId="30173" xr:uid="{837E51F9-E93E-4D78-8574-7EEE4C81DF53}"/>
    <cellStyle name="Normal 4 4 2 3 2 2 2 5" xfId="38620" xr:uid="{A87754DD-B1BA-4CD6-9464-371E79BAE5C9}"/>
    <cellStyle name="Normal 4 4 2 3 2 2 2 6" xfId="12426" xr:uid="{C908DEA4-F263-4719-A509-4CABC073C8E7}"/>
    <cellStyle name="Normal 4 4 2 3 2 2 3" xfId="5172" xr:uid="{00000000-0005-0000-0000-00001B150000}"/>
    <cellStyle name="Normal 4 4 2 3 2 2 3 2" xfId="23798" xr:uid="{BD8A1E0A-6DD5-4F0D-A337-6F8668FD1B2B}"/>
    <cellStyle name="Normal 4 4 2 3 2 2 3 3" xfId="32245" xr:uid="{E6FF0C4E-5393-4F7A-AC6A-4155E6FEEADE}"/>
    <cellStyle name="Normal 4 4 2 3 2 2 3 4" xfId="40692" xr:uid="{FFD10A35-5747-482A-AC13-3D055A6665A9}"/>
    <cellStyle name="Normal 4 4 2 3 2 2 3 5" xfId="14498" xr:uid="{20CA8197-779F-474E-AB3A-7CB3A7719956}"/>
    <cellStyle name="Normal 4 4 2 3 2 2 4" xfId="9516" xr:uid="{93008D3B-5827-4778-B167-5B518B5BF56F}"/>
    <cellStyle name="Normal 4 4 2 3 2 2 4 2" xfId="18832" xr:uid="{7C1BE64F-7F95-456E-B223-EB53E2407856}"/>
    <cellStyle name="Normal 4 4 2 3 2 2 5" xfId="19581" xr:uid="{A9AA8BAC-0C8D-464C-B3B2-30A5679093BD}"/>
    <cellStyle name="Normal 4 4 2 3 2 2 6" xfId="28028" xr:uid="{CA37F928-34A3-4F85-B099-624E7C6467A6}"/>
    <cellStyle name="Normal 4 4 2 3 2 2 7" xfId="36475" xr:uid="{4D8AA26F-18D9-4E8C-8E31-C76BE2A66606}"/>
    <cellStyle name="Normal 4 4 2 3 2 2 8" xfId="10281" xr:uid="{34071F21-BE63-4CA4-9831-D7A8BAE58C05}"/>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2 2 2" xfId="26356" xr:uid="{72FB780E-8FED-475C-B96C-B7D024BA49E0}"/>
    <cellStyle name="Normal 4 4 2 3 2 3 2 2 3" xfId="34803" xr:uid="{2ADE60A3-BCF1-4FF8-B880-4723247C21DF}"/>
    <cellStyle name="Normal 4 4 2 3 2 3 2 2 4" xfId="43250" xr:uid="{6386C2BC-5504-4FD3-8157-60CBB32C1FF6}"/>
    <cellStyle name="Normal 4 4 2 3 2 3 2 2 5" xfId="17056" xr:uid="{39CD7293-C67F-4A9E-B289-C2B6E5C6B271}"/>
    <cellStyle name="Normal 4 4 2 3 2 3 2 3" xfId="22139" xr:uid="{F737C190-0A88-4A91-8F72-5A28C178B92B}"/>
    <cellStyle name="Normal 4 4 2 3 2 3 2 4" xfId="30586" xr:uid="{357888B9-FBCC-4111-9FE4-A6DCC54908A2}"/>
    <cellStyle name="Normal 4 4 2 3 2 3 2 5" xfId="39033" xr:uid="{E5B923BB-D202-4BBF-A339-E146ACAB7BD7}"/>
    <cellStyle name="Normal 4 4 2 3 2 3 2 6" xfId="12839" xr:uid="{B6C93894-DF8E-47A9-9461-D326391D8195}"/>
    <cellStyle name="Normal 4 4 2 3 2 3 3" xfId="5585" xr:uid="{00000000-0005-0000-0000-00001F150000}"/>
    <cellStyle name="Normal 4 4 2 3 2 3 3 2" xfId="24211" xr:uid="{E0F37EC8-CAE8-4124-8837-C61AD5509B7D}"/>
    <cellStyle name="Normal 4 4 2 3 2 3 3 3" xfId="32658" xr:uid="{9A6BAAAA-E51D-4DCF-9714-238516F6DD5E}"/>
    <cellStyle name="Normal 4 4 2 3 2 3 3 4" xfId="41105" xr:uid="{29FB3944-3B56-4DE5-A7E6-F7957D081877}"/>
    <cellStyle name="Normal 4 4 2 3 2 3 3 5" xfId="14911" xr:uid="{38B713FA-ACA5-47E7-AEEA-2BD939E5649D}"/>
    <cellStyle name="Normal 4 4 2 3 2 3 4" xfId="19994" xr:uid="{A449E1E5-A30F-4F16-8300-495DB0AFCCCC}"/>
    <cellStyle name="Normal 4 4 2 3 2 3 5" xfId="28441" xr:uid="{BD35D3FA-41A7-456B-93AF-41B94950C9C3}"/>
    <cellStyle name="Normal 4 4 2 3 2 3 6" xfId="36888" xr:uid="{BD537152-746E-4C3E-8FDF-BB4210C7D3C7}"/>
    <cellStyle name="Normal 4 4 2 3 2 3 7" xfId="10694" xr:uid="{4A5C1E73-C9A1-49C6-A987-A2DF427A396D}"/>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2 2 2" xfId="26769" xr:uid="{DEBBBA42-924B-4919-A9BF-0A5093988C8E}"/>
    <cellStyle name="Normal 4 4 2 3 2 4 2 2 3" xfId="35216" xr:uid="{08B73C5F-9B4B-46E8-A0E0-DB42582FE2B6}"/>
    <cellStyle name="Normal 4 4 2 3 2 4 2 2 4" xfId="43663" xr:uid="{53600767-7A8D-45FF-8FDD-B5C4EAED8978}"/>
    <cellStyle name="Normal 4 4 2 3 2 4 2 2 5" xfId="17469" xr:uid="{88FA5427-5329-4D5A-892A-DB4D650EF922}"/>
    <cellStyle name="Normal 4 4 2 3 2 4 2 3" xfId="22552" xr:uid="{7801F839-146B-485B-B71A-55E3ED4161B9}"/>
    <cellStyle name="Normal 4 4 2 3 2 4 2 4" xfId="30999" xr:uid="{0EF6997A-75F0-47AA-A1FB-2A697C904DAD}"/>
    <cellStyle name="Normal 4 4 2 3 2 4 2 5" xfId="39446" xr:uid="{7887C90C-5297-4D78-B40A-40B4A975476A}"/>
    <cellStyle name="Normal 4 4 2 3 2 4 2 6" xfId="13252" xr:uid="{82F1179F-E5C7-477F-A6C1-8E94F82E8C25}"/>
    <cellStyle name="Normal 4 4 2 3 2 4 3" xfId="5998" xr:uid="{00000000-0005-0000-0000-000023150000}"/>
    <cellStyle name="Normal 4 4 2 3 2 4 3 2" xfId="24624" xr:uid="{18E57625-51FC-4245-956F-DC02D1822339}"/>
    <cellStyle name="Normal 4 4 2 3 2 4 3 3" xfId="33071" xr:uid="{670A5B1B-2474-4302-AD0F-9A72E26D099A}"/>
    <cellStyle name="Normal 4 4 2 3 2 4 3 4" xfId="41518" xr:uid="{5717F039-D75C-421E-9CE0-E7089F71FDF1}"/>
    <cellStyle name="Normal 4 4 2 3 2 4 3 5" xfId="15324" xr:uid="{1105BF42-AB91-4008-A016-77D8FB37826C}"/>
    <cellStyle name="Normal 4 4 2 3 2 4 4" xfId="20407" xr:uid="{1B085F80-0885-4AC6-8E32-3B8CAA82B6FD}"/>
    <cellStyle name="Normal 4 4 2 3 2 4 5" xfId="28854" xr:uid="{CF2EBE99-DD5F-499C-B33E-BD17830B6170}"/>
    <cellStyle name="Normal 4 4 2 3 2 4 6" xfId="37301" xr:uid="{780D5689-47F8-4F87-8718-A37F378E7C5D}"/>
    <cellStyle name="Normal 4 4 2 3 2 4 7" xfId="11107" xr:uid="{D33D5120-522E-4A87-A665-C043FA60DAAB}"/>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2 2 2" xfId="27182" xr:uid="{4C955D52-A68C-4F90-8447-7DF4A246643C}"/>
    <cellStyle name="Normal 4 4 2 3 2 5 2 2 3" xfId="35629" xr:uid="{805F6D33-CF90-4B07-A810-BF8F323ACB85}"/>
    <cellStyle name="Normal 4 4 2 3 2 5 2 2 4" xfId="44076" xr:uid="{D50132C4-9C35-4658-92C9-A3239341942B}"/>
    <cellStyle name="Normal 4 4 2 3 2 5 2 2 5" xfId="17882" xr:uid="{B3E5868B-AD27-447B-AF76-BF8D62A85C28}"/>
    <cellStyle name="Normal 4 4 2 3 2 5 2 3" xfId="22965" xr:uid="{6A8F3045-E19B-4F93-AA5A-B924ED0448E9}"/>
    <cellStyle name="Normal 4 4 2 3 2 5 2 4" xfId="31412" xr:uid="{0E5FBD15-A4C1-41D7-B89E-E6E3A6D7DFBC}"/>
    <cellStyle name="Normal 4 4 2 3 2 5 2 5" xfId="39859" xr:uid="{DE9CBB9F-F761-4EAB-A76B-EC45A4A1229B}"/>
    <cellStyle name="Normal 4 4 2 3 2 5 2 6" xfId="13665" xr:uid="{C1DCA1D0-75C6-4674-859D-16C6F790437A}"/>
    <cellStyle name="Normal 4 4 2 3 2 5 3" xfId="6411" xr:uid="{00000000-0005-0000-0000-000027150000}"/>
    <cellStyle name="Normal 4 4 2 3 2 5 3 2" xfId="25037" xr:uid="{B1AF62B8-E48F-40EB-A03B-D07BDC5C107D}"/>
    <cellStyle name="Normal 4 4 2 3 2 5 3 3" xfId="33484" xr:uid="{DE566D3E-9BDE-4A66-9C93-13A4547E6E1A}"/>
    <cellStyle name="Normal 4 4 2 3 2 5 3 4" xfId="41931" xr:uid="{07D523F4-F7FF-494C-BF2E-E0BB94473F58}"/>
    <cellStyle name="Normal 4 4 2 3 2 5 3 5" xfId="15737" xr:uid="{9567BD83-3644-4752-97E0-959A0C4E5365}"/>
    <cellStyle name="Normal 4 4 2 3 2 5 4" xfId="20820" xr:uid="{7FC5A104-D061-4109-A589-022FD516E139}"/>
    <cellStyle name="Normal 4 4 2 3 2 5 5" xfId="29267" xr:uid="{73FF7B97-2C13-4A98-8EA6-4BB5EED56B71}"/>
    <cellStyle name="Normal 4 4 2 3 2 5 6" xfId="37714" xr:uid="{BEDC0D0D-EE83-4A91-ACF8-728193FEA2D0}"/>
    <cellStyle name="Normal 4 4 2 3 2 5 7" xfId="11520" xr:uid="{81042AD6-BCEB-4A49-8C93-923A9B608B27}"/>
    <cellStyle name="Normal 4 4 2 3 2 6" xfId="2541" xr:uid="{00000000-0005-0000-0000-000028150000}"/>
    <cellStyle name="Normal 4 4 2 3 2 6 2" xfId="6824" xr:uid="{00000000-0005-0000-0000-000029150000}"/>
    <cellStyle name="Normal 4 4 2 3 2 6 2 2" xfId="25450" xr:uid="{E3487EFA-A3D6-4D61-BF8F-C731AB3F2FDA}"/>
    <cellStyle name="Normal 4 4 2 3 2 6 2 3" xfId="33897" xr:uid="{BD2E7955-1EB5-40DA-A9AD-EEE099CAC0FB}"/>
    <cellStyle name="Normal 4 4 2 3 2 6 2 4" xfId="42344" xr:uid="{EF73A632-D3BD-4359-93DE-2F1F2175D50C}"/>
    <cellStyle name="Normal 4 4 2 3 2 6 2 5" xfId="16150" xr:uid="{FA894B65-4E0B-4885-B5C6-6E04D3690881}"/>
    <cellStyle name="Normal 4 4 2 3 2 6 3" xfId="21233" xr:uid="{A9A9E184-1AAC-44EF-8FBE-BABE2553FFA4}"/>
    <cellStyle name="Normal 4 4 2 3 2 6 4" xfId="29680" xr:uid="{93520673-AF49-4837-AD57-A914946A750E}"/>
    <cellStyle name="Normal 4 4 2 3 2 6 5" xfId="38127" xr:uid="{FCC045E4-4863-4266-95EE-A0735A917CE2}"/>
    <cellStyle name="Normal 4 4 2 3 2 6 6" xfId="11933" xr:uid="{4D5A454C-D42A-42E2-ABA2-8CDD8F8A3060}"/>
    <cellStyle name="Normal 4 4 2 3 2 7" xfId="4759" xr:uid="{00000000-0005-0000-0000-00002A150000}"/>
    <cellStyle name="Normal 4 4 2 3 2 7 2" xfId="23385" xr:uid="{3DAD6D3A-2822-49FB-A1D4-18CD65D89D75}"/>
    <cellStyle name="Normal 4 4 2 3 2 7 3" xfId="31832" xr:uid="{5CEB02A0-59D2-4D56-81B5-F78D4AB7CF8B}"/>
    <cellStyle name="Normal 4 4 2 3 2 7 4" xfId="40279" xr:uid="{7CBA2CCB-7F98-468E-8802-AACDF23C4E49}"/>
    <cellStyle name="Normal 4 4 2 3 2 7 5" xfId="14085" xr:uid="{49860F2F-C3F6-415E-9FB1-9132AA971A80}"/>
    <cellStyle name="Normal 4 4 2 3 2 8" xfId="9091" xr:uid="{9DBAED0A-05EE-4674-B1B7-8D03DBB53301}"/>
    <cellStyle name="Normal 4 4 2 3 2 8 2" xfId="18415" xr:uid="{399FA7F2-A061-4F6A-915F-AC72F4F7B48E}"/>
    <cellStyle name="Normal 4 4 2 3 2 9" xfId="19168" xr:uid="{B020B0C1-F9DD-450B-9857-79223D1B307C}"/>
    <cellStyle name="Normal 4 4 2 3 3" xfId="859" xr:uid="{00000000-0005-0000-0000-00002B150000}"/>
    <cellStyle name="Normal 4 4 2 3 3 2" xfId="3094" xr:uid="{00000000-0005-0000-0000-00002C150000}"/>
    <cellStyle name="Normal 4 4 2 3 3 2 2" xfId="7316" xr:uid="{00000000-0005-0000-0000-00002D150000}"/>
    <cellStyle name="Normal 4 4 2 3 3 2 2 2" xfId="25942" xr:uid="{B2E9655B-C72A-4A90-ABE1-8445483179EE}"/>
    <cellStyle name="Normal 4 4 2 3 3 2 2 3" xfId="34389" xr:uid="{8AD2B21D-4BE0-4BF8-A5BF-880A0C76072C}"/>
    <cellStyle name="Normal 4 4 2 3 3 2 2 4" xfId="42836" xr:uid="{EB8A930A-3921-4A39-9334-21813122AB6E}"/>
    <cellStyle name="Normal 4 4 2 3 3 2 2 5" xfId="16642" xr:uid="{6DE5CF33-159E-49B4-8D73-58ED05C2601E}"/>
    <cellStyle name="Normal 4 4 2 3 3 2 3" xfId="21725" xr:uid="{9A243513-88F4-4BB5-A468-92BA73FAD112}"/>
    <cellStyle name="Normal 4 4 2 3 3 2 4" xfId="30172" xr:uid="{896CCA03-CA0F-43CA-A363-098B071CD341}"/>
    <cellStyle name="Normal 4 4 2 3 3 2 5" xfId="38619" xr:uid="{ACBC3765-C40B-496C-9893-4B02D3AC5E2C}"/>
    <cellStyle name="Normal 4 4 2 3 3 2 6" xfId="12425" xr:uid="{EB2F1F9D-5910-4A98-A5F4-3193A30D20E3}"/>
    <cellStyle name="Normal 4 4 2 3 3 3" xfId="5171" xr:uid="{00000000-0005-0000-0000-00002E150000}"/>
    <cellStyle name="Normal 4 4 2 3 3 3 2" xfId="23797" xr:uid="{1F26063D-D089-445C-B2D2-5E9BE3BBF543}"/>
    <cellStyle name="Normal 4 4 2 3 3 3 3" xfId="32244" xr:uid="{2B764E9B-2227-4583-97A3-B20A4C6B7094}"/>
    <cellStyle name="Normal 4 4 2 3 3 3 4" xfId="40691" xr:uid="{89AB47E9-97A5-4479-BFBC-B9F0ABF82CED}"/>
    <cellStyle name="Normal 4 4 2 3 3 3 5" xfId="14497" xr:uid="{3D15E068-8DA6-482E-9524-2F33763CC35B}"/>
    <cellStyle name="Normal 4 4 2 3 3 4" xfId="9309" xr:uid="{73E912F6-92AF-449E-AE53-1DEDEF686C0F}"/>
    <cellStyle name="Normal 4 4 2 3 3 4 2" xfId="18625" xr:uid="{9C135E34-9D99-46D0-9F04-C22CE934875A}"/>
    <cellStyle name="Normal 4 4 2 3 3 5" xfId="19580" xr:uid="{2F41C5A5-13CE-4FA5-AC0A-C8AE24639120}"/>
    <cellStyle name="Normal 4 4 2 3 3 6" xfId="28027" xr:uid="{2237F304-AE5D-41F1-8C71-8AE650CF5577}"/>
    <cellStyle name="Normal 4 4 2 3 3 7" xfId="36474" xr:uid="{3EF85EFC-2FFC-4E00-8985-2D6E3CAC8D47}"/>
    <cellStyle name="Normal 4 4 2 3 3 8" xfId="10280" xr:uid="{52EA7E67-732B-4143-9CBB-04505BB79DA2}"/>
    <cellStyle name="Normal 4 4 2 3 4" xfId="1277" xr:uid="{00000000-0005-0000-0000-00002F150000}"/>
    <cellStyle name="Normal 4 4 2 3 4 2" xfId="3507" xr:uid="{00000000-0005-0000-0000-000030150000}"/>
    <cellStyle name="Normal 4 4 2 3 4 2 2" xfId="7729" xr:uid="{00000000-0005-0000-0000-000031150000}"/>
    <cellStyle name="Normal 4 4 2 3 4 2 2 2" xfId="26355" xr:uid="{98737A3C-3DBD-4937-8A5C-9FAF4D3FFCDE}"/>
    <cellStyle name="Normal 4 4 2 3 4 2 2 3" xfId="34802" xr:uid="{C85C96C1-CD12-4409-9F50-0DE8CE9C8B3A}"/>
    <cellStyle name="Normal 4 4 2 3 4 2 2 4" xfId="43249" xr:uid="{6A3C5F1D-8DCA-4910-A31A-9708EA286FC0}"/>
    <cellStyle name="Normal 4 4 2 3 4 2 2 5" xfId="17055" xr:uid="{ABAB3409-882F-4877-A61A-222210C986B0}"/>
    <cellStyle name="Normal 4 4 2 3 4 2 3" xfId="22138" xr:uid="{6FA649E7-5C3E-4184-8CFC-2E302AE5262D}"/>
    <cellStyle name="Normal 4 4 2 3 4 2 4" xfId="30585" xr:uid="{99584DFB-DDBE-4D98-A99E-A78E727D5505}"/>
    <cellStyle name="Normal 4 4 2 3 4 2 5" xfId="39032" xr:uid="{F1911BB5-C401-40C6-8C98-393C4781DFDD}"/>
    <cellStyle name="Normal 4 4 2 3 4 2 6" xfId="12838" xr:uid="{A9CD436A-2EE5-407F-A170-BA0D0C9E2C62}"/>
    <cellStyle name="Normal 4 4 2 3 4 3" xfId="5584" xr:uid="{00000000-0005-0000-0000-000032150000}"/>
    <cellStyle name="Normal 4 4 2 3 4 3 2" xfId="24210" xr:uid="{4E4E0A2B-655B-4148-AAA7-79316DA226F9}"/>
    <cellStyle name="Normal 4 4 2 3 4 3 3" xfId="32657" xr:uid="{7800FF54-F672-4E4A-A69C-16B09D388681}"/>
    <cellStyle name="Normal 4 4 2 3 4 3 4" xfId="41104" xr:uid="{CCAA113A-7C20-46E9-A670-0AF4870E44C8}"/>
    <cellStyle name="Normal 4 4 2 3 4 3 5" xfId="14910" xr:uid="{43436421-3A1E-49AE-AABF-5B8D9D3F8F39}"/>
    <cellStyle name="Normal 4 4 2 3 4 4" xfId="19993" xr:uid="{A71B1571-38D6-418F-9C25-57AF215C31C4}"/>
    <cellStyle name="Normal 4 4 2 3 4 5" xfId="28440" xr:uid="{8F3B276C-0114-43D8-8F2F-A71DF1D02706}"/>
    <cellStyle name="Normal 4 4 2 3 4 6" xfId="36887" xr:uid="{BA607634-8E72-4008-ADA7-B7212383F980}"/>
    <cellStyle name="Normal 4 4 2 3 4 7" xfId="10693" xr:uid="{E65FBB0C-791B-4816-BB79-EE2591541C3C}"/>
    <cellStyle name="Normal 4 4 2 3 5" xfId="1690" xr:uid="{00000000-0005-0000-0000-000033150000}"/>
    <cellStyle name="Normal 4 4 2 3 5 2" xfId="3920" xr:uid="{00000000-0005-0000-0000-000034150000}"/>
    <cellStyle name="Normal 4 4 2 3 5 2 2" xfId="8142" xr:uid="{00000000-0005-0000-0000-000035150000}"/>
    <cellStyle name="Normal 4 4 2 3 5 2 2 2" xfId="26768" xr:uid="{43A49C2D-DD57-49B8-9926-1508A14FC032}"/>
    <cellStyle name="Normal 4 4 2 3 5 2 2 3" xfId="35215" xr:uid="{79AC70CD-7346-4354-AF17-2DF74425115C}"/>
    <cellStyle name="Normal 4 4 2 3 5 2 2 4" xfId="43662" xr:uid="{CAD0088B-391F-443F-9ADC-270900917BC0}"/>
    <cellStyle name="Normal 4 4 2 3 5 2 2 5" xfId="17468" xr:uid="{4EA35637-08EB-4A66-AC5D-576A24FB5AA9}"/>
    <cellStyle name="Normal 4 4 2 3 5 2 3" xfId="22551" xr:uid="{8F9284F6-2E5B-4A58-8974-855A526DC1EB}"/>
    <cellStyle name="Normal 4 4 2 3 5 2 4" xfId="30998" xr:uid="{B13CAACB-5C6D-4EBF-848A-56370EBF2552}"/>
    <cellStyle name="Normal 4 4 2 3 5 2 5" xfId="39445" xr:uid="{F38B4307-0CCC-4C56-A8CB-3F671C2DB87D}"/>
    <cellStyle name="Normal 4 4 2 3 5 2 6" xfId="13251" xr:uid="{079FBDB7-6A3C-48C3-A27E-9237176CB096}"/>
    <cellStyle name="Normal 4 4 2 3 5 3" xfId="5997" xr:uid="{00000000-0005-0000-0000-000036150000}"/>
    <cellStyle name="Normal 4 4 2 3 5 3 2" xfId="24623" xr:uid="{9A72CACA-7C9B-4639-AD3B-A87AB95A1F0E}"/>
    <cellStyle name="Normal 4 4 2 3 5 3 3" xfId="33070" xr:uid="{E9BB1A86-159F-4C68-BF49-FD2306B106EF}"/>
    <cellStyle name="Normal 4 4 2 3 5 3 4" xfId="41517" xr:uid="{1486C7A0-514E-4227-81CC-849A3AA8861E}"/>
    <cellStyle name="Normal 4 4 2 3 5 3 5" xfId="15323" xr:uid="{01613219-BFB9-42E4-8DC9-E35DDFB9D765}"/>
    <cellStyle name="Normal 4 4 2 3 5 4" xfId="20406" xr:uid="{9A0632EF-6BEA-4233-A9C1-EBD38C3DAAF1}"/>
    <cellStyle name="Normal 4 4 2 3 5 5" xfId="28853" xr:uid="{9A5FCE21-8DCB-4141-81DA-3391873E747B}"/>
    <cellStyle name="Normal 4 4 2 3 5 6" xfId="37300" xr:uid="{BF828C8D-1775-456F-91F9-4D1DEA27D4D0}"/>
    <cellStyle name="Normal 4 4 2 3 5 7" xfId="11106" xr:uid="{E153F926-8AC1-430E-920B-FEABF058009E}"/>
    <cellStyle name="Normal 4 4 2 3 6" xfId="2104" xr:uid="{00000000-0005-0000-0000-000037150000}"/>
    <cellStyle name="Normal 4 4 2 3 6 2" xfId="4333" xr:uid="{00000000-0005-0000-0000-000038150000}"/>
    <cellStyle name="Normal 4 4 2 3 6 2 2" xfId="8555" xr:uid="{00000000-0005-0000-0000-000039150000}"/>
    <cellStyle name="Normal 4 4 2 3 6 2 2 2" xfId="27181" xr:uid="{90F60018-07EB-4B2A-A5E6-46788F69E1C3}"/>
    <cellStyle name="Normal 4 4 2 3 6 2 2 3" xfId="35628" xr:uid="{663590CC-2CD5-4AA1-91CB-701CB0E2CE07}"/>
    <cellStyle name="Normal 4 4 2 3 6 2 2 4" xfId="44075" xr:uid="{A18352A4-03B2-4E97-92AE-B058C6FBD723}"/>
    <cellStyle name="Normal 4 4 2 3 6 2 2 5" xfId="17881" xr:uid="{25C6DEAD-F852-4203-9B08-6C60D2D37011}"/>
    <cellStyle name="Normal 4 4 2 3 6 2 3" xfId="22964" xr:uid="{CC5F2DD0-E9FF-4536-A657-D3B7CA3509A0}"/>
    <cellStyle name="Normal 4 4 2 3 6 2 4" xfId="31411" xr:uid="{A86620DA-8B4B-4FDF-AE05-8EC3B2D56984}"/>
    <cellStyle name="Normal 4 4 2 3 6 2 5" xfId="39858" xr:uid="{C56FAB48-B517-4DAD-BF66-1C31BA1B966B}"/>
    <cellStyle name="Normal 4 4 2 3 6 2 6" xfId="13664" xr:uid="{9631AA2D-8639-474C-A921-4E3F4E90A417}"/>
    <cellStyle name="Normal 4 4 2 3 6 3" xfId="6410" xr:uid="{00000000-0005-0000-0000-00003A150000}"/>
    <cellStyle name="Normal 4 4 2 3 6 3 2" xfId="25036" xr:uid="{E98B6DBA-515E-4C38-B03A-AC44A15080E3}"/>
    <cellStyle name="Normal 4 4 2 3 6 3 3" xfId="33483" xr:uid="{ABEC09AB-89CF-40C7-88B4-7152CF40753F}"/>
    <cellStyle name="Normal 4 4 2 3 6 3 4" xfId="41930" xr:uid="{42E891E6-0B3C-46F6-AA10-E79A1E84BF59}"/>
    <cellStyle name="Normal 4 4 2 3 6 3 5" xfId="15736" xr:uid="{A4240797-120A-4D64-9B28-F2EB67F5B641}"/>
    <cellStyle name="Normal 4 4 2 3 6 4" xfId="20819" xr:uid="{18485284-4ABE-413E-BE47-ACF8E9AA8499}"/>
    <cellStyle name="Normal 4 4 2 3 6 5" xfId="29266" xr:uid="{BD92DA98-564B-4260-A5B3-8267BF8CECAC}"/>
    <cellStyle name="Normal 4 4 2 3 6 6" xfId="37713" xr:uid="{0B956E89-E471-48C0-87F2-01FAB2A4F22C}"/>
    <cellStyle name="Normal 4 4 2 3 6 7" xfId="11519" xr:uid="{5E01BF12-8162-44E8-B35E-074C6296EEB0}"/>
    <cellStyle name="Normal 4 4 2 3 7" xfId="2540" xr:uid="{00000000-0005-0000-0000-00003B150000}"/>
    <cellStyle name="Normal 4 4 2 3 7 2" xfId="6823" xr:uid="{00000000-0005-0000-0000-00003C150000}"/>
    <cellStyle name="Normal 4 4 2 3 7 2 2" xfId="25449" xr:uid="{FB4CE357-EF50-45F5-9214-C003A155B4B3}"/>
    <cellStyle name="Normal 4 4 2 3 7 2 3" xfId="33896" xr:uid="{1A4C878D-01D0-4D63-87DA-1014B6889017}"/>
    <cellStyle name="Normal 4 4 2 3 7 2 4" xfId="42343" xr:uid="{06F9B2AE-FD63-4608-A56C-AA0EE5CD3116}"/>
    <cellStyle name="Normal 4 4 2 3 7 2 5" xfId="16149" xr:uid="{1E88886B-DA08-49C8-8163-8E0DE082D359}"/>
    <cellStyle name="Normal 4 4 2 3 7 3" xfId="21232" xr:uid="{442A9DE5-E6F0-4940-92FE-97F95702BA47}"/>
    <cellStyle name="Normal 4 4 2 3 7 4" xfId="29679" xr:uid="{83AD5A54-172C-47E7-8C3A-12A89319ED06}"/>
    <cellStyle name="Normal 4 4 2 3 7 5" xfId="38126" xr:uid="{3328D728-7F45-43D6-A092-4441794C3DED}"/>
    <cellStyle name="Normal 4 4 2 3 7 6" xfId="11932" xr:uid="{0080D6C4-EA83-4ED7-A081-E6FAFE9328E4}"/>
    <cellStyle name="Normal 4 4 2 3 8" xfId="4758" xr:uid="{00000000-0005-0000-0000-00003D150000}"/>
    <cellStyle name="Normal 4 4 2 3 8 2" xfId="23384" xr:uid="{D3F02641-EC42-4730-93BD-136FDB18F564}"/>
    <cellStyle name="Normal 4 4 2 3 8 3" xfId="31831" xr:uid="{C40F3557-1AA7-4A2D-9E37-6088791BF4EA}"/>
    <cellStyle name="Normal 4 4 2 3 8 4" xfId="40278" xr:uid="{87D68F65-1715-4E39-8481-9A80BC020C68}"/>
    <cellStyle name="Normal 4 4 2 3 8 5" xfId="14084" xr:uid="{2AC6E748-0745-47EC-9955-E3F36FA8AB74}"/>
    <cellStyle name="Normal 4 4 2 3 9" xfId="8884" xr:uid="{CBA8CCC0-D2E2-46C8-AC83-39734599F615}"/>
    <cellStyle name="Normal 4 4 2 3 9 2" xfId="18208" xr:uid="{2059715F-6EB3-45DE-B9E8-DBDB2896ABF1}"/>
    <cellStyle name="Normal 4 4 2 4" xfId="386" xr:uid="{00000000-0005-0000-0000-00003E150000}"/>
    <cellStyle name="Normal 4 4 2 4 10" xfId="27616" xr:uid="{C0F2495B-453E-410A-8297-557BE11138B3}"/>
    <cellStyle name="Normal 4 4 2 4 11" xfId="36063" xr:uid="{9AB76BCA-D05C-40C9-9066-81ABDEF5F97A}"/>
    <cellStyle name="Normal 4 4 2 4 12" xfId="9869" xr:uid="{AD7EE4AA-48D3-4E90-BAA1-6E33F659D192}"/>
    <cellStyle name="Normal 4 4 2 4 2" xfId="861" xr:uid="{00000000-0005-0000-0000-00003F150000}"/>
    <cellStyle name="Normal 4 4 2 4 2 2" xfId="3096" xr:uid="{00000000-0005-0000-0000-000040150000}"/>
    <cellStyle name="Normal 4 4 2 4 2 2 2" xfId="7318" xr:uid="{00000000-0005-0000-0000-000041150000}"/>
    <cellStyle name="Normal 4 4 2 4 2 2 2 2" xfId="25944" xr:uid="{9F29B952-D39F-4120-A9FE-DCDB111F83F3}"/>
    <cellStyle name="Normal 4 4 2 4 2 2 2 3" xfId="34391" xr:uid="{60C55515-8EBB-4694-BBB1-E1FC1B043D9B}"/>
    <cellStyle name="Normal 4 4 2 4 2 2 2 4" xfId="42838" xr:uid="{1DAFD7DD-72C8-4A3B-BAAC-98AE3D609A90}"/>
    <cellStyle name="Normal 4 4 2 4 2 2 2 5" xfId="16644" xr:uid="{25D57C59-ECF0-4F4A-A525-1026726F79BE}"/>
    <cellStyle name="Normal 4 4 2 4 2 2 3" xfId="21727" xr:uid="{C8CF10D5-7430-4A71-8FB9-7D644630A72B}"/>
    <cellStyle name="Normal 4 4 2 4 2 2 4" xfId="30174" xr:uid="{41D32A07-6460-4057-98A2-03BF71787B23}"/>
    <cellStyle name="Normal 4 4 2 4 2 2 5" xfId="38621" xr:uid="{E76BA565-4B98-4ED0-A9E8-53CAFA4020F9}"/>
    <cellStyle name="Normal 4 4 2 4 2 2 6" xfId="12427" xr:uid="{5859C163-C5B5-4985-932C-E7358F1DDF74}"/>
    <cellStyle name="Normal 4 4 2 4 2 3" xfId="5173" xr:uid="{00000000-0005-0000-0000-000042150000}"/>
    <cellStyle name="Normal 4 4 2 4 2 3 2" xfId="23799" xr:uid="{1A3B85EC-CC0D-4518-8012-4DD36C794C19}"/>
    <cellStyle name="Normal 4 4 2 4 2 3 3" xfId="32246" xr:uid="{7C6E7A55-8AF4-4657-B90A-5E8C93CC0F25}"/>
    <cellStyle name="Normal 4 4 2 4 2 3 4" xfId="40693" xr:uid="{7041BFB8-AF07-43E2-BB0A-935A25277E4E}"/>
    <cellStyle name="Normal 4 4 2 4 2 3 5" xfId="14499" xr:uid="{95BF315E-E287-4116-824C-FF85E4C359A1}"/>
    <cellStyle name="Normal 4 4 2 4 2 4" xfId="9413" xr:uid="{4DC092EA-7C69-4E02-9FE8-33F62D070F54}"/>
    <cellStyle name="Normal 4 4 2 4 2 4 2" xfId="18729" xr:uid="{7C816EDE-37BA-484B-AF15-72D4975D80E7}"/>
    <cellStyle name="Normal 4 4 2 4 2 5" xfId="19582" xr:uid="{EBE2EEB4-A735-41AE-9CF2-73927BB677C5}"/>
    <cellStyle name="Normal 4 4 2 4 2 6" xfId="28029" xr:uid="{DB467A85-23BF-4E1D-AD80-32B91CC24C1F}"/>
    <cellStyle name="Normal 4 4 2 4 2 7" xfId="36476" xr:uid="{DC899A43-29FB-40C5-8BD6-B7A140159050}"/>
    <cellStyle name="Normal 4 4 2 4 2 8" xfId="10282" xr:uid="{09631D4E-83EA-405A-81FD-EC0ED8F99666}"/>
    <cellStyle name="Normal 4 4 2 4 3" xfId="1279" xr:uid="{00000000-0005-0000-0000-000043150000}"/>
    <cellStyle name="Normal 4 4 2 4 3 2" xfId="3509" xr:uid="{00000000-0005-0000-0000-000044150000}"/>
    <cellStyle name="Normal 4 4 2 4 3 2 2" xfId="7731" xr:uid="{00000000-0005-0000-0000-000045150000}"/>
    <cellStyle name="Normal 4 4 2 4 3 2 2 2" xfId="26357" xr:uid="{34629BD9-682D-420A-AD6C-053E6BB66CF8}"/>
    <cellStyle name="Normal 4 4 2 4 3 2 2 3" xfId="34804" xr:uid="{48A1971E-7CC6-4E45-9371-B0BACB1DEE33}"/>
    <cellStyle name="Normal 4 4 2 4 3 2 2 4" xfId="43251" xr:uid="{2D976544-2E06-41E6-8724-55A0D1204095}"/>
    <cellStyle name="Normal 4 4 2 4 3 2 2 5" xfId="17057" xr:uid="{5D082361-2D22-446B-8D6A-889B74A1C6CD}"/>
    <cellStyle name="Normal 4 4 2 4 3 2 3" xfId="22140" xr:uid="{8E2E511B-AB09-4A47-9DFC-8CA464A8649C}"/>
    <cellStyle name="Normal 4 4 2 4 3 2 4" xfId="30587" xr:uid="{C12114F1-878E-444A-B9B6-A2AA04A2F3D6}"/>
    <cellStyle name="Normal 4 4 2 4 3 2 5" xfId="39034" xr:uid="{ED77E8DE-8A4B-4DB3-9683-2800965300B6}"/>
    <cellStyle name="Normal 4 4 2 4 3 2 6" xfId="12840" xr:uid="{E3266A5F-AFD6-49DE-9470-3FF13A4A6AE9}"/>
    <cellStyle name="Normal 4 4 2 4 3 3" xfId="5586" xr:uid="{00000000-0005-0000-0000-000046150000}"/>
    <cellStyle name="Normal 4 4 2 4 3 3 2" xfId="24212" xr:uid="{E254185E-E257-4A8E-8FC4-93FAC5AADC18}"/>
    <cellStyle name="Normal 4 4 2 4 3 3 3" xfId="32659" xr:uid="{0AE44A59-5444-4529-8A37-6ED8392CFFBC}"/>
    <cellStyle name="Normal 4 4 2 4 3 3 4" xfId="41106" xr:uid="{7F882644-3C33-421B-8DCE-11CC578814D3}"/>
    <cellStyle name="Normal 4 4 2 4 3 3 5" xfId="14912" xr:uid="{88E61564-E944-4696-8557-47E0EBE381DD}"/>
    <cellStyle name="Normal 4 4 2 4 3 4" xfId="19995" xr:uid="{C4A62DB3-5CCD-473B-A9CC-AB1C0D8FC9A5}"/>
    <cellStyle name="Normal 4 4 2 4 3 5" xfId="28442" xr:uid="{CF993677-3DF1-4ACA-922A-9CD4A8696F27}"/>
    <cellStyle name="Normal 4 4 2 4 3 6" xfId="36889" xr:uid="{811296C0-CFF4-43D8-925D-D397DC1BC320}"/>
    <cellStyle name="Normal 4 4 2 4 3 7" xfId="10695" xr:uid="{04BD9EC0-FA2C-4A28-94CD-F3901847D894}"/>
    <cellStyle name="Normal 4 4 2 4 4" xfId="1692" xr:uid="{00000000-0005-0000-0000-000047150000}"/>
    <cellStyle name="Normal 4 4 2 4 4 2" xfId="3922" xr:uid="{00000000-0005-0000-0000-000048150000}"/>
    <cellStyle name="Normal 4 4 2 4 4 2 2" xfId="8144" xr:uid="{00000000-0005-0000-0000-000049150000}"/>
    <cellStyle name="Normal 4 4 2 4 4 2 2 2" xfId="26770" xr:uid="{9D9FDE6F-1F08-4385-8A8F-0874EDAC6504}"/>
    <cellStyle name="Normal 4 4 2 4 4 2 2 3" xfId="35217" xr:uid="{653A15DD-5B06-41BD-BD6D-3288812B4951}"/>
    <cellStyle name="Normal 4 4 2 4 4 2 2 4" xfId="43664" xr:uid="{8587C8EE-69E1-4CC4-A5D3-E8E567FA3A44}"/>
    <cellStyle name="Normal 4 4 2 4 4 2 2 5" xfId="17470" xr:uid="{56A2D59C-9693-4A98-BCE0-7EB9D68A399C}"/>
    <cellStyle name="Normal 4 4 2 4 4 2 3" xfId="22553" xr:uid="{FFAE6382-7C1B-4FA3-8CD3-BD7426174C8B}"/>
    <cellStyle name="Normal 4 4 2 4 4 2 4" xfId="31000" xr:uid="{ED01779D-1DAB-4499-9BB4-FE8D7D9D9C0D}"/>
    <cellStyle name="Normal 4 4 2 4 4 2 5" xfId="39447" xr:uid="{D173B877-1F19-41DC-A3F9-A438ACB38C01}"/>
    <cellStyle name="Normal 4 4 2 4 4 2 6" xfId="13253" xr:uid="{9576A761-5E4F-4B60-B923-AB43C4446102}"/>
    <cellStyle name="Normal 4 4 2 4 4 3" xfId="5999" xr:uid="{00000000-0005-0000-0000-00004A150000}"/>
    <cellStyle name="Normal 4 4 2 4 4 3 2" xfId="24625" xr:uid="{8019AE75-E818-4E59-A468-96A26FC51EEF}"/>
    <cellStyle name="Normal 4 4 2 4 4 3 3" xfId="33072" xr:uid="{DF7EB535-465A-4E7C-90AE-575C8BC0E5EA}"/>
    <cellStyle name="Normal 4 4 2 4 4 3 4" xfId="41519" xr:uid="{4FC3D994-8C18-462A-9748-DF1319AB186B}"/>
    <cellStyle name="Normal 4 4 2 4 4 3 5" xfId="15325" xr:uid="{E39A1498-A369-4C86-B937-D75F0E013499}"/>
    <cellStyle name="Normal 4 4 2 4 4 4" xfId="20408" xr:uid="{E056598B-EC7B-4AAF-B3B4-D8F976C41031}"/>
    <cellStyle name="Normal 4 4 2 4 4 5" xfId="28855" xr:uid="{4D41D5E6-9125-48EB-9CA1-5D3AD47C1784}"/>
    <cellStyle name="Normal 4 4 2 4 4 6" xfId="37302" xr:uid="{6016E79E-2251-4506-AEEF-C3B40E803589}"/>
    <cellStyle name="Normal 4 4 2 4 4 7" xfId="11108" xr:uid="{2F9DE713-2A9B-4D10-8D08-27105F755ED3}"/>
    <cellStyle name="Normal 4 4 2 4 5" xfId="2106" xr:uid="{00000000-0005-0000-0000-00004B150000}"/>
    <cellStyle name="Normal 4 4 2 4 5 2" xfId="4335" xr:uid="{00000000-0005-0000-0000-00004C150000}"/>
    <cellStyle name="Normal 4 4 2 4 5 2 2" xfId="8557" xr:uid="{00000000-0005-0000-0000-00004D150000}"/>
    <cellStyle name="Normal 4 4 2 4 5 2 2 2" xfId="27183" xr:uid="{C8E53BF0-E647-4915-85CA-0274460BB121}"/>
    <cellStyle name="Normal 4 4 2 4 5 2 2 3" xfId="35630" xr:uid="{2B704CCC-77F0-419D-9A7E-FB6BDB69BE4B}"/>
    <cellStyle name="Normal 4 4 2 4 5 2 2 4" xfId="44077" xr:uid="{D39FC855-A883-4B22-85CB-7206AE0C238E}"/>
    <cellStyle name="Normal 4 4 2 4 5 2 2 5" xfId="17883" xr:uid="{4FC41C7F-3E55-4BA6-9C8C-318245FEFCCD}"/>
    <cellStyle name="Normal 4 4 2 4 5 2 3" xfId="22966" xr:uid="{6378BE8D-7FC7-4697-AB05-F50518BFEBD7}"/>
    <cellStyle name="Normal 4 4 2 4 5 2 4" xfId="31413" xr:uid="{EA2D7A98-6D20-4C9F-88DB-FD8350A8E99A}"/>
    <cellStyle name="Normal 4 4 2 4 5 2 5" xfId="39860" xr:uid="{AB8B0C58-55EE-4B01-9519-AFD9D60CBD27}"/>
    <cellStyle name="Normal 4 4 2 4 5 2 6" xfId="13666" xr:uid="{5BBC144D-2227-4502-9F52-39228AC9DDF1}"/>
    <cellStyle name="Normal 4 4 2 4 5 3" xfId="6412" xr:uid="{00000000-0005-0000-0000-00004E150000}"/>
    <cellStyle name="Normal 4 4 2 4 5 3 2" xfId="25038" xr:uid="{D6664D1F-103B-4A7A-BFC3-88DF415E9FC7}"/>
    <cellStyle name="Normal 4 4 2 4 5 3 3" xfId="33485" xr:uid="{EE55961E-2D5A-4B71-8097-9EC30A076595}"/>
    <cellStyle name="Normal 4 4 2 4 5 3 4" xfId="41932" xr:uid="{ADEA9D77-1978-4132-802B-489DB00DC562}"/>
    <cellStyle name="Normal 4 4 2 4 5 3 5" xfId="15738" xr:uid="{07285238-2E89-4917-8907-10651A009806}"/>
    <cellStyle name="Normal 4 4 2 4 5 4" xfId="20821" xr:uid="{34C4FA78-1135-4A4E-A4A6-90C7EB861EE8}"/>
    <cellStyle name="Normal 4 4 2 4 5 5" xfId="29268" xr:uid="{B33A10D5-7925-4C2A-98F1-55C5BE94172E}"/>
    <cellStyle name="Normal 4 4 2 4 5 6" xfId="37715" xr:uid="{41687655-7157-4330-9C59-00C88DF5354B}"/>
    <cellStyle name="Normal 4 4 2 4 5 7" xfId="11521" xr:uid="{6CF6AE3E-1B48-45DC-9E95-2633936ADD75}"/>
    <cellStyle name="Normal 4 4 2 4 6" xfId="2542" xr:uid="{00000000-0005-0000-0000-00004F150000}"/>
    <cellStyle name="Normal 4 4 2 4 6 2" xfId="6825" xr:uid="{00000000-0005-0000-0000-000050150000}"/>
    <cellStyle name="Normal 4 4 2 4 6 2 2" xfId="25451" xr:uid="{D479D88D-DFBA-43C7-BAEC-77E7A62F390D}"/>
    <cellStyle name="Normal 4 4 2 4 6 2 3" xfId="33898" xr:uid="{534FA90E-DD2A-4932-83EE-E2156BF12256}"/>
    <cellStyle name="Normal 4 4 2 4 6 2 4" xfId="42345" xr:uid="{469C42AB-2C3F-43F1-B17D-397781BBB935}"/>
    <cellStyle name="Normal 4 4 2 4 6 2 5" xfId="16151" xr:uid="{E0CDDC6D-9F9E-48A3-9E1B-BF3DE9C46FE9}"/>
    <cellStyle name="Normal 4 4 2 4 6 3" xfId="21234" xr:uid="{5E898EEC-39B7-4AFE-893B-C21E46831ED6}"/>
    <cellStyle name="Normal 4 4 2 4 6 4" xfId="29681" xr:uid="{817F02B9-EA47-4379-BD54-819A6FDCECC7}"/>
    <cellStyle name="Normal 4 4 2 4 6 5" xfId="38128" xr:uid="{7C6383AF-A7AD-4131-89C9-18B47CAE40C6}"/>
    <cellStyle name="Normal 4 4 2 4 6 6" xfId="11934" xr:uid="{F692D1A4-991D-4215-96D8-4096721D5616}"/>
    <cellStyle name="Normal 4 4 2 4 7" xfId="4760" xr:uid="{00000000-0005-0000-0000-000051150000}"/>
    <cellStyle name="Normal 4 4 2 4 7 2" xfId="23386" xr:uid="{83DCA97F-6833-4C48-B263-B5F757FD2E84}"/>
    <cellStyle name="Normal 4 4 2 4 7 3" xfId="31833" xr:uid="{9D6AD25C-5548-4395-ABA7-CDC5A1DB8EFB}"/>
    <cellStyle name="Normal 4 4 2 4 7 4" xfId="40280" xr:uid="{B65696B1-5F5C-44FD-A3FF-FAA8B424E0F5}"/>
    <cellStyle name="Normal 4 4 2 4 7 5" xfId="14086" xr:uid="{40A2CA1A-BAFF-49ED-9E33-8AB889765CCF}"/>
    <cellStyle name="Normal 4 4 2 4 8" xfId="8988" xr:uid="{F852E7B0-7ACD-4401-B3B6-BE989A5C8AD5}"/>
    <cellStyle name="Normal 4 4 2 4 8 2" xfId="18312" xr:uid="{5C019982-0903-4102-8C69-60B3D00C4751}"/>
    <cellStyle name="Normal 4 4 2 4 9" xfId="19169" xr:uid="{EF343E30-492B-4624-B009-76A14ADA0232}"/>
    <cellStyle name="Normal 4 4 2 5" xfId="854" xr:uid="{00000000-0005-0000-0000-000052150000}"/>
    <cellStyle name="Normal 4 4 2 5 2" xfId="3089" xr:uid="{00000000-0005-0000-0000-000053150000}"/>
    <cellStyle name="Normal 4 4 2 5 2 2" xfId="7311" xr:uid="{00000000-0005-0000-0000-000054150000}"/>
    <cellStyle name="Normal 4 4 2 5 2 2 2" xfId="25937" xr:uid="{BF01D919-8F84-4317-82BF-9288AB28EDA1}"/>
    <cellStyle name="Normal 4 4 2 5 2 2 3" xfId="34384" xr:uid="{08F3B4BB-7D7A-43A5-8D7B-710A0E661149}"/>
    <cellStyle name="Normal 4 4 2 5 2 2 4" xfId="42831" xr:uid="{1C0C0785-7F44-4671-9A74-9F1867F3F110}"/>
    <cellStyle name="Normal 4 4 2 5 2 2 5" xfId="16637" xr:uid="{8C98BC23-3936-4793-9705-CB422212CAC8}"/>
    <cellStyle name="Normal 4 4 2 5 2 3" xfId="21720" xr:uid="{98224BC4-1564-4D17-99FF-15EE4D0FEC6B}"/>
    <cellStyle name="Normal 4 4 2 5 2 4" xfId="30167" xr:uid="{4C756987-FA1A-406E-831D-A3E0A9340D01}"/>
    <cellStyle name="Normal 4 4 2 5 2 5" xfId="38614" xr:uid="{FA66B5DE-6A36-4BE6-BE48-EF6CE0983FA0}"/>
    <cellStyle name="Normal 4 4 2 5 2 6" xfId="12420" xr:uid="{91666D31-2C5B-4D2F-88E6-87AC5F67BBFB}"/>
    <cellStyle name="Normal 4 4 2 5 3" xfId="5166" xr:uid="{00000000-0005-0000-0000-000055150000}"/>
    <cellStyle name="Normal 4 4 2 5 3 2" xfId="23792" xr:uid="{9165C3E1-D894-456B-9A1A-AC3ADDC0ED8F}"/>
    <cellStyle name="Normal 4 4 2 5 3 3" xfId="32239" xr:uid="{F6E8D2CF-37D8-4D00-A12F-9344CF7DBF92}"/>
    <cellStyle name="Normal 4 4 2 5 3 4" xfId="40686" xr:uid="{F67977B1-50A8-4F9A-ACCC-2E9FA04F16BB}"/>
    <cellStyle name="Normal 4 4 2 5 3 5" xfId="14492" xr:uid="{9E54F676-D4EF-492C-8CE2-D84E4C250DB6}"/>
    <cellStyle name="Normal 4 4 2 5 4" xfId="9205" xr:uid="{A63DE01D-3EC8-40FC-A47E-E0EA001EED52}"/>
    <cellStyle name="Normal 4 4 2 5 4 2" xfId="18522" xr:uid="{E0A718B2-5C67-4796-B7E4-37072F970238}"/>
    <cellStyle name="Normal 4 4 2 5 5" xfId="19575" xr:uid="{485AE3D5-DF16-449C-ACBD-608324CD4269}"/>
    <cellStyle name="Normal 4 4 2 5 6" xfId="28022" xr:uid="{C8798F6B-C61F-4DDF-8E34-2A5214D92F4A}"/>
    <cellStyle name="Normal 4 4 2 5 7" xfId="36469" xr:uid="{1C50A534-0F5F-48F1-BC47-46B6B7B55E85}"/>
    <cellStyle name="Normal 4 4 2 5 8" xfId="10275" xr:uid="{DFDA8EA5-6FE9-4066-9ED0-5C8C1EAE72D5}"/>
    <cellStyle name="Normal 4 4 2 6" xfId="1272" xr:uid="{00000000-0005-0000-0000-000056150000}"/>
    <cellStyle name="Normal 4 4 2 6 2" xfId="3502" xr:uid="{00000000-0005-0000-0000-000057150000}"/>
    <cellStyle name="Normal 4 4 2 6 2 2" xfId="7724" xr:uid="{00000000-0005-0000-0000-000058150000}"/>
    <cellStyle name="Normal 4 4 2 6 2 2 2" xfId="26350" xr:uid="{EB8F50C0-82B6-4670-BE80-536FFFEDF6E6}"/>
    <cellStyle name="Normal 4 4 2 6 2 2 3" xfId="34797" xr:uid="{7DEEE1B0-7FA7-414C-905F-D025AE8ACB18}"/>
    <cellStyle name="Normal 4 4 2 6 2 2 4" xfId="43244" xr:uid="{51B19792-9430-47FC-9236-692B3F1CACED}"/>
    <cellStyle name="Normal 4 4 2 6 2 2 5" xfId="17050" xr:uid="{387D0A2C-68B6-41A5-883E-107EC6B2400B}"/>
    <cellStyle name="Normal 4 4 2 6 2 3" xfId="22133" xr:uid="{8F966C86-ABD9-4D50-9809-D2315656AFBE}"/>
    <cellStyle name="Normal 4 4 2 6 2 4" xfId="30580" xr:uid="{D8DB112E-CD2D-41DC-98A8-B72F8AF825DB}"/>
    <cellStyle name="Normal 4 4 2 6 2 5" xfId="39027" xr:uid="{C03197E6-B098-40B7-99A7-5E07C7AEE0B3}"/>
    <cellStyle name="Normal 4 4 2 6 2 6" xfId="12833" xr:uid="{2DF6145B-690E-495D-BAF9-3DFDB31EE619}"/>
    <cellStyle name="Normal 4 4 2 6 3" xfId="5579" xr:uid="{00000000-0005-0000-0000-000059150000}"/>
    <cellStyle name="Normal 4 4 2 6 3 2" xfId="24205" xr:uid="{89FA94E2-CD0E-4CD2-B211-9E584C1D30F1}"/>
    <cellStyle name="Normal 4 4 2 6 3 3" xfId="32652" xr:uid="{BCB6F917-5097-42A9-92D1-5613DAD535A4}"/>
    <cellStyle name="Normal 4 4 2 6 3 4" xfId="41099" xr:uid="{0D5C27E5-85E0-4772-B9AB-9FD8F61B732D}"/>
    <cellStyle name="Normal 4 4 2 6 3 5" xfId="14905" xr:uid="{199A4C4E-8A4C-4F4B-B3BB-9EB093D8C755}"/>
    <cellStyle name="Normal 4 4 2 6 4" xfId="19988" xr:uid="{C48B0A23-3552-41A7-BE50-79B1E8DF1788}"/>
    <cellStyle name="Normal 4 4 2 6 5" xfId="28435" xr:uid="{8518D0DB-C004-4251-A569-F664A0608B65}"/>
    <cellStyle name="Normal 4 4 2 6 6" xfId="36882" xr:uid="{DD18BD8F-C9AC-4BFE-ACAC-A08B5BFF0B0F}"/>
    <cellStyle name="Normal 4 4 2 6 7" xfId="10688" xr:uid="{3A864C90-8C35-4360-82ED-2F1DA91E1BB8}"/>
    <cellStyle name="Normal 4 4 2 7" xfId="1685" xr:uid="{00000000-0005-0000-0000-00005A150000}"/>
    <cellStyle name="Normal 4 4 2 7 2" xfId="3915" xr:uid="{00000000-0005-0000-0000-00005B150000}"/>
    <cellStyle name="Normal 4 4 2 7 2 2" xfId="8137" xr:uid="{00000000-0005-0000-0000-00005C150000}"/>
    <cellStyle name="Normal 4 4 2 7 2 2 2" xfId="26763" xr:uid="{4E2C74DB-F4A2-40B7-B86A-03E7ABFF841B}"/>
    <cellStyle name="Normal 4 4 2 7 2 2 3" xfId="35210" xr:uid="{E8315C35-5C99-464B-A1DC-5B66828AD14C}"/>
    <cellStyle name="Normal 4 4 2 7 2 2 4" xfId="43657" xr:uid="{878A23F4-FC54-41C8-951C-0492DC40372C}"/>
    <cellStyle name="Normal 4 4 2 7 2 2 5" xfId="17463" xr:uid="{964ABB9D-AE9F-460A-AC91-FE7F4C754F71}"/>
    <cellStyle name="Normal 4 4 2 7 2 3" xfId="22546" xr:uid="{C00BDBF2-91BC-4BAB-A411-04AE86E0DFBE}"/>
    <cellStyle name="Normal 4 4 2 7 2 4" xfId="30993" xr:uid="{6AE62814-9953-4129-BBD5-F0799E9C973D}"/>
    <cellStyle name="Normal 4 4 2 7 2 5" xfId="39440" xr:uid="{AE90DE91-D30A-4B26-94B7-0B439235BCF5}"/>
    <cellStyle name="Normal 4 4 2 7 2 6" xfId="13246" xr:uid="{2772EFDA-EB37-423A-8016-D3FF545FC9DB}"/>
    <cellStyle name="Normal 4 4 2 7 3" xfId="5992" xr:uid="{00000000-0005-0000-0000-00005D150000}"/>
    <cellStyle name="Normal 4 4 2 7 3 2" xfId="24618" xr:uid="{905FC643-5741-4941-B6F1-066FA8CEC78A}"/>
    <cellStyle name="Normal 4 4 2 7 3 3" xfId="33065" xr:uid="{07C99851-AD03-40BD-9485-9BEFB666569E}"/>
    <cellStyle name="Normal 4 4 2 7 3 4" xfId="41512" xr:uid="{1E6104C3-FDC5-40BB-AAA8-F40C16840458}"/>
    <cellStyle name="Normal 4 4 2 7 3 5" xfId="15318" xr:uid="{84E9B9A9-497D-46F3-981F-42AA9253EE49}"/>
    <cellStyle name="Normal 4 4 2 7 4" xfId="20401" xr:uid="{4AC1FB25-681C-41F9-9D08-A68C218E7C6F}"/>
    <cellStyle name="Normal 4 4 2 7 5" xfId="28848" xr:uid="{F0309513-1806-4617-95D5-826A44666E2E}"/>
    <cellStyle name="Normal 4 4 2 7 6" xfId="37295" xr:uid="{E1D48F04-7BB0-47A0-9FB3-EDBD5B9AB8EA}"/>
    <cellStyle name="Normal 4 4 2 7 7" xfId="11101" xr:uid="{C7DD259B-89AA-4636-B044-9907B39FE4C0}"/>
    <cellStyle name="Normal 4 4 2 8" xfId="2099" xr:uid="{00000000-0005-0000-0000-00005E150000}"/>
    <cellStyle name="Normal 4 4 2 8 2" xfId="4328" xr:uid="{00000000-0005-0000-0000-00005F150000}"/>
    <cellStyle name="Normal 4 4 2 8 2 2" xfId="8550" xr:uid="{00000000-0005-0000-0000-000060150000}"/>
    <cellStyle name="Normal 4 4 2 8 2 2 2" xfId="27176" xr:uid="{6ACB4568-A0C8-40BB-A8ED-DE48CA7F683B}"/>
    <cellStyle name="Normal 4 4 2 8 2 2 3" xfId="35623" xr:uid="{4DE9B279-83D5-4A2C-93E4-D3129BC5080E}"/>
    <cellStyle name="Normal 4 4 2 8 2 2 4" xfId="44070" xr:uid="{0708E712-D06C-47CC-9783-91C0F1297D42}"/>
    <cellStyle name="Normal 4 4 2 8 2 2 5" xfId="17876" xr:uid="{E4A0195D-3AD1-4BAD-9FBC-A48C674C0E09}"/>
    <cellStyle name="Normal 4 4 2 8 2 3" xfId="22959" xr:uid="{BB5293C5-FBD3-4053-BAA3-762213C6600C}"/>
    <cellStyle name="Normal 4 4 2 8 2 4" xfId="31406" xr:uid="{9DDAD823-C97E-4EA8-A434-C9D02D3EB66D}"/>
    <cellStyle name="Normal 4 4 2 8 2 5" xfId="39853" xr:uid="{0DBF6686-1BC6-4086-B01A-2A4041F6395C}"/>
    <cellStyle name="Normal 4 4 2 8 2 6" xfId="13659" xr:uid="{7DE97B38-39D3-48A5-B24C-E3D8618F358A}"/>
    <cellStyle name="Normal 4 4 2 8 3" xfId="6405" xr:uid="{00000000-0005-0000-0000-000061150000}"/>
    <cellStyle name="Normal 4 4 2 8 3 2" xfId="25031" xr:uid="{A32C9327-3FA5-47A3-8FA2-8046313F7F05}"/>
    <cellStyle name="Normal 4 4 2 8 3 3" xfId="33478" xr:uid="{D60F0091-8318-424C-ACE5-38740BF31C73}"/>
    <cellStyle name="Normal 4 4 2 8 3 4" xfId="41925" xr:uid="{CBCB521C-DABA-4740-961E-BCBD702FF220}"/>
    <cellStyle name="Normal 4 4 2 8 3 5" xfId="15731" xr:uid="{7D37DFDD-2517-441D-8C8E-CB2F387BFEFC}"/>
    <cellStyle name="Normal 4 4 2 8 4" xfId="20814" xr:uid="{2330C4D0-A4FD-42C3-B5FB-4B70C7269668}"/>
    <cellStyle name="Normal 4 4 2 8 5" xfId="29261" xr:uid="{970A1667-5C30-41EC-B40F-176B52E75661}"/>
    <cellStyle name="Normal 4 4 2 8 6" xfId="37708" xr:uid="{23236621-C579-4A07-8D6A-222DE6906D02}"/>
    <cellStyle name="Normal 4 4 2 8 7" xfId="11514" xr:uid="{142330B0-7834-43FB-9004-92D9D2BF4321}"/>
    <cellStyle name="Normal 4 4 2 9" xfId="2535" xr:uid="{00000000-0005-0000-0000-000062150000}"/>
    <cellStyle name="Normal 4 4 2 9 2" xfId="6818" xr:uid="{00000000-0005-0000-0000-000063150000}"/>
    <cellStyle name="Normal 4 4 2 9 2 2" xfId="25444" xr:uid="{889A3A0C-624E-48CC-8EB5-85276D5ED669}"/>
    <cellStyle name="Normal 4 4 2 9 2 3" xfId="33891" xr:uid="{726BC636-35E7-4E3F-AE83-7ED545EBFE91}"/>
    <cellStyle name="Normal 4 4 2 9 2 4" xfId="42338" xr:uid="{B0DC30DF-BED3-4AA0-89BC-43CC7B3C97ED}"/>
    <cellStyle name="Normal 4 4 2 9 2 5" xfId="16144" xr:uid="{AD0EE452-A500-4A04-A98E-768BCD730A8D}"/>
    <cellStyle name="Normal 4 4 2 9 3" xfId="21227" xr:uid="{36969159-DCAE-49F0-A544-C739F31F3CF7}"/>
    <cellStyle name="Normal 4 4 2 9 4" xfId="29674" xr:uid="{2FE8C416-5842-462D-9B1E-90E79E751196}"/>
    <cellStyle name="Normal 4 4 2 9 5" xfId="38121" xr:uid="{EAFDC7E1-CAF0-4544-B460-600C95D74115}"/>
    <cellStyle name="Normal 4 4 2 9 6" xfId="11927" xr:uid="{38765728-0269-4A27-B759-88E12683997F}"/>
    <cellStyle name="Normal 4 4 3" xfId="387" xr:uid="{00000000-0005-0000-0000-000064150000}"/>
    <cellStyle name="Normal 4 4 3 10" xfId="8823" xr:uid="{E623F102-F69B-4FD0-BEDA-A1480AF4D892}"/>
    <cellStyle name="Normal 4 4 3 10 2" xfId="18147" xr:uid="{DBBFB6D8-5764-499B-9967-186F3AE3D611}"/>
    <cellStyle name="Normal 4 4 3 11" xfId="19170" xr:uid="{13814BC0-0F00-49DE-AAC4-239727038FCA}"/>
    <cellStyle name="Normal 4 4 3 12" xfId="27617" xr:uid="{27D596AC-5AD9-4838-B02B-5F9BB9718D5E}"/>
    <cellStyle name="Normal 4 4 3 13" xfId="36064" xr:uid="{C7B4FEC5-BA64-421E-AE45-CC130333E4B6}"/>
    <cellStyle name="Normal 4 4 3 14" xfId="9870" xr:uid="{F6E4D52C-8E1B-478B-BC6D-41FAD4DF7C03}"/>
    <cellStyle name="Normal 4 4 3 2" xfId="388" xr:uid="{00000000-0005-0000-0000-000065150000}"/>
    <cellStyle name="Normal 4 4 3 2 10" xfId="19171" xr:uid="{487BA700-D5A9-4AD6-86EB-36950B62E9F9}"/>
    <cellStyle name="Normal 4 4 3 2 11" xfId="27618" xr:uid="{2A43FE84-370D-4D70-9B2F-3E1F8CD9438D}"/>
    <cellStyle name="Normal 4 4 3 2 12" xfId="36065" xr:uid="{0A4DC108-E314-490B-B585-7F9139159E13}"/>
    <cellStyle name="Normal 4 4 3 2 13" xfId="9871" xr:uid="{09B818A9-289B-49AC-8CC7-5BA9737C0E5A}"/>
    <cellStyle name="Normal 4 4 3 2 2" xfId="389" xr:uid="{00000000-0005-0000-0000-000066150000}"/>
    <cellStyle name="Normal 4 4 3 2 2 10" xfId="27619" xr:uid="{1A54669A-0E9B-40F3-BAFA-A87DA946EC33}"/>
    <cellStyle name="Normal 4 4 3 2 2 11" xfId="36066" xr:uid="{B2A4EDFA-D534-4666-85CB-15CEE1E814FC}"/>
    <cellStyle name="Normal 4 4 3 2 2 12" xfId="9872" xr:uid="{2AD5467C-E83A-41D2-9034-FFDBC7CF7E99}"/>
    <cellStyle name="Normal 4 4 3 2 2 2" xfId="864" xr:uid="{00000000-0005-0000-0000-000067150000}"/>
    <cellStyle name="Normal 4 4 3 2 2 2 2" xfId="3099" xr:uid="{00000000-0005-0000-0000-000068150000}"/>
    <cellStyle name="Normal 4 4 3 2 2 2 2 2" xfId="7321" xr:uid="{00000000-0005-0000-0000-000069150000}"/>
    <cellStyle name="Normal 4 4 3 2 2 2 2 2 2" xfId="25947" xr:uid="{D3B98D94-9C28-49F5-9217-585472DC4BFF}"/>
    <cellStyle name="Normal 4 4 3 2 2 2 2 2 3" xfId="34394" xr:uid="{1EC8E159-2062-4C84-8690-A8D49967EC47}"/>
    <cellStyle name="Normal 4 4 3 2 2 2 2 2 4" xfId="42841" xr:uid="{CC15088C-B193-48C8-B2DF-AFD8F5EDD24B}"/>
    <cellStyle name="Normal 4 4 3 2 2 2 2 2 5" xfId="16647" xr:uid="{0A2B6EAC-A3BE-42D9-A967-85CCE4BF3616}"/>
    <cellStyle name="Normal 4 4 3 2 2 2 2 3" xfId="21730" xr:uid="{4FE24869-C57F-492E-A7F2-61F5910854A7}"/>
    <cellStyle name="Normal 4 4 3 2 2 2 2 4" xfId="30177" xr:uid="{6BAF932E-D455-468C-9CF6-E54243C4ABD2}"/>
    <cellStyle name="Normal 4 4 3 2 2 2 2 5" xfId="38624" xr:uid="{DE16A2CD-BEDA-4C5B-B2C2-1777C6AE73CC}"/>
    <cellStyle name="Normal 4 4 3 2 2 2 2 6" xfId="12430" xr:uid="{8D3E30AA-ED03-47A8-8552-9F8A10F4846E}"/>
    <cellStyle name="Normal 4 4 3 2 2 2 3" xfId="5176" xr:uid="{00000000-0005-0000-0000-00006A150000}"/>
    <cellStyle name="Normal 4 4 3 2 2 2 3 2" xfId="23802" xr:uid="{20655C12-4B53-4FC1-A947-A16D84D1C150}"/>
    <cellStyle name="Normal 4 4 3 2 2 2 3 3" xfId="32249" xr:uid="{17B672CA-79A5-457B-8373-FFF24B197F62}"/>
    <cellStyle name="Normal 4 4 3 2 2 2 3 4" xfId="40696" xr:uid="{124B40B2-CF76-46C6-BEEE-80559EF80947}"/>
    <cellStyle name="Normal 4 4 3 2 2 2 3 5" xfId="14502" xr:uid="{A51ACA5B-04C7-4668-A04F-950010069EC1}"/>
    <cellStyle name="Normal 4 4 3 2 2 2 4" xfId="9558" xr:uid="{8C9519E6-5920-473D-9749-EC61E4877632}"/>
    <cellStyle name="Normal 4 4 3 2 2 2 4 2" xfId="18874" xr:uid="{CF1E83CC-9DCD-40D5-A3FE-92CCA9A29978}"/>
    <cellStyle name="Normal 4 4 3 2 2 2 5" xfId="19585" xr:uid="{CD047275-3289-4666-9D5A-E13A2B936143}"/>
    <cellStyle name="Normal 4 4 3 2 2 2 6" xfId="28032" xr:uid="{3E2F06E4-697E-4C0B-9E51-3B51B6262ED3}"/>
    <cellStyle name="Normal 4 4 3 2 2 2 7" xfId="36479" xr:uid="{6E94C2A6-7280-44D0-BF5F-3ECEF56D9920}"/>
    <cellStyle name="Normal 4 4 3 2 2 2 8" xfId="10285" xr:uid="{E56DD26D-B774-44B1-91DD-0BF4E9875C9F}"/>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2 2 2" xfId="26360" xr:uid="{4942A47A-6109-4288-BA86-6BF197AC531A}"/>
    <cellStyle name="Normal 4 4 3 2 2 3 2 2 3" xfId="34807" xr:uid="{4365CC35-9B1C-4384-9D7F-23109364ADDD}"/>
    <cellStyle name="Normal 4 4 3 2 2 3 2 2 4" xfId="43254" xr:uid="{46BAC171-29A1-4066-AD2A-05C15AD58985}"/>
    <cellStyle name="Normal 4 4 3 2 2 3 2 2 5" xfId="17060" xr:uid="{2F1A9187-D4E4-47FD-B758-C6055F40B1BC}"/>
    <cellStyle name="Normal 4 4 3 2 2 3 2 3" xfId="22143" xr:uid="{EE117244-0E3C-4402-BC39-E8FD71DF4CA2}"/>
    <cellStyle name="Normal 4 4 3 2 2 3 2 4" xfId="30590" xr:uid="{C8CD67BB-109A-4141-BFCA-3A361C2A4DF0}"/>
    <cellStyle name="Normal 4 4 3 2 2 3 2 5" xfId="39037" xr:uid="{D0799E9A-F08F-459B-A6C6-5794DFD6BA3D}"/>
    <cellStyle name="Normal 4 4 3 2 2 3 2 6" xfId="12843" xr:uid="{083C7936-5894-4507-B132-DCD48DCDCE63}"/>
    <cellStyle name="Normal 4 4 3 2 2 3 3" xfId="5589" xr:uid="{00000000-0005-0000-0000-00006E150000}"/>
    <cellStyle name="Normal 4 4 3 2 2 3 3 2" xfId="24215" xr:uid="{0E0CC8F2-7DC4-4FAD-926E-F3F18F5BF64D}"/>
    <cellStyle name="Normal 4 4 3 2 2 3 3 3" xfId="32662" xr:uid="{548B4E42-E241-4C16-8FBA-4868BEAC15AE}"/>
    <cellStyle name="Normal 4 4 3 2 2 3 3 4" xfId="41109" xr:uid="{EE67D099-F154-4720-B927-CE9F9B1A39D9}"/>
    <cellStyle name="Normal 4 4 3 2 2 3 3 5" xfId="14915" xr:uid="{AE600CA8-1493-4B7C-8755-2AB91B83F9B3}"/>
    <cellStyle name="Normal 4 4 3 2 2 3 4" xfId="19998" xr:uid="{81207E44-80B5-425F-A68B-5BC80BE5A4E2}"/>
    <cellStyle name="Normal 4 4 3 2 2 3 5" xfId="28445" xr:uid="{7FCC4F63-3A67-47B2-B487-3DBDA4A65549}"/>
    <cellStyle name="Normal 4 4 3 2 2 3 6" xfId="36892" xr:uid="{61476F9D-637B-4BD4-907B-203EA3411D8F}"/>
    <cellStyle name="Normal 4 4 3 2 2 3 7" xfId="10698" xr:uid="{F29295CD-8CBC-4887-A987-17369404DB8B}"/>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2 2 2" xfId="26773" xr:uid="{7F864BE4-A601-4AD4-A609-253384A8C81A}"/>
    <cellStyle name="Normal 4 4 3 2 2 4 2 2 3" xfId="35220" xr:uid="{9DD53C65-B0C9-4D3E-B540-C965DCA22650}"/>
    <cellStyle name="Normal 4 4 3 2 2 4 2 2 4" xfId="43667" xr:uid="{B3A0FF5E-3644-4754-852D-E5F011A4C862}"/>
    <cellStyle name="Normal 4 4 3 2 2 4 2 2 5" xfId="17473" xr:uid="{36EDFFB4-1C02-45A5-A63F-F37F6F988307}"/>
    <cellStyle name="Normal 4 4 3 2 2 4 2 3" xfId="22556" xr:uid="{F6916474-59CD-439F-B7D1-5D3966BEB717}"/>
    <cellStyle name="Normal 4 4 3 2 2 4 2 4" xfId="31003" xr:uid="{62351E66-28A7-4BD9-B03B-D96BE4A2D70D}"/>
    <cellStyle name="Normal 4 4 3 2 2 4 2 5" xfId="39450" xr:uid="{90D1A347-C6E9-4B0A-BD23-348A2104E12B}"/>
    <cellStyle name="Normal 4 4 3 2 2 4 2 6" xfId="13256" xr:uid="{6A914C99-8E5F-4380-9057-5A8A680D4460}"/>
    <cellStyle name="Normal 4 4 3 2 2 4 3" xfId="6002" xr:uid="{00000000-0005-0000-0000-000072150000}"/>
    <cellStyle name="Normal 4 4 3 2 2 4 3 2" xfId="24628" xr:uid="{0EA716B8-A095-4A30-99F6-4E6EDA8E35B2}"/>
    <cellStyle name="Normal 4 4 3 2 2 4 3 3" xfId="33075" xr:uid="{80DB0469-1411-4D78-95B7-88A21DB4F482}"/>
    <cellStyle name="Normal 4 4 3 2 2 4 3 4" xfId="41522" xr:uid="{202DE3A4-CAB2-42B4-9EEE-63A62C07D7F4}"/>
    <cellStyle name="Normal 4 4 3 2 2 4 3 5" xfId="15328" xr:uid="{7320E21C-84D2-4AE9-B805-11B909316CE7}"/>
    <cellStyle name="Normal 4 4 3 2 2 4 4" xfId="20411" xr:uid="{5E241417-2495-4966-A1A6-D61D82CB6857}"/>
    <cellStyle name="Normal 4 4 3 2 2 4 5" xfId="28858" xr:uid="{4F419519-8E6C-4B17-84E8-C3D8EB95EAA2}"/>
    <cellStyle name="Normal 4 4 3 2 2 4 6" xfId="37305" xr:uid="{B83D34D7-7AB2-4F4C-8391-FF97452366A8}"/>
    <cellStyle name="Normal 4 4 3 2 2 4 7" xfId="11111" xr:uid="{79E79FFB-7345-498A-8947-9CC56C057F39}"/>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2 2 2" xfId="27186" xr:uid="{1CBE0672-C4B0-465D-A18B-5A197BC77639}"/>
    <cellStyle name="Normal 4 4 3 2 2 5 2 2 3" xfId="35633" xr:uid="{20C24248-5255-4F1F-94B6-D83F77DD4F31}"/>
    <cellStyle name="Normal 4 4 3 2 2 5 2 2 4" xfId="44080" xr:uid="{81097E76-0C92-4779-A99A-2CFE83459D9F}"/>
    <cellStyle name="Normal 4 4 3 2 2 5 2 2 5" xfId="17886" xr:uid="{AA22448B-A79F-41EE-8ED4-44C1AB4A4BFB}"/>
    <cellStyle name="Normal 4 4 3 2 2 5 2 3" xfId="22969" xr:uid="{2D113864-4FB4-4224-890D-1A02D3C1C9D3}"/>
    <cellStyle name="Normal 4 4 3 2 2 5 2 4" xfId="31416" xr:uid="{51850F09-9730-49F2-95EA-124F9DD84116}"/>
    <cellStyle name="Normal 4 4 3 2 2 5 2 5" xfId="39863" xr:uid="{99B92891-33DA-4BF1-A49C-0182EDC9224D}"/>
    <cellStyle name="Normal 4 4 3 2 2 5 2 6" xfId="13669" xr:uid="{483C3202-E4B4-4C62-817D-7AFB521AE2D6}"/>
    <cellStyle name="Normal 4 4 3 2 2 5 3" xfId="6415" xr:uid="{00000000-0005-0000-0000-000076150000}"/>
    <cellStyle name="Normal 4 4 3 2 2 5 3 2" xfId="25041" xr:uid="{60D7F3F5-0196-4644-B096-DD051492B2CD}"/>
    <cellStyle name="Normal 4 4 3 2 2 5 3 3" xfId="33488" xr:uid="{0D78EF1C-C37D-48F8-B4DD-3CAE154E0A7D}"/>
    <cellStyle name="Normal 4 4 3 2 2 5 3 4" xfId="41935" xr:uid="{A5032C45-CC2B-4DD6-9812-4DB2E5D1BF61}"/>
    <cellStyle name="Normal 4 4 3 2 2 5 3 5" xfId="15741" xr:uid="{1D05A459-6873-4F5E-A808-18DE013FD745}"/>
    <cellStyle name="Normal 4 4 3 2 2 5 4" xfId="20824" xr:uid="{139691B7-3E8C-48E9-B6BA-5BA5C592CCA3}"/>
    <cellStyle name="Normal 4 4 3 2 2 5 5" xfId="29271" xr:uid="{BCF1B863-3188-47C4-82C8-412D58581ACE}"/>
    <cellStyle name="Normal 4 4 3 2 2 5 6" xfId="37718" xr:uid="{85B6C834-CBF2-4118-9E9A-8968AF139FC9}"/>
    <cellStyle name="Normal 4 4 3 2 2 5 7" xfId="11524" xr:uid="{4B0F4895-2350-42EE-B18F-861A965C25C8}"/>
    <cellStyle name="Normal 4 4 3 2 2 6" xfId="2545" xr:uid="{00000000-0005-0000-0000-000077150000}"/>
    <cellStyle name="Normal 4 4 3 2 2 6 2" xfId="6828" xr:uid="{00000000-0005-0000-0000-000078150000}"/>
    <cellStyle name="Normal 4 4 3 2 2 6 2 2" xfId="25454" xr:uid="{1913AF10-2ED1-4F69-A2E8-47C3C66488B0}"/>
    <cellStyle name="Normal 4 4 3 2 2 6 2 3" xfId="33901" xr:uid="{C89437AD-7E06-488D-A741-1FC6C11F07D1}"/>
    <cellStyle name="Normal 4 4 3 2 2 6 2 4" xfId="42348" xr:uid="{2331023D-ED13-4F66-AB11-0A7ADD1A198C}"/>
    <cellStyle name="Normal 4 4 3 2 2 6 2 5" xfId="16154" xr:uid="{0011B3B6-8510-44E7-AFAB-B66DC9A2DFF6}"/>
    <cellStyle name="Normal 4 4 3 2 2 6 3" xfId="21237" xr:uid="{D8364CAF-A2C1-430A-AD63-3A32FCA5B841}"/>
    <cellStyle name="Normal 4 4 3 2 2 6 4" xfId="29684" xr:uid="{FE1A6B4C-B55C-4925-963C-E23295231D99}"/>
    <cellStyle name="Normal 4 4 3 2 2 6 5" xfId="38131" xr:uid="{96BEBF0A-9A9D-47F6-92D5-415C12A3AC2E}"/>
    <cellStyle name="Normal 4 4 3 2 2 6 6" xfId="11937" xr:uid="{2F294775-2FF3-4DCB-9EA7-80BB7C5B7717}"/>
    <cellStyle name="Normal 4 4 3 2 2 7" xfId="4763" xr:uid="{00000000-0005-0000-0000-000079150000}"/>
    <cellStyle name="Normal 4 4 3 2 2 7 2" xfId="23389" xr:uid="{F14FF280-ED06-4143-AB4B-F9A3CCF07BFE}"/>
    <cellStyle name="Normal 4 4 3 2 2 7 3" xfId="31836" xr:uid="{0226E83A-3064-4591-A111-1E6B7B1B83F9}"/>
    <cellStyle name="Normal 4 4 3 2 2 7 4" xfId="40283" xr:uid="{C0D3FC74-5A05-4E48-ADFB-1B15CB231361}"/>
    <cellStyle name="Normal 4 4 3 2 2 7 5" xfId="14089" xr:uid="{60B1B51D-646D-426E-AD99-D307D9F47934}"/>
    <cellStyle name="Normal 4 4 3 2 2 8" xfId="9133" xr:uid="{37002A66-D58A-4EF9-8D22-8F1A3EE99E08}"/>
    <cellStyle name="Normal 4 4 3 2 2 8 2" xfId="18457" xr:uid="{C546E51B-0FA5-48AA-AF52-E5A695D29742}"/>
    <cellStyle name="Normal 4 4 3 2 2 9" xfId="19172" xr:uid="{A7140F38-7959-41AB-B9AB-DC671B11770C}"/>
    <cellStyle name="Normal 4 4 3 2 3" xfId="863" xr:uid="{00000000-0005-0000-0000-00007A150000}"/>
    <cellStyle name="Normal 4 4 3 2 3 2" xfId="3098" xr:uid="{00000000-0005-0000-0000-00007B150000}"/>
    <cellStyle name="Normal 4 4 3 2 3 2 2" xfId="7320" xr:uid="{00000000-0005-0000-0000-00007C150000}"/>
    <cellStyle name="Normal 4 4 3 2 3 2 2 2" xfId="25946" xr:uid="{AF733D2B-8876-4FD7-973C-29AF7EF268E1}"/>
    <cellStyle name="Normal 4 4 3 2 3 2 2 3" xfId="34393" xr:uid="{FE9BBE18-E613-4C59-A7E6-43E1B2A80A37}"/>
    <cellStyle name="Normal 4 4 3 2 3 2 2 4" xfId="42840" xr:uid="{F9B109DF-DEE6-4DC8-A467-4937168D9786}"/>
    <cellStyle name="Normal 4 4 3 2 3 2 2 5" xfId="16646" xr:uid="{8192E148-E423-42B0-A6A1-BFEA05776D8D}"/>
    <cellStyle name="Normal 4 4 3 2 3 2 3" xfId="21729" xr:uid="{C87FDDDE-6E15-4EBD-8A14-E8897EC539DE}"/>
    <cellStyle name="Normal 4 4 3 2 3 2 4" xfId="30176" xr:uid="{B655258C-3260-41B6-9F07-2AC191B1678D}"/>
    <cellStyle name="Normal 4 4 3 2 3 2 5" xfId="38623" xr:uid="{DAB876D1-5B79-4D4E-A11B-BB62C2895A54}"/>
    <cellStyle name="Normal 4 4 3 2 3 2 6" xfId="12429" xr:uid="{EF2C9843-231F-4BB1-9FB5-E092CDF266D1}"/>
    <cellStyle name="Normal 4 4 3 2 3 3" xfId="5175" xr:uid="{00000000-0005-0000-0000-00007D150000}"/>
    <cellStyle name="Normal 4 4 3 2 3 3 2" xfId="23801" xr:uid="{BD2EED6A-CF17-4236-90B0-EEAA04B29C88}"/>
    <cellStyle name="Normal 4 4 3 2 3 3 3" xfId="32248" xr:uid="{C78E59C6-566A-461F-B0F2-29722946E1F5}"/>
    <cellStyle name="Normal 4 4 3 2 3 3 4" xfId="40695" xr:uid="{8382D51F-25F8-49F5-926B-B2E6073479DF}"/>
    <cellStyle name="Normal 4 4 3 2 3 3 5" xfId="14501" xr:uid="{5FDBC8E9-A772-42CA-BDB4-B233A59B1760}"/>
    <cellStyle name="Normal 4 4 3 2 3 4" xfId="9351" xr:uid="{51AD2B95-755A-411D-AA40-98381F5D8294}"/>
    <cellStyle name="Normal 4 4 3 2 3 4 2" xfId="18667" xr:uid="{B9FD6970-344B-4D5B-B451-648E1561F727}"/>
    <cellStyle name="Normal 4 4 3 2 3 5" xfId="19584" xr:uid="{5FF8954E-689A-49F0-9913-482EA063681A}"/>
    <cellStyle name="Normal 4 4 3 2 3 6" xfId="28031" xr:uid="{D023FA6E-065D-4873-ADF0-D397833501E6}"/>
    <cellStyle name="Normal 4 4 3 2 3 7" xfId="36478" xr:uid="{D269141D-79B6-45E3-87B3-4B2DC350BE74}"/>
    <cellStyle name="Normal 4 4 3 2 3 8" xfId="10284" xr:uid="{27A54F22-26DA-4B3A-9794-870D4CA94E2C}"/>
    <cellStyle name="Normal 4 4 3 2 4" xfId="1281" xr:uid="{00000000-0005-0000-0000-00007E150000}"/>
    <cellStyle name="Normal 4 4 3 2 4 2" xfId="3511" xr:uid="{00000000-0005-0000-0000-00007F150000}"/>
    <cellStyle name="Normal 4 4 3 2 4 2 2" xfId="7733" xr:uid="{00000000-0005-0000-0000-000080150000}"/>
    <cellStyle name="Normal 4 4 3 2 4 2 2 2" xfId="26359" xr:uid="{48F61531-369A-4749-9668-D1E29957E35D}"/>
    <cellStyle name="Normal 4 4 3 2 4 2 2 3" xfId="34806" xr:uid="{F9C5CDCA-353F-4D5F-BDFF-F0DCA8F24B35}"/>
    <cellStyle name="Normal 4 4 3 2 4 2 2 4" xfId="43253" xr:uid="{EEA0D3F0-918C-4725-9C4D-1AD0B987E280}"/>
    <cellStyle name="Normal 4 4 3 2 4 2 2 5" xfId="17059" xr:uid="{26526FF9-52A8-4D7A-8ED7-E7B9E2A0CBB2}"/>
    <cellStyle name="Normal 4 4 3 2 4 2 3" xfId="22142" xr:uid="{A396BDAE-C4FF-47AB-8769-EA17E137A90C}"/>
    <cellStyle name="Normal 4 4 3 2 4 2 4" xfId="30589" xr:uid="{C28C3D68-95CB-4C68-9C2C-CA711563BB24}"/>
    <cellStyle name="Normal 4 4 3 2 4 2 5" xfId="39036" xr:uid="{ECF494D6-849E-42DC-8BDD-1B497234D6E0}"/>
    <cellStyle name="Normal 4 4 3 2 4 2 6" xfId="12842" xr:uid="{B159D127-7C31-471C-BD58-0C6605372658}"/>
    <cellStyle name="Normal 4 4 3 2 4 3" xfId="5588" xr:uid="{00000000-0005-0000-0000-000081150000}"/>
    <cellStyle name="Normal 4 4 3 2 4 3 2" xfId="24214" xr:uid="{22D87FDF-7A2E-4393-9FEC-4DB8523196FA}"/>
    <cellStyle name="Normal 4 4 3 2 4 3 3" xfId="32661" xr:uid="{776C6614-149F-4D34-9BED-AC0ADEFC9448}"/>
    <cellStyle name="Normal 4 4 3 2 4 3 4" xfId="41108" xr:uid="{ED1F266E-3956-4E13-B733-D6309659EA6C}"/>
    <cellStyle name="Normal 4 4 3 2 4 3 5" xfId="14914" xr:uid="{452FE68C-7796-4CA2-A7C0-4D15ADCACC16}"/>
    <cellStyle name="Normal 4 4 3 2 4 4" xfId="19997" xr:uid="{79C49807-0C99-49BD-A9C7-4A9D95D891CC}"/>
    <cellStyle name="Normal 4 4 3 2 4 5" xfId="28444" xr:uid="{F7AEC5E4-4EDD-40D2-AAD6-B60DF90CC15D}"/>
    <cellStyle name="Normal 4 4 3 2 4 6" xfId="36891" xr:uid="{26548C51-02A8-49DB-A8E5-31E533A8F6A1}"/>
    <cellStyle name="Normal 4 4 3 2 4 7" xfId="10697" xr:uid="{3D470657-47DD-4255-9114-74A927EFD736}"/>
    <cellStyle name="Normal 4 4 3 2 5" xfId="1694" xr:uid="{00000000-0005-0000-0000-000082150000}"/>
    <cellStyle name="Normal 4 4 3 2 5 2" xfId="3924" xr:uid="{00000000-0005-0000-0000-000083150000}"/>
    <cellStyle name="Normal 4 4 3 2 5 2 2" xfId="8146" xr:uid="{00000000-0005-0000-0000-000084150000}"/>
    <cellStyle name="Normal 4 4 3 2 5 2 2 2" xfId="26772" xr:uid="{0DFEAF13-8A38-4FDA-8FB3-F68E0A64A79B}"/>
    <cellStyle name="Normal 4 4 3 2 5 2 2 3" xfId="35219" xr:uid="{2BDD9DEC-F33B-4968-B769-7C1367CA9D21}"/>
    <cellStyle name="Normal 4 4 3 2 5 2 2 4" xfId="43666" xr:uid="{8279E6B9-C806-4093-8DCA-B726A7639C63}"/>
    <cellStyle name="Normal 4 4 3 2 5 2 2 5" xfId="17472" xr:uid="{904B93CE-9487-4338-A21E-55CFB2505125}"/>
    <cellStyle name="Normal 4 4 3 2 5 2 3" xfId="22555" xr:uid="{B5FF2C32-50DC-4321-9FD6-2939BC629275}"/>
    <cellStyle name="Normal 4 4 3 2 5 2 4" xfId="31002" xr:uid="{28ED1B6B-548B-409C-A9D3-F127D4414AA6}"/>
    <cellStyle name="Normal 4 4 3 2 5 2 5" xfId="39449" xr:uid="{EB6245A2-8907-4AE1-830B-0C16ED2B4992}"/>
    <cellStyle name="Normal 4 4 3 2 5 2 6" xfId="13255" xr:uid="{BF42B82C-8EDE-4BEB-899E-62A9B42D8718}"/>
    <cellStyle name="Normal 4 4 3 2 5 3" xfId="6001" xr:uid="{00000000-0005-0000-0000-000085150000}"/>
    <cellStyle name="Normal 4 4 3 2 5 3 2" xfId="24627" xr:uid="{F1C2FD20-1105-408E-8C7A-F19B46B2DCD6}"/>
    <cellStyle name="Normal 4 4 3 2 5 3 3" xfId="33074" xr:uid="{7A3BCB44-10EB-4DF0-90CB-4FE42EC297AE}"/>
    <cellStyle name="Normal 4 4 3 2 5 3 4" xfId="41521" xr:uid="{234E2155-6806-4DF3-A950-E8ACB011FAD1}"/>
    <cellStyle name="Normal 4 4 3 2 5 3 5" xfId="15327" xr:uid="{71359203-AE7C-4249-8F26-E32DB2BAF799}"/>
    <cellStyle name="Normal 4 4 3 2 5 4" xfId="20410" xr:uid="{90E94BA3-1FC0-4AF4-88C4-195B0FC24957}"/>
    <cellStyle name="Normal 4 4 3 2 5 5" xfId="28857" xr:uid="{9112FBB0-784B-4FCA-89DD-AF749764D7E0}"/>
    <cellStyle name="Normal 4 4 3 2 5 6" xfId="37304" xr:uid="{62125135-1DB4-4883-A03B-55994F3892F8}"/>
    <cellStyle name="Normal 4 4 3 2 5 7" xfId="11110" xr:uid="{8D73BF14-0DC5-49EE-8BF3-FCD8465E1101}"/>
    <cellStyle name="Normal 4 4 3 2 6" xfId="2108" xr:uid="{00000000-0005-0000-0000-000086150000}"/>
    <cellStyle name="Normal 4 4 3 2 6 2" xfId="4337" xr:uid="{00000000-0005-0000-0000-000087150000}"/>
    <cellStyle name="Normal 4 4 3 2 6 2 2" xfId="8559" xr:uid="{00000000-0005-0000-0000-000088150000}"/>
    <cellStyle name="Normal 4 4 3 2 6 2 2 2" xfId="27185" xr:uid="{67925ED4-0089-4A38-B6FB-7C0074BA088F}"/>
    <cellStyle name="Normal 4 4 3 2 6 2 2 3" xfId="35632" xr:uid="{A31B4B6F-937A-4F64-ACBB-F53E9BD22A50}"/>
    <cellStyle name="Normal 4 4 3 2 6 2 2 4" xfId="44079" xr:uid="{0AF6E236-7FF3-4EA0-B8F3-228AC2EA6696}"/>
    <cellStyle name="Normal 4 4 3 2 6 2 2 5" xfId="17885" xr:uid="{98730942-61E2-4561-870F-65098BFAB07C}"/>
    <cellStyle name="Normal 4 4 3 2 6 2 3" xfId="22968" xr:uid="{12E9E5EA-251B-420A-BF4E-432A4FEEB0E5}"/>
    <cellStyle name="Normal 4 4 3 2 6 2 4" xfId="31415" xr:uid="{95C13FB5-C905-445E-99FF-C4A3B9F1FCA4}"/>
    <cellStyle name="Normal 4 4 3 2 6 2 5" xfId="39862" xr:uid="{6627551C-FDCC-42A9-A576-FCADF729B3CF}"/>
    <cellStyle name="Normal 4 4 3 2 6 2 6" xfId="13668" xr:uid="{8ED14366-41CF-44BA-AB09-21AA78E4479C}"/>
    <cellStyle name="Normal 4 4 3 2 6 3" xfId="6414" xr:uid="{00000000-0005-0000-0000-000089150000}"/>
    <cellStyle name="Normal 4 4 3 2 6 3 2" xfId="25040" xr:uid="{B768D638-E83F-4012-86EF-FFDB44E9DDA1}"/>
    <cellStyle name="Normal 4 4 3 2 6 3 3" xfId="33487" xr:uid="{31A3B2FE-2868-4C1C-84E0-9739CF4C798F}"/>
    <cellStyle name="Normal 4 4 3 2 6 3 4" xfId="41934" xr:uid="{363DF67A-C412-4B7E-86AC-63EAB7829811}"/>
    <cellStyle name="Normal 4 4 3 2 6 3 5" xfId="15740" xr:uid="{3FF6629F-3D7B-4622-B6DE-289E50387478}"/>
    <cellStyle name="Normal 4 4 3 2 6 4" xfId="20823" xr:uid="{0A3D1AC9-E3A4-4D84-97F4-083F6DAC51FA}"/>
    <cellStyle name="Normal 4 4 3 2 6 5" xfId="29270" xr:uid="{A3E9211F-53F1-4C08-B7E4-8E4C49322BBA}"/>
    <cellStyle name="Normal 4 4 3 2 6 6" xfId="37717" xr:uid="{F6AA8CF9-B895-4B5D-BA16-F1A196593C8F}"/>
    <cellStyle name="Normal 4 4 3 2 6 7" xfId="11523" xr:uid="{5ECC5251-ADFB-4A97-9768-9ED19099EF88}"/>
    <cellStyle name="Normal 4 4 3 2 7" xfId="2544" xr:uid="{00000000-0005-0000-0000-00008A150000}"/>
    <cellStyle name="Normal 4 4 3 2 7 2" xfId="6827" xr:uid="{00000000-0005-0000-0000-00008B150000}"/>
    <cellStyle name="Normal 4 4 3 2 7 2 2" xfId="25453" xr:uid="{FE8A68D9-4DB6-4EC3-B7BD-F51FFE479B10}"/>
    <cellStyle name="Normal 4 4 3 2 7 2 3" xfId="33900" xr:uid="{2309C9E1-190D-47D5-AC1F-D2211C5E8312}"/>
    <cellStyle name="Normal 4 4 3 2 7 2 4" xfId="42347" xr:uid="{4E05881B-CAFE-4EA3-95A3-A2B00A40EEF5}"/>
    <cellStyle name="Normal 4 4 3 2 7 2 5" xfId="16153" xr:uid="{004D924A-066C-4B7B-A6FA-084E4D71FA89}"/>
    <cellStyle name="Normal 4 4 3 2 7 3" xfId="21236" xr:uid="{7781756A-B7C6-4D55-B1F7-59F245B661E2}"/>
    <cellStyle name="Normal 4 4 3 2 7 4" xfId="29683" xr:uid="{2ECA1B5E-366D-4684-9047-1A4C68624749}"/>
    <cellStyle name="Normal 4 4 3 2 7 5" xfId="38130" xr:uid="{A65BA1D9-E976-480B-B9D9-04B6F7BD8281}"/>
    <cellStyle name="Normal 4 4 3 2 7 6" xfId="11936" xr:uid="{64799A91-AA59-4A6C-BE6B-86932FCA98C0}"/>
    <cellStyle name="Normal 4 4 3 2 8" xfId="4762" xr:uid="{00000000-0005-0000-0000-00008C150000}"/>
    <cellStyle name="Normal 4 4 3 2 8 2" xfId="23388" xr:uid="{CDBDFC08-CD1F-4963-AEE5-807D1B08E895}"/>
    <cellStyle name="Normal 4 4 3 2 8 3" xfId="31835" xr:uid="{4C1C2413-467D-4E43-A641-91D91ADA84D3}"/>
    <cellStyle name="Normal 4 4 3 2 8 4" xfId="40282" xr:uid="{FE6363C4-376A-4545-814B-3A2DC624C026}"/>
    <cellStyle name="Normal 4 4 3 2 8 5" xfId="14088" xr:uid="{BEFE73DF-9AD7-485E-B285-7CEF337ED52B}"/>
    <cellStyle name="Normal 4 4 3 2 9" xfId="8926" xr:uid="{821D1F47-EF8D-4C64-BA70-5606A81A57B5}"/>
    <cellStyle name="Normal 4 4 3 2 9 2" xfId="18250" xr:uid="{D33AA145-0E38-4EF2-BFB5-FAB390BA002A}"/>
    <cellStyle name="Normal 4 4 3 3" xfId="390" xr:uid="{00000000-0005-0000-0000-00008D150000}"/>
    <cellStyle name="Normal 4 4 3 3 10" xfId="27620" xr:uid="{E4588F29-D33A-444F-835A-6BA58393EA79}"/>
    <cellStyle name="Normal 4 4 3 3 11" xfId="36067" xr:uid="{31FC11BA-EEBF-448A-A5E0-CE3F5C0429B4}"/>
    <cellStyle name="Normal 4 4 3 3 12" xfId="9873" xr:uid="{36634A71-5C8D-4C03-A569-ECF300B6FDBE}"/>
    <cellStyle name="Normal 4 4 3 3 2" xfId="865" xr:uid="{00000000-0005-0000-0000-00008E150000}"/>
    <cellStyle name="Normal 4 4 3 3 2 2" xfId="3100" xr:uid="{00000000-0005-0000-0000-00008F150000}"/>
    <cellStyle name="Normal 4 4 3 3 2 2 2" xfId="7322" xr:uid="{00000000-0005-0000-0000-000090150000}"/>
    <cellStyle name="Normal 4 4 3 3 2 2 2 2" xfId="25948" xr:uid="{7588C130-4ACD-4173-939C-F5FBAB9C3C07}"/>
    <cellStyle name="Normal 4 4 3 3 2 2 2 3" xfId="34395" xr:uid="{125D286B-5D97-44C6-A401-EAA80FCCFCA3}"/>
    <cellStyle name="Normal 4 4 3 3 2 2 2 4" xfId="42842" xr:uid="{58DA889B-C25B-449B-8FE6-12BE7D245440}"/>
    <cellStyle name="Normal 4 4 3 3 2 2 2 5" xfId="16648" xr:uid="{0BFC7BB6-E8B6-4CA6-A7F6-64FF0D841BA9}"/>
    <cellStyle name="Normal 4 4 3 3 2 2 3" xfId="21731" xr:uid="{92B3567E-20FE-4741-9E0F-DE86631747AF}"/>
    <cellStyle name="Normal 4 4 3 3 2 2 4" xfId="30178" xr:uid="{83298463-8185-479A-B0A9-0FB6976095D9}"/>
    <cellStyle name="Normal 4 4 3 3 2 2 5" xfId="38625" xr:uid="{96431B38-FE71-4900-ACDE-93FA76DB1BFA}"/>
    <cellStyle name="Normal 4 4 3 3 2 2 6" xfId="12431" xr:uid="{F66D3C62-7510-4443-9949-6B6DEFF1342F}"/>
    <cellStyle name="Normal 4 4 3 3 2 3" xfId="5177" xr:uid="{00000000-0005-0000-0000-000091150000}"/>
    <cellStyle name="Normal 4 4 3 3 2 3 2" xfId="23803" xr:uid="{7237CBEC-145C-4F40-802A-CE1BFFADDD7C}"/>
    <cellStyle name="Normal 4 4 3 3 2 3 3" xfId="32250" xr:uid="{CC88CB9E-00A7-434F-AB7E-A0BBADC7C3EF}"/>
    <cellStyle name="Normal 4 4 3 3 2 3 4" xfId="40697" xr:uid="{806FE4A9-5252-43BC-A118-3DBC9C3DC6FA}"/>
    <cellStyle name="Normal 4 4 3 3 2 3 5" xfId="14503" xr:uid="{1D4B8D2C-3ADC-433E-B3AB-800865CFC26C}"/>
    <cellStyle name="Normal 4 4 3 3 2 4" xfId="9455" xr:uid="{E39EB3A2-D99A-426C-AFEC-E4C90C85BE02}"/>
    <cellStyle name="Normal 4 4 3 3 2 4 2" xfId="18771" xr:uid="{C6CA934C-F3E6-4CFB-8A8B-6013DEC0941B}"/>
    <cellStyle name="Normal 4 4 3 3 2 5" xfId="19586" xr:uid="{9FC45D3C-4B7B-45E4-9610-816D67769A8E}"/>
    <cellStyle name="Normal 4 4 3 3 2 6" xfId="28033" xr:uid="{DEE9C023-CE3F-455F-BF42-D3F73F3FAA28}"/>
    <cellStyle name="Normal 4 4 3 3 2 7" xfId="36480" xr:uid="{F035647A-BA94-4EC6-BCAF-78CF2E24EDF9}"/>
    <cellStyle name="Normal 4 4 3 3 2 8" xfId="10286" xr:uid="{6DA2FF03-6EF9-4268-A217-482470CF942C}"/>
    <cellStyle name="Normal 4 4 3 3 3" xfId="1283" xr:uid="{00000000-0005-0000-0000-000092150000}"/>
    <cellStyle name="Normal 4 4 3 3 3 2" xfId="3513" xr:uid="{00000000-0005-0000-0000-000093150000}"/>
    <cellStyle name="Normal 4 4 3 3 3 2 2" xfId="7735" xr:uid="{00000000-0005-0000-0000-000094150000}"/>
    <cellStyle name="Normal 4 4 3 3 3 2 2 2" xfId="26361" xr:uid="{9719E039-4000-4AA9-A6C9-C5E4414F21C6}"/>
    <cellStyle name="Normal 4 4 3 3 3 2 2 3" xfId="34808" xr:uid="{A73B3552-33CD-491A-80D1-5A8CA0B9E8D1}"/>
    <cellStyle name="Normal 4 4 3 3 3 2 2 4" xfId="43255" xr:uid="{D405CF23-4267-45F7-8476-7307D4F19505}"/>
    <cellStyle name="Normal 4 4 3 3 3 2 2 5" xfId="17061" xr:uid="{DAE341C6-D2E0-43FC-8581-D0FA48D4403F}"/>
    <cellStyle name="Normal 4 4 3 3 3 2 3" xfId="22144" xr:uid="{E99F5447-FC0F-458B-80BF-37FC24FA61EC}"/>
    <cellStyle name="Normal 4 4 3 3 3 2 4" xfId="30591" xr:uid="{2F15E988-60F2-43FE-890B-9076F9A08C12}"/>
    <cellStyle name="Normal 4 4 3 3 3 2 5" xfId="39038" xr:uid="{13C2F59B-AA68-4D28-AC7A-9FDA8AAB3ADC}"/>
    <cellStyle name="Normal 4 4 3 3 3 2 6" xfId="12844" xr:uid="{EAD270C0-C54E-4435-8B43-C6155A801926}"/>
    <cellStyle name="Normal 4 4 3 3 3 3" xfId="5590" xr:uid="{00000000-0005-0000-0000-000095150000}"/>
    <cellStyle name="Normal 4 4 3 3 3 3 2" xfId="24216" xr:uid="{6AC755B5-991F-49FD-BB06-726C6979E39F}"/>
    <cellStyle name="Normal 4 4 3 3 3 3 3" xfId="32663" xr:uid="{0037DF3A-F0C4-4596-BB79-7AF14C077649}"/>
    <cellStyle name="Normal 4 4 3 3 3 3 4" xfId="41110" xr:uid="{694511A9-5D15-4474-8FAD-84AB071D14DD}"/>
    <cellStyle name="Normal 4 4 3 3 3 3 5" xfId="14916" xr:uid="{A642CC11-5A29-4FA2-8BE4-C1C1180FC6C7}"/>
    <cellStyle name="Normal 4 4 3 3 3 4" xfId="19999" xr:uid="{8D05841F-5EA3-457F-9058-281779A62182}"/>
    <cellStyle name="Normal 4 4 3 3 3 5" xfId="28446" xr:uid="{5BE372AF-E9AF-4481-AA6F-B76A4A2E66B7}"/>
    <cellStyle name="Normal 4 4 3 3 3 6" xfId="36893" xr:uid="{8BAE88ED-27EF-492B-8A1D-E3351E2BEA4C}"/>
    <cellStyle name="Normal 4 4 3 3 3 7" xfId="10699" xr:uid="{25BDD84E-FD91-4158-B512-403235A8D293}"/>
    <cellStyle name="Normal 4 4 3 3 4" xfId="1696" xr:uid="{00000000-0005-0000-0000-000096150000}"/>
    <cellStyle name="Normal 4 4 3 3 4 2" xfId="3926" xr:uid="{00000000-0005-0000-0000-000097150000}"/>
    <cellStyle name="Normal 4 4 3 3 4 2 2" xfId="8148" xr:uid="{00000000-0005-0000-0000-000098150000}"/>
    <cellStyle name="Normal 4 4 3 3 4 2 2 2" xfId="26774" xr:uid="{2FAF357F-6C95-4250-A3BF-F9392C310C38}"/>
    <cellStyle name="Normal 4 4 3 3 4 2 2 3" xfId="35221" xr:uid="{C8808930-7006-478D-816C-126B11195B64}"/>
    <cellStyle name="Normal 4 4 3 3 4 2 2 4" xfId="43668" xr:uid="{D1E9E2F0-8312-402B-A1AC-89340903FF73}"/>
    <cellStyle name="Normal 4 4 3 3 4 2 2 5" xfId="17474" xr:uid="{B48E8183-10D9-4740-8C1C-A501746A83FC}"/>
    <cellStyle name="Normal 4 4 3 3 4 2 3" xfId="22557" xr:uid="{DEEF046B-7D45-43DB-A793-038F78324F86}"/>
    <cellStyle name="Normal 4 4 3 3 4 2 4" xfId="31004" xr:uid="{27E822AC-A03C-4704-9C99-EBCE61DE2FF8}"/>
    <cellStyle name="Normal 4 4 3 3 4 2 5" xfId="39451" xr:uid="{31A5771B-C1F2-42D5-934C-1E5F8D769C60}"/>
    <cellStyle name="Normal 4 4 3 3 4 2 6" xfId="13257" xr:uid="{ACB0E31B-82AA-4F07-A055-4DBE8C27E725}"/>
    <cellStyle name="Normal 4 4 3 3 4 3" xfId="6003" xr:uid="{00000000-0005-0000-0000-000099150000}"/>
    <cellStyle name="Normal 4 4 3 3 4 3 2" xfId="24629" xr:uid="{02D53943-513E-4631-A00C-4EC8B93EBF62}"/>
    <cellStyle name="Normal 4 4 3 3 4 3 3" xfId="33076" xr:uid="{514739E4-6EB0-410D-BB2A-93AFE71CFE75}"/>
    <cellStyle name="Normal 4 4 3 3 4 3 4" xfId="41523" xr:uid="{98C066DD-EC15-4C3E-9C7C-6645E41B684D}"/>
    <cellStyle name="Normal 4 4 3 3 4 3 5" xfId="15329" xr:uid="{F3D2EBFB-6A90-45D1-8B14-CDCFA384C70A}"/>
    <cellStyle name="Normal 4 4 3 3 4 4" xfId="20412" xr:uid="{024C3133-E3B7-4568-9A76-83ABF0C640B4}"/>
    <cellStyle name="Normal 4 4 3 3 4 5" xfId="28859" xr:uid="{1537FD26-1593-49B6-8E88-6C76D0FB97D6}"/>
    <cellStyle name="Normal 4 4 3 3 4 6" xfId="37306" xr:uid="{A3C96AB6-3F50-4ED0-B4B9-80FDD5159F79}"/>
    <cellStyle name="Normal 4 4 3 3 4 7" xfId="11112" xr:uid="{B2DAA4B5-8403-48E6-A97D-58C91DFD5445}"/>
    <cellStyle name="Normal 4 4 3 3 5" xfId="2110" xr:uid="{00000000-0005-0000-0000-00009A150000}"/>
    <cellStyle name="Normal 4 4 3 3 5 2" xfId="4339" xr:uid="{00000000-0005-0000-0000-00009B150000}"/>
    <cellStyle name="Normal 4 4 3 3 5 2 2" xfId="8561" xr:uid="{00000000-0005-0000-0000-00009C150000}"/>
    <cellStyle name="Normal 4 4 3 3 5 2 2 2" xfId="27187" xr:uid="{A7E209A7-A881-4028-868E-7AFBC91D28D2}"/>
    <cellStyle name="Normal 4 4 3 3 5 2 2 3" xfId="35634" xr:uid="{7783CD31-3A2D-4806-8862-E5C935C17C1A}"/>
    <cellStyle name="Normal 4 4 3 3 5 2 2 4" xfId="44081" xr:uid="{C9AE911E-FD4B-4C3E-88B9-FCE95C49F2E2}"/>
    <cellStyle name="Normal 4 4 3 3 5 2 2 5" xfId="17887" xr:uid="{083027A8-52AB-4498-BEA7-9B7E1B8FBD7E}"/>
    <cellStyle name="Normal 4 4 3 3 5 2 3" xfId="22970" xr:uid="{6E9412BE-D8A3-4C7C-BABE-B50960A23D16}"/>
    <cellStyle name="Normal 4 4 3 3 5 2 4" xfId="31417" xr:uid="{8279EB7C-15F4-4B88-89D6-C9F7D270F76E}"/>
    <cellStyle name="Normal 4 4 3 3 5 2 5" xfId="39864" xr:uid="{D4942EE8-A0AC-427B-914D-E343440A4092}"/>
    <cellStyle name="Normal 4 4 3 3 5 2 6" xfId="13670" xr:uid="{710987F3-E2BF-4624-985F-A17A9BDAC162}"/>
    <cellStyle name="Normal 4 4 3 3 5 3" xfId="6416" xr:uid="{00000000-0005-0000-0000-00009D150000}"/>
    <cellStyle name="Normal 4 4 3 3 5 3 2" xfId="25042" xr:uid="{5C8CDFA6-BF40-4669-9B4B-09CCF65028BE}"/>
    <cellStyle name="Normal 4 4 3 3 5 3 3" xfId="33489" xr:uid="{792F5D91-02F4-4306-B4CA-6A5040A0991B}"/>
    <cellStyle name="Normal 4 4 3 3 5 3 4" xfId="41936" xr:uid="{C455E20A-D070-4F11-B03C-D95F412806E1}"/>
    <cellStyle name="Normal 4 4 3 3 5 3 5" xfId="15742" xr:uid="{9981351C-6412-4D28-805A-EED4A1160EEC}"/>
    <cellStyle name="Normal 4 4 3 3 5 4" xfId="20825" xr:uid="{DEF8BDA4-C9FD-4DA4-BFEA-12BC3EB4A923}"/>
    <cellStyle name="Normal 4 4 3 3 5 5" xfId="29272" xr:uid="{DB913259-E78C-4835-A7CF-16A067299A2E}"/>
    <cellStyle name="Normal 4 4 3 3 5 6" xfId="37719" xr:uid="{41B806C3-CA99-4523-B1C8-E1D97CE69EDD}"/>
    <cellStyle name="Normal 4 4 3 3 5 7" xfId="11525" xr:uid="{C6CC05B8-B704-4D90-8E27-B770DC51C8A1}"/>
    <cellStyle name="Normal 4 4 3 3 6" xfId="2546" xr:uid="{00000000-0005-0000-0000-00009E150000}"/>
    <cellStyle name="Normal 4 4 3 3 6 2" xfId="6829" xr:uid="{00000000-0005-0000-0000-00009F150000}"/>
    <cellStyle name="Normal 4 4 3 3 6 2 2" xfId="25455" xr:uid="{8F8D8370-EF74-4A54-8767-4D410BD3958C}"/>
    <cellStyle name="Normal 4 4 3 3 6 2 3" xfId="33902" xr:uid="{6D0C2842-F7AE-4091-8B91-FF929CF4AA50}"/>
    <cellStyle name="Normal 4 4 3 3 6 2 4" xfId="42349" xr:uid="{33DADDDD-EE63-483F-96B7-62A7D26C89B6}"/>
    <cellStyle name="Normal 4 4 3 3 6 2 5" xfId="16155" xr:uid="{9D44553C-4617-486B-9D55-869266427417}"/>
    <cellStyle name="Normal 4 4 3 3 6 3" xfId="21238" xr:uid="{DDF0BA0F-898E-439D-8879-F8E30F075E9F}"/>
    <cellStyle name="Normal 4 4 3 3 6 4" xfId="29685" xr:uid="{46701587-9594-44A4-9A58-19340D7A7BB5}"/>
    <cellStyle name="Normal 4 4 3 3 6 5" xfId="38132" xr:uid="{2329EF5F-F29F-4F08-A533-E00AECEE60A4}"/>
    <cellStyle name="Normal 4 4 3 3 6 6" xfId="11938" xr:uid="{B1AF60C3-3294-4C80-AB13-A2A7E6F92BD4}"/>
    <cellStyle name="Normal 4 4 3 3 7" xfId="4764" xr:uid="{00000000-0005-0000-0000-0000A0150000}"/>
    <cellStyle name="Normal 4 4 3 3 7 2" xfId="23390" xr:uid="{5CBD9530-E954-4091-9795-CFC8F0E8B684}"/>
    <cellStyle name="Normal 4 4 3 3 7 3" xfId="31837" xr:uid="{AEEE98A9-AE83-413C-924D-8AE64D6AB5BC}"/>
    <cellStyle name="Normal 4 4 3 3 7 4" xfId="40284" xr:uid="{830946CC-93CC-4A57-B5C3-D04D8C0E2477}"/>
    <cellStyle name="Normal 4 4 3 3 7 5" xfId="14090" xr:uid="{DACA4B24-1B9B-4B7C-BCD0-7A86F531CED6}"/>
    <cellStyle name="Normal 4 4 3 3 8" xfId="9030" xr:uid="{F975DAAD-4546-4770-9976-5C5C66DA227B}"/>
    <cellStyle name="Normal 4 4 3 3 8 2" xfId="18354" xr:uid="{2F653E8A-0A3E-40A5-A6A8-C50A9F6A9C0D}"/>
    <cellStyle name="Normal 4 4 3 3 9" xfId="19173" xr:uid="{217EB8DC-A90D-4DED-9BD9-B478A185BA45}"/>
    <cellStyle name="Normal 4 4 3 4" xfId="862" xr:uid="{00000000-0005-0000-0000-0000A1150000}"/>
    <cellStyle name="Normal 4 4 3 4 2" xfId="3097" xr:uid="{00000000-0005-0000-0000-0000A2150000}"/>
    <cellStyle name="Normal 4 4 3 4 2 2" xfId="7319" xr:uid="{00000000-0005-0000-0000-0000A3150000}"/>
    <cellStyle name="Normal 4 4 3 4 2 2 2" xfId="25945" xr:uid="{B0EE2594-BBA3-46E6-88DE-6099146710ED}"/>
    <cellStyle name="Normal 4 4 3 4 2 2 3" xfId="34392" xr:uid="{06A722FD-8994-4CE6-89E9-183E43314630}"/>
    <cellStyle name="Normal 4 4 3 4 2 2 4" xfId="42839" xr:uid="{B5DD6E2B-9183-4949-86FE-1F0F55DEF495}"/>
    <cellStyle name="Normal 4 4 3 4 2 2 5" xfId="16645" xr:uid="{52B247D2-2C90-41C1-B81F-02A8060ACC7D}"/>
    <cellStyle name="Normal 4 4 3 4 2 3" xfId="21728" xr:uid="{61950E06-5D11-4293-A284-F5D54E62810D}"/>
    <cellStyle name="Normal 4 4 3 4 2 4" xfId="30175" xr:uid="{14737261-972D-4A12-AFD2-80A519301A18}"/>
    <cellStyle name="Normal 4 4 3 4 2 5" xfId="38622" xr:uid="{D3751CFA-ED4D-4142-84A6-9EF21D1B2D0A}"/>
    <cellStyle name="Normal 4 4 3 4 2 6" xfId="12428" xr:uid="{9783753E-4671-4A53-AD90-DB27058EFA4A}"/>
    <cellStyle name="Normal 4 4 3 4 3" xfId="5174" xr:uid="{00000000-0005-0000-0000-0000A4150000}"/>
    <cellStyle name="Normal 4 4 3 4 3 2" xfId="23800" xr:uid="{287A3C5C-9BCB-4C39-93DC-290D9BC390CF}"/>
    <cellStyle name="Normal 4 4 3 4 3 3" xfId="32247" xr:uid="{96B77653-20F5-4479-B6D2-BB941231D8BA}"/>
    <cellStyle name="Normal 4 4 3 4 3 4" xfId="40694" xr:uid="{EA5F3C1D-0718-4A9F-8B6E-8CC9E421EB2F}"/>
    <cellStyle name="Normal 4 4 3 4 3 5" xfId="14500" xr:uid="{DAD43430-7054-4A57-988F-1FDD13899F2C}"/>
    <cellStyle name="Normal 4 4 3 4 4" xfId="9248" xr:uid="{6C5F877B-48E6-47C2-B849-E53F373D5A86}"/>
    <cellStyle name="Normal 4 4 3 4 4 2" xfId="18564" xr:uid="{984383D3-8D82-43E1-8A89-C5A2CE45CE15}"/>
    <cellStyle name="Normal 4 4 3 4 5" xfId="19583" xr:uid="{4FB61AC4-813F-4AC2-BB3E-FBA8F9C4526D}"/>
    <cellStyle name="Normal 4 4 3 4 6" xfId="28030" xr:uid="{B3E3CE74-EC72-4E7B-94DB-1B027C34EB2B}"/>
    <cellStyle name="Normal 4 4 3 4 7" xfId="36477" xr:uid="{A0BA4E8A-B4E7-4A61-BC52-6AD491246FE1}"/>
    <cellStyle name="Normal 4 4 3 4 8" xfId="10283" xr:uid="{5411D8EF-C868-4EC5-AABE-C0AEE70FE087}"/>
    <cellStyle name="Normal 4 4 3 5" xfId="1280" xr:uid="{00000000-0005-0000-0000-0000A5150000}"/>
    <cellStyle name="Normal 4 4 3 5 2" xfId="3510" xr:uid="{00000000-0005-0000-0000-0000A6150000}"/>
    <cellStyle name="Normal 4 4 3 5 2 2" xfId="7732" xr:uid="{00000000-0005-0000-0000-0000A7150000}"/>
    <cellStyle name="Normal 4 4 3 5 2 2 2" xfId="26358" xr:uid="{1E3E3987-0E0F-4264-821D-73E0AD822964}"/>
    <cellStyle name="Normal 4 4 3 5 2 2 3" xfId="34805" xr:uid="{FB70338A-AA29-4BF2-A899-36711B207497}"/>
    <cellStyle name="Normal 4 4 3 5 2 2 4" xfId="43252" xr:uid="{4D69EDA3-93D9-437D-AC34-0F62BF632351}"/>
    <cellStyle name="Normal 4 4 3 5 2 2 5" xfId="17058" xr:uid="{4498C9D6-239B-422F-84A5-9779338FC6AE}"/>
    <cellStyle name="Normal 4 4 3 5 2 3" xfId="22141" xr:uid="{767EA353-A9FD-42A1-BF11-FF597B79FD25}"/>
    <cellStyle name="Normal 4 4 3 5 2 4" xfId="30588" xr:uid="{B927A02F-4B04-425B-9BBA-05439C4D2F81}"/>
    <cellStyle name="Normal 4 4 3 5 2 5" xfId="39035" xr:uid="{755897BE-8FC8-4C38-9366-28D409AA3F31}"/>
    <cellStyle name="Normal 4 4 3 5 2 6" xfId="12841" xr:uid="{F57193EB-8A57-423A-B58E-8698A33AE65E}"/>
    <cellStyle name="Normal 4 4 3 5 3" xfId="5587" xr:uid="{00000000-0005-0000-0000-0000A8150000}"/>
    <cellStyle name="Normal 4 4 3 5 3 2" xfId="24213" xr:uid="{8F64E4C1-228A-4F09-87CA-BF6C7472D0C1}"/>
    <cellStyle name="Normal 4 4 3 5 3 3" xfId="32660" xr:uid="{59D652B8-3AD0-4F1A-B582-8658AED7D463}"/>
    <cellStyle name="Normal 4 4 3 5 3 4" xfId="41107" xr:uid="{FA237855-5ED6-4D32-8844-8C56D34F9A51}"/>
    <cellStyle name="Normal 4 4 3 5 3 5" xfId="14913" xr:uid="{E8016610-9B8E-45A5-98FA-BA7B9A703636}"/>
    <cellStyle name="Normal 4 4 3 5 4" xfId="19996" xr:uid="{03551045-8601-4AD6-91F3-046A290BF3CE}"/>
    <cellStyle name="Normal 4 4 3 5 5" xfId="28443" xr:uid="{FE591D79-5641-4D01-B1AA-D0E42005B07A}"/>
    <cellStyle name="Normal 4 4 3 5 6" xfId="36890" xr:uid="{4DF7EFAD-C1FF-493F-8B52-50E95F181164}"/>
    <cellStyle name="Normal 4 4 3 5 7" xfId="10696" xr:uid="{67F41AD4-370F-4D91-A43E-50AD2EDAC40C}"/>
    <cellStyle name="Normal 4 4 3 6" xfId="1693" xr:uid="{00000000-0005-0000-0000-0000A9150000}"/>
    <cellStyle name="Normal 4 4 3 6 2" xfId="3923" xr:uid="{00000000-0005-0000-0000-0000AA150000}"/>
    <cellStyle name="Normal 4 4 3 6 2 2" xfId="8145" xr:uid="{00000000-0005-0000-0000-0000AB150000}"/>
    <cellStyle name="Normal 4 4 3 6 2 2 2" xfId="26771" xr:uid="{C3F8520A-9C3E-46B2-81B1-AAC0BC8566FE}"/>
    <cellStyle name="Normal 4 4 3 6 2 2 3" xfId="35218" xr:uid="{1CACBF0E-09D8-4A40-92A3-30F6D1E5F867}"/>
    <cellStyle name="Normal 4 4 3 6 2 2 4" xfId="43665" xr:uid="{C5C5FC5C-4CA1-4C50-A059-4CF59DC09FD1}"/>
    <cellStyle name="Normal 4 4 3 6 2 2 5" xfId="17471" xr:uid="{0578D915-8122-423F-8171-0178B91272AE}"/>
    <cellStyle name="Normal 4 4 3 6 2 3" xfId="22554" xr:uid="{5BAEB497-2970-4E5F-8A96-E3AEC42AF449}"/>
    <cellStyle name="Normal 4 4 3 6 2 4" xfId="31001" xr:uid="{0C814C9F-D221-49EC-9816-61CBD3E67435}"/>
    <cellStyle name="Normal 4 4 3 6 2 5" xfId="39448" xr:uid="{AA2981B8-8967-49CA-9CB7-A8EDBAF17A77}"/>
    <cellStyle name="Normal 4 4 3 6 2 6" xfId="13254" xr:uid="{5A04BF06-FE91-4D4F-AA02-CE568043C4B6}"/>
    <cellStyle name="Normal 4 4 3 6 3" xfId="6000" xr:uid="{00000000-0005-0000-0000-0000AC150000}"/>
    <cellStyle name="Normal 4 4 3 6 3 2" xfId="24626" xr:uid="{9DB89767-1D12-4432-A043-1209D4041004}"/>
    <cellStyle name="Normal 4 4 3 6 3 3" xfId="33073" xr:uid="{3215C10D-30AF-4D7F-BDB6-8DCF812549C6}"/>
    <cellStyle name="Normal 4 4 3 6 3 4" xfId="41520" xr:uid="{A99D52C6-AAB8-4F2B-848A-757DAD063128}"/>
    <cellStyle name="Normal 4 4 3 6 3 5" xfId="15326" xr:uid="{96A63BAB-4F79-435B-80C4-428DADE0A565}"/>
    <cellStyle name="Normal 4 4 3 6 4" xfId="20409" xr:uid="{960F0C75-8979-4805-A6F0-64D6C8CCCE49}"/>
    <cellStyle name="Normal 4 4 3 6 5" xfId="28856" xr:uid="{82F4465A-4192-48A9-A2AE-294DD2D68725}"/>
    <cellStyle name="Normal 4 4 3 6 6" xfId="37303" xr:uid="{44B2383D-1509-4064-A616-88196EA85F70}"/>
    <cellStyle name="Normal 4 4 3 6 7" xfId="11109" xr:uid="{8281D9D3-641B-4D92-AC90-1DB858683E66}"/>
    <cellStyle name="Normal 4 4 3 7" xfId="2107" xr:uid="{00000000-0005-0000-0000-0000AD150000}"/>
    <cellStyle name="Normal 4 4 3 7 2" xfId="4336" xr:uid="{00000000-0005-0000-0000-0000AE150000}"/>
    <cellStyle name="Normal 4 4 3 7 2 2" xfId="8558" xr:uid="{00000000-0005-0000-0000-0000AF150000}"/>
    <cellStyle name="Normal 4 4 3 7 2 2 2" xfId="27184" xr:uid="{88B08F45-FB90-4141-9DD3-B61C51685B11}"/>
    <cellStyle name="Normal 4 4 3 7 2 2 3" xfId="35631" xr:uid="{D3879144-2394-4B7C-8C16-E2660E7E314B}"/>
    <cellStyle name="Normal 4 4 3 7 2 2 4" xfId="44078" xr:uid="{25A28A15-49EB-4200-AF3E-1DEFBCF0BC65}"/>
    <cellStyle name="Normal 4 4 3 7 2 2 5" xfId="17884" xr:uid="{EBDD9563-E33B-4003-8BF4-DCB2DA7E298C}"/>
    <cellStyle name="Normal 4 4 3 7 2 3" xfId="22967" xr:uid="{4B925E4F-2CDC-4112-BA36-B0734154B227}"/>
    <cellStyle name="Normal 4 4 3 7 2 4" xfId="31414" xr:uid="{B5942667-FB0D-4F1B-BDFA-90C1B04692DB}"/>
    <cellStyle name="Normal 4 4 3 7 2 5" xfId="39861" xr:uid="{EFDB2FFC-77FD-453C-9B96-11A84C26B8AD}"/>
    <cellStyle name="Normal 4 4 3 7 2 6" xfId="13667" xr:uid="{7AB3B5D9-2508-4D58-8A39-B2F9FB3C2A48}"/>
    <cellStyle name="Normal 4 4 3 7 3" xfId="6413" xr:uid="{00000000-0005-0000-0000-0000B0150000}"/>
    <cellStyle name="Normal 4 4 3 7 3 2" xfId="25039" xr:uid="{3E07A57E-FD8C-4732-A0C3-D3F69C3E39F8}"/>
    <cellStyle name="Normal 4 4 3 7 3 3" xfId="33486" xr:uid="{50982579-0EC6-4D81-8E6E-D5DD9FEF9227}"/>
    <cellStyle name="Normal 4 4 3 7 3 4" xfId="41933" xr:uid="{1FF08B30-5E74-432F-87D1-09282BD88E74}"/>
    <cellStyle name="Normal 4 4 3 7 3 5" xfId="15739" xr:uid="{5EB99578-25D9-4483-91CE-6BC0BFD493A6}"/>
    <cellStyle name="Normal 4 4 3 7 4" xfId="20822" xr:uid="{F3E920BC-2DA9-417C-B49E-18E71E78FC6D}"/>
    <cellStyle name="Normal 4 4 3 7 5" xfId="29269" xr:uid="{FE211B5B-A8CE-43AD-9BCA-478C1BAD91C1}"/>
    <cellStyle name="Normal 4 4 3 7 6" xfId="37716" xr:uid="{03CA58A3-D7B0-4B51-82B9-C96064DD6ECB}"/>
    <cellStyle name="Normal 4 4 3 7 7" xfId="11522" xr:uid="{F0248C3C-02E0-4870-B30F-00B713E82149}"/>
    <cellStyle name="Normal 4 4 3 8" xfId="2543" xr:uid="{00000000-0005-0000-0000-0000B1150000}"/>
    <cellStyle name="Normal 4 4 3 8 2" xfId="6826" xr:uid="{00000000-0005-0000-0000-0000B2150000}"/>
    <cellStyle name="Normal 4 4 3 8 2 2" xfId="25452" xr:uid="{EB65C209-6800-4B8E-955F-756363B5FE8D}"/>
    <cellStyle name="Normal 4 4 3 8 2 3" xfId="33899" xr:uid="{010127B3-7A1A-4F5C-8F7D-17D41673DB5A}"/>
    <cellStyle name="Normal 4 4 3 8 2 4" xfId="42346" xr:uid="{5513246B-3D09-4A2A-A114-7EE6E5183094}"/>
    <cellStyle name="Normal 4 4 3 8 2 5" xfId="16152" xr:uid="{08159D26-B496-4EAF-A0AB-2C834875E95D}"/>
    <cellStyle name="Normal 4 4 3 8 3" xfId="21235" xr:uid="{0BD9C3B0-F981-4BE5-B811-7B7B0B48248D}"/>
    <cellStyle name="Normal 4 4 3 8 4" xfId="29682" xr:uid="{F7C984F8-9C27-41C4-AB45-8CD7DFD7A8E0}"/>
    <cellStyle name="Normal 4 4 3 8 5" xfId="38129" xr:uid="{B5B0607F-28EB-442F-ACE2-EF14B138D14C}"/>
    <cellStyle name="Normal 4 4 3 8 6" xfId="11935" xr:uid="{20CF1BF8-8A5E-4A2E-8DCE-1802C35F7D9C}"/>
    <cellStyle name="Normal 4 4 3 9" xfId="4761" xr:uid="{00000000-0005-0000-0000-0000B3150000}"/>
    <cellStyle name="Normal 4 4 3 9 2" xfId="23387" xr:uid="{B2BA28E3-46F5-4C61-B4E7-20C16E661BE4}"/>
    <cellStyle name="Normal 4 4 3 9 3" xfId="31834" xr:uid="{B2CE2772-0644-42BF-9275-5F2E75CFEA94}"/>
    <cellStyle name="Normal 4 4 3 9 4" xfId="40281" xr:uid="{9226FB89-0594-4987-844C-8A9335401167}"/>
    <cellStyle name="Normal 4 4 3 9 5" xfId="14087" xr:uid="{D2A84AD7-9201-4FB8-9C6E-2A92D59277A8}"/>
    <cellStyle name="Normal 4 4 4" xfId="391" xr:uid="{00000000-0005-0000-0000-0000B4150000}"/>
    <cellStyle name="Normal 4 4 4 10" xfId="19174" xr:uid="{210F6B09-F34E-4124-8224-F6CB86DF7491}"/>
    <cellStyle name="Normal 4 4 4 11" xfId="27621" xr:uid="{1346FCD4-808C-4AFF-A351-2A9763D4595C}"/>
    <cellStyle name="Normal 4 4 4 12" xfId="36068" xr:uid="{7DF3629A-7618-4529-BE2D-877FF4BA3ADF}"/>
    <cellStyle name="Normal 4 4 4 13" xfId="9874" xr:uid="{736A315E-6B67-4D18-A222-5EE7D63100FD}"/>
    <cellStyle name="Normal 4 4 4 2" xfId="392" xr:uid="{00000000-0005-0000-0000-0000B5150000}"/>
    <cellStyle name="Normal 4 4 4 2 10" xfId="27622" xr:uid="{63E86330-5641-42B8-B5DD-21CEA1E2AB1D}"/>
    <cellStyle name="Normal 4 4 4 2 11" xfId="36069" xr:uid="{57D96503-FF62-4D90-B47B-E2B967B7903C}"/>
    <cellStyle name="Normal 4 4 4 2 12" xfId="9875" xr:uid="{E015785E-1E86-45F5-A63B-9205DAAF9ACE}"/>
    <cellStyle name="Normal 4 4 4 2 2" xfId="867" xr:uid="{00000000-0005-0000-0000-0000B6150000}"/>
    <cellStyle name="Normal 4 4 4 2 2 2" xfId="3102" xr:uid="{00000000-0005-0000-0000-0000B7150000}"/>
    <cellStyle name="Normal 4 4 4 2 2 2 2" xfId="7324" xr:uid="{00000000-0005-0000-0000-0000B8150000}"/>
    <cellStyle name="Normal 4 4 4 2 2 2 2 2" xfId="25950" xr:uid="{4435858F-F7B4-4D9A-819A-1474FDD7135E}"/>
    <cellStyle name="Normal 4 4 4 2 2 2 2 3" xfId="34397" xr:uid="{7BF53118-7C54-4D0C-A16F-945C86F85818}"/>
    <cellStyle name="Normal 4 4 4 2 2 2 2 4" xfId="42844" xr:uid="{FCC1BBEA-8B5F-4B99-947D-02AA648B9F00}"/>
    <cellStyle name="Normal 4 4 4 2 2 2 2 5" xfId="16650" xr:uid="{17AF8C00-B13B-48A4-A639-8C27C685A128}"/>
    <cellStyle name="Normal 4 4 4 2 2 2 3" xfId="21733" xr:uid="{59FB450A-FC3B-4E66-B2CE-82E0B8922C1A}"/>
    <cellStyle name="Normal 4 4 4 2 2 2 4" xfId="30180" xr:uid="{51E5F029-7B62-4665-8198-2F03D72303E7}"/>
    <cellStyle name="Normal 4 4 4 2 2 2 5" xfId="38627" xr:uid="{5E1B91FB-666D-427F-959D-315E3461F460}"/>
    <cellStyle name="Normal 4 4 4 2 2 2 6" xfId="12433" xr:uid="{3845738D-0505-4D9F-B2F5-59CB61680EBC}"/>
    <cellStyle name="Normal 4 4 4 2 2 3" xfId="5179" xr:uid="{00000000-0005-0000-0000-0000B9150000}"/>
    <cellStyle name="Normal 4 4 4 2 2 3 2" xfId="23805" xr:uid="{E8277C77-DC2D-4AB6-9105-6C3E4320FE3B}"/>
    <cellStyle name="Normal 4 4 4 2 2 3 3" xfId="32252" xr:uid="{B79E57DC-EDB8-4BB7-A087-298C74C16705}"/>
    <cellStyle name="Normal 4 4 4 2 2 3 4" xfId="40699" xr:uid="{431182A1-E131-40FF-9AA1-1C8C033DB994}"/>
    <cellStyle name="Normal 4 4 4 2 2 3 5" xfId="14505" xr:uid="{19910DF8-B023-4936-BC73-1A8F2079AF87}"/>
    <cellStyle name="Normal 4 4 4 2 2 4" xfId="9484" xr:uid="{69910E0C-08C8-41C5-A6FC-61B52F6CD538}"/>
    <cellStyle name="Normal 4 4 4 2 2 4 2" xfId="18800" xr:uid="{CA8F454A-7CFE-4E3E-A2DC-CCA8AE45D4A8}"/>
    <cellStyle name="Normal 4 4 4 2 2 5" xfId="19588" xr:uid="{141964A2-E5EE-421B-81A4-C6948E9A4915}"/>
    <cellStyle name="Normal 4 4 4 2 2 6" xfId="28035" xr:uid="{CB395F7C-EC34-4F95-AD1C-FF83A3688F92}"/>
    <cellStyle name="Normal 4 4 4 2 2 7" xfId="36482" xr:uid="{44D1B4A1-78FA-41A9-9F64-A4867338D31B}"/>
    <cellStyle name="Normal 4 4 4 2 2 8" xfId="10288" xr:uid="{C4E42ADE-AA1D-498B-AB92-3225E22045B8}"/>
    <cellStyle name="Normal 4 4 4 2 3" xfId="1285" xr:uid="{00000000-0005-0000-0000-0000BA150000}"/>
    <cellStyle name="Normal 4 4 4 2 3 2" xfId="3515" xr:uid="{00000000-0005-0000-0000-0000BB150000}"/>
    <cellStyle name="Normal 4 4 4 2 3 2 2" xfId="7737" xr:uid="{00000000-0005-0000-0000-0000BC150000}"/>
    <cellStyle name="Normal 4 4 4 2 3 2 2 2" xfId="26363" xr:uid="{CB0206D6-EE02-4E73-9D33-71792FD29918}"/>
    <cellStyle name="Normal 4 4 4 2 3 2 2 3" xfId="34810" xr:uid="{6AB6C58F-C3C2-47D1-A2C8-5D0ABAE91621}"/>
    <cellStyle name="Normal 4 4 4 2 3 2 2 4" xfId="43257" xr:uid="{51757BD3-67B5-4231-9F64-430ECCA58566}"/>
    <cellStyle name="Normal 4 4 4 2 3 2 2 5" xfId="17063" xr:uid="{A4276C50-53C8-4114-90E4-7BF8D153FADE}"/>
    <cellStyle name="Normal 4 4 4 2 3 2 3" xfId="22146" xr:uid="{F12AFCD5-39DD-4E3A-B5C4-585A50E53958}"/>
    <cellStyle name="Normal 4 4 4 2 3 2 4" xfId="30593" xr:uid="{FC346010-AB29-470B-A7FF-2C4A567E8FFF}"/>
    <cellStyle name="Normal 4 4 4 2 3 2 5" xfId="39040" xr:uid="{4E51F567-17D5-443F-B2A0-75AB62AC0E6F}"/>
    <cellStyle name="Normal 4 4 4 2 3 2 6" xfId="12846" xr:uid="{FE065D5C-ADF4-4A71-9921-2C8BEE4FB286}"/>
    <cellStyle name="Normal 4 4 4 2 3 3" xfId="5592" xr:uid="{00000000-0005-0000-0000-0000BD150000}"/>
    <cellStyle name="Normal 4 4 4 2 3 3 2" xfId="24218" xr:uid="{F7E1DF5F-CA54-4CFF-8A4F-A0531E24232C}"/>
    <cellStyle name="Normal 4 4 4 2 3 3 3" xfId="32665" xr:uid="{574F7637-DB77-44C4-A4C9-6F464ABA8555}"/>
    <cellStyle name="Normal 4 4 4 2 3 3 4" xfId="41112" xr:uid="{CC506EB6-1CAE-4D08-878E-4C1658E9A54E}"/>
    <cellStyle name="Normal 4 4 4 2 3 3 5" xfId="14918" xr:uid="{59DAF21A-1E80-4D04-89F1-475FBC7B46ED}"/>
    <cellStyle name="Normal 4 4 4 2 3 4" xfId="20001" xr:uid="{E41CC0B7-8F5A-489E-8339-52BCE8A85DD9}"/>
    <cellStyle name="Normal 4 4 4 2 3 5" xfId="28448" xr:uid="{78313840-BEBA-47A5-BC6A-BDE2547795F4}"/>
    <cellStyle name="Normal 4 4 4 2 3 6" xfId="36895" xr:uid="{B87D0E2C-CC8B-42D2-A7D3-BF856DCE4669}"/>
    <cellStyle name="Normal 4 4 4 2 3 7" xfId="10701" xr:uid="{ADADCA6C-F33C-4921-87D6-0E065C0E2E85}"/>
    <cellStyle name="Normal 4 4 4 2 4" xfId="1698" xr:uid="{00000000-0005-0000-0000-0000BE150000}"/>
    <cellStyle name="Normal 4 4 4 2 4 2" xfId="3928" xr:uid="{00000000-0005-0000-0000-0000BF150000}"/>
    <cellStyle name="Normal 4 4 4 2 4 2 2" xfId="8150" xr:uid="{00000000-0005-0000-0000-0000C0150000}"/>
    <cellStyle name="Normal 4 4 4 2 4 2 2 2" xfId="26776" xr:uid="{63E32127-64F2-46C4-9985-9DEC2B24645C}"/>
    <cellStyle name="Normal 4 4 4 2 4 2 2 3" xfId="35223" xr:uid="{9F672337-07EE-44FC-8837-465ED8A3FF8E}"/>
    <cellStyle name="Normal 4 4 4 2 4 2 2 4" xfId="43670" xr:uid="{AD6C697A-438F-4F75-8B21-F2487790B3EC}"/>
    <cellStyle name="Normal 4 4 4 2 4 2 2 5" xfId="17476" xr:uid="{8EFCC395-BB55-4274-9EB4-861483C50654}"/>
    <cellStyle name="Normal 4 4 4 2 4 2 3" xfId="22559" xr:uid="{6FBDBDA9-B194-44D1-96AE-C81831E18D73}"/>
    <cellStyle name="Normal 4 4 4 2 4 2 4" xfId="31006" xr:uid="{B9D21137-D73A-4F13-BAE0-D60C25CE3E31}"/>
    <cellStyle name="Normal 4 4 4 2 4 2 5" xfId="39453" xr:uid="{81AE8F5D-EC41-4F1E-A5C5-31ECCF9A2FBD}"/>
    <cellStyle name="Normal 4 4 4 2 4 2 6" xfId="13259" xr:uid="{0F74B6FE-94AF-4D57-A348-91FDD54EFDF4}"/>
    <cellStyle name="Normal 4 4 4 2 4 3" xfId="6005" xr:uid="{00000000-0005-0000-0000-0000C1150000}"/>
    <cellStyle name="Normal 4 4 4 2 4 3 2" xfId="24631" xr:uid="{1BCEE3C7-F73C-4865-AC4E-926EC32A0570}"/>
    <cellStyle name="Normal 4 4 4 2 4 3 3" xfId="33078" xr:uid="{85AE4446-7521-476D-8080-2201543C6EE7}"/>
    <cellStyle name="Normal 4 4 4 2 4 3 4" xfId="41525" xr:uid="{DB9E875E-E3F3-49B5-8394-B7D0E8DC2444}"/>
    <cellStyle name="Normal 4 4 4 2 4 3 5" xfId="15331" xr:uid="{23E7F741-DFD5-4990-9F9D-3A078AD92467}"/>
    <cellStyle name="Normal 4 4 4 2 4 4" xfId="20414" xr:uid="{D8A3A920-31F6-47A7-9AA5-70A9AFFB574A}"/>
    <cellStyle name="Normal 4 4 4 2 4 5" xfId="28861" xr:uid="{3FF05607-CB8D-4968-B305-6886FA31E5C3}"/>
    <cellStyle name="Normal 4 4 4 2 4 6" xfId="37308" xr:uid="{8E949A43-E097-4CBE-B4BA-B5900B41A1EC}"/>
    <cellStyle name="Normal 4 4 4 2 4 7" xfId="11114" xr:uid="{32675744-7D4E-4DF9-BBE0-2E77ED6F1533}"/>
    <cellStyle name="Normal 4 4 4 2 5" xfId="2112" xr:uid="{00000000-0005-0000-0000-0000C2150000}"/>
    <cellStyle name="Normal 4 4 4 2 5 2" xfId="4341" xr:uid="{00000000-0005-0000-0000-0000C3150000}"/>
    <cellStyle name="Normal 4 4 4 2 5 2 2" xfId="8563" xr:uid="{00000000-0005-0000-0000-0000C4150000}"/>
    <cellStyle name="Normal 4 4 4 2 5 2 2 2" xfId="27189" xr:uid="{E51400C2-7741-410A-9240-43DF2FE93FC9}"/>
    <cellStyle name="Normal 4 4 4 2 5 2 2 3" xfId="35636" xr:uid="{4A563493-2DDF-4F17-80B3-434AF82401AB}"/>
    <cellStyle name="Normal 4 4 4 2 5 2 2 4" xfId="44083" xr:uid="{40648BB0-8D64-47AF-89C1-4609B979CF6F}"/>
    <cellStyle name="Normal 4 4 4 2 5 2 2 5" xfId="17889" xr:uid="{4BB17A2A-2D0B-4498-A2FE-85FA5CC6E382}"/>
    <cellStyle name="Normal 4 4 4 2 5 2 3" xfId="22972" xr:uid="{F1AC804C-F11D-4418-AA3D-F7E0E5B01CEC}"/>
    <cellStyle name="Normal 4 4 4 2 5 2 4" xfId="31419" xr:uid="{E4AC97F9-6917-4B62-A107-778BE45257E1}"/>
    <cellStyle name="Normal 4 4 4 2 5 2 5" xfId="39866" xr:uid="{C153239D-ECB6-4185-BBC7-417A2C791583}"/>
    <cellStyle name="Normal 4 4 4 2 5 2 6" xfId="13672" xr:uid="{40C76882-B5C4-4E20-BD8F-43313BC1B5F6}"/>
    <cellStyle name="Normal 4 4 4 2 5 3" xfId="6418" xr:uid="{00000000-0005-0000-0000-0000C5150000}"/>
    <cellStyle name="Normal 4 4 4 2 5 3 2" xfId="25044" xr:uid="{BEC7C7FB-5FD2-4922-A879-F75269ABEA57}"/>
    <cellStyle name="Normal 4 4 4 2 5 3 3" xfId="33491" xr:uid="{D06A8801-CDA9-4AE0-AE82-735054250CF7}"/>
    <cellStyle name="Normal 4 4 4 2 5 3 4" xfId="41938" xr:uid="{96B7C523-1914-45E1-870A-B25EC6C73CC6}"/>
    <cellStyle name="Normal 4 4 4 2 5 3 5" xfId="15744" xr:uid="{C6DE82FC-4368-4215-A5BC-DB83D2D87BB5}"/>
    <cellStyle name="Normal 4 4 4 2 5 4" xfId="20827" xr:uid="{42D620C8-7E6E-4F60-B527-27AD7153FF13}"/>
    <cellStyle name="Normal 4 4 4 2 5 5" xfId="29274" xr:uid="{8F6146BC-CD68-4749-8C86-4997615F7D59}"/>
    <cellStyle name="Normal 4 4 4 2 5 6" xfId="37721" xr:uid="{61921043-F6F3-4D96-ABD5-BDFDACDD522C}"/>
    <cellStyle name="Normal 4 4 4 2 5 7" xfId="11527" xr:uid="{4141ECF5-6C08-4CB6-A253-1B8865C8172A}"/>
    <cellStyle name="Normal 4 4 4 2 6" xfId="2548" xr:uid="{00000000-0005-0000-0000-0000C6150000}"/>
    <cellStyle name="Normal 4 4 4 2 6 2" xfId="6831" xr:uid="{00000000-0005-0000-0000-0000C7150000}"/>
    <cellStyle name="Normal 4 4 4 2 6 2 2" xfId="25457" xr:uid="{2AE66EF3-B7EE-47B5-8CE5-0532FDD4F2DF}"/>
    <cellStyle name="Normal 4 4 4 2 6 2 3" xfId="33904" xr:uid="{88D7F444-CFF7-45C0-9086-69DFD6C1E805}"/>
    <cellStyle name="Normal 4 4 4 2 6 2 4" xfId="42351" xr:uid="{BC1B6C93-4495-4596-8B00-FAC81B518EBA}"/>
    <cellStyle name="Normal 4 4 4 2 6 2 5" xfId="16157" xr:uid="{B74B08B0-9DE0-4251-B3BE-06028D970A1B}"/>
    <cellStyle name="Normal 4 4 4 2 6 3" xfId="21240" xr:uid="{5B8F6D39-8364-4555-A9DF-5FFB2B74088B}"/>
    <cellStyle name="Normal 4 4 4 2 6 4" xfId="29687" xr:uid="{B6DA4377-6CEC-4205-BC22-1F7D44739980}"/>
    <cellStyle name="Normal 4 4 4 2 6 5" xfId="38134" xr:uid="{2995CDAC-CB92-43A9-8F74-FFFA6D5C1488}"/>
    <cellStyle name="Normal 4 4 4 2 6 6" xfId="11940" xr:uid="{4296B6B4-658A-4A10-A3B7-0548C221C279}"/>
    <cellStyle name="Normal 4 4 4 2 7" xfId="4766" xr:uid="{00000000-0005-0000-0000-0000C8150000}"/>
    <cellStyle name="Normal 4 4 4 2 7 2" xfId="23392" xr:uid="{3B9FD524-92FC-4046-9C7C-8D4CF395DE01}"/>
    <cellStyle name="Normal 4 4 4 2 7 3" xfId="31839" xr:uid="{81152AF8-ABF9-4120-BC1A-D8A39FA8A4E5}"/>
    <cellStyle name="Normal 4 4 4 2 7 4" xfId="40286" xr:uid="{D63FEDAE-8FF7-4E1D-8C50-1B4719856C8F}"/>
    <cellStyle name="Normal 4 4 4 2 7 5" xfId="14092" xr:uid="{3A6AF8A7-720A-45F7-B5C9-56AADFD9C206}"/>
    <cellStyle name="Normal 4 4 4 2 8" xfId="9059" xr:uid="{76617FCA-DBA6-4291-BD32-6340A19903F7}"/>
    <cellStyle name="Normal 4 4 4 2 8 2" xfId="18383" xr:uid="{8E9C225F-8CF0-4F5D-938B-8408D684AFBF}"/>
    <cellStyle name="Normal 4 4 4 2 9" xfId="19175" xr:uid="{14165B64-EF62-4B0B-9EEA-D469046A2174}"/>
    <cellStyle name="Normal 4 4 4 3" xfId="866" xr:uid="{00000000-0005-0000-0000-0000C9150000}"/>
    <cellStyle name="Normal 4 4 4 3 2" xfId="3101" xr:uid="{00000000-0005-0000-0000-0000CA150000}"/>
    <cellStyle name="Normal 4 4 4 3 2 2" xfId="7323" xr:uid="{00000000-0005-0000-0000-0000CB150000}"/>
    <cellStyle name="Normal 4 4 4 3 2 2 2" xfId="25949" xr:uid="{008A09EB-0D84-47C6-954F-CEE1D60FA962}"/>
    <cellStyle name="Normal 4 4 4 3 2 2 3" xfId="34396" xr:uid="{5468DD2E-91A9-499F-BFB9-F21F9654450C}"/>
    <cellStyle name="Normal 4 4 4 3 2 2 4" xfId="42843" xr:uid="{6E4B5DC1-F602-4E24-9348-376A42F31625}"/>
    <cellStyle name="Normal 4 4 4 3 2 2 5" xfId="16649" xr:uid="{CC4290E0-E298-4B5C-AB33-B6D3B1702243}"/>
    <cellStyle name="Normal 4 4 4 3 2 3" xfId="21732" xr:uid="{4118A761-10B0-4AB3-A016-1C84EB3FAACA}"/>
    <cellStyle name="Normal 4 4 4 3 2 4" xfId="30179" xr:uid="{79AE1740-57FA-4629-8A4A-B54546FA113F}"/>
    <cellStyle name="Normal 4 4 4 3 2 5" xfId="38626" xr:uid="{CE6A18CF-F9EE-403D-9CA4-FCB91BA34D72}"/>
    <cellStyle name="Normal 4 4 4 3 2 6" xfId="12432" xr:uid="{2190D628-F147-498F-AD7C-6CD5342F1742}"/>
    <cellStyle name="Normal 4 4 4 3 3" xfId="5178" xr:uid="{00000000-0005-0000-0000-0000CC150000}"/>
    <cellStyle name="Normal 4 4 4 3 3 2" xfId="23804" xr:uid="{55E7FC97-3890-40A5-BBE0-EE584B91CC46}"/>
    <cellStyle name="Normal 4 4 4 3 3 3" xfId="32251" xr:uid="{05BC8E24-AA40-4780-8007-38FD071374FE}"/>
    <cellStyle name="Normal 4 4 4 3 3 4" xfId="40698" xr:uid="{8BDCD9A5-A74A-420F-99BF-4B358704A19D}"/>
    <cellStyle name="Normal 4 4 4 3 3 5" xfId="14504" xr:uid="{66B9A461-5414-4EA1-9FE5-F4E66C1B7FBB}"/>
    <cellStyle name="Normal 4 4 4 3 4" xfId="9277" xr:uid="{DD01CD29-2559-4BCC-919C-99D1D75C445F}"/>
    <cellStyle name="Normal 4 4 4 3 4 2" xfId="18593" xr:uid="{0BF70AD2-2BB2-4FCD-BCE0-9570B6332C7C}"/>
    <cellStyle name="Normal 4 4 4 3 5" xfId="19587" xr:uid="{7E31D50F-7B85-41F2-BFA1-7D1054E004F0}"/>
    <cellStyle name="Normal 4 4 4 3 6" xfId="28034" xr:uid="{EDC4EAB9-9B01-472A-89D7-A7FAF1B43383}"/>
    <cellStyle name="Normal 4 4 4 3 7" xfId="36481" xr:uid="{A0EBB19B-D7F9-4731-BE1D-0FB225952921}"/>
    <cellStyle name="Normal 4 4 4 3 8" xfId="10287" xr:uid="{E3B95C11-0FEF-4E13-B2EE-C5013643467C}"/>
    <cellStyle name="Normal 4 4 4 4" xfId="1284" xr:uid="{00000000-0005-0000-0000-0000CD150000}"/>
    <cellStyle name="Normal 4 4 4 4 2" xfId="3514" xr:uid="{00000000-0005-0000-0000-0000CE150000}"/>
    <cellStyle name="Normal 4 4 4 4 2 2" xfId="7736" xr:uid="{00000000-0005-0000-0000-0000CF150000}"/>
    <cellStyle name="Normal 4 4 4 4 2 2 2" xfId="26362" xr:uid="{CD30DE51-2FB9-4484-AADD-AF88397F37B3}"/>
    <cellStyle name="Normal 4 4 4 4 2 2 3" xfId="34809" xr:uid="{3BA185CF-F71E-48EA-88BB-1A2C95CBF950}"/>
    <cellStyle name="Normal 4 4 4 4 2 2 4" xfId="43256" xr:uid="{D4A079AC-D646-4FDB-8CA3-6232A7841FF3}"/>
    <cellStyle name="Normal 4 4 4 4 2 2 5" xfId="17062" xr:uid="{196F8D11-7358-4315-B8FD-31029EC5F068}"/>
    <cellStyle name="Normal 4 4 4 4 2 3" xfId="22145" xr:uid="{5B21939A-74F0-492A-8D25-3C3B9F20FEA2}"/>
    <cellStyle name="Normal 4 4 4 4 2 4" xfId="30592" xr:uid="{857D0946-7CB9-4F76-9543-9BE3F354F22D}"/>
    <cellStyle name="Normal 4 4 4 4 2 5" xfId="39039" xr:uid="{B910EE92-4BAB-4EC7-9155-2537F1CEF391}"/>
    <cellStyle name="Normal 4 4 4 4 2 6" xfId="12845" xr:uid="{B472FF72-6987-4129-880A-3612626D1DBC}"/>
    <cellStyle name="Normal 4 4 4 4 3" xfId="5591" xr:uid="{00000000-0005-0000-0000-0000D0150000}"/>
    <cellStyle name="Normal 4 4 4 4 3 2" xfId="24217" xr:uid="{12699750-B0A6-416C-AA12-63DCCA376C05}"/>
    <cellStyle name="Normal 4 4 4 4 3 3" xfId="32664" xr:uid="{F92F3D29-F123-4E6E-97E6-F15744A5A838}"/>
    <cellStyle name="Normal 4 4 4 4 3 4" xfId="41111" xr:uid="{A4FA1C54-2BC6-49D6-B830-CCE9481A1CEC}"/>
    <cellStyle name="Normal 4 4 4 4 3 5" xfId="14917" xr:uid="{CC08D471-D3C5-4DAA-9F3A-2945EF785984}"/>
    <cellStyle name="Normal 4 4 4 4 4" xfId="20000" xr:uid="{86A1085B-C0D4-47E8-B7A5-D4F4D193ECFA}"/>
    <cellStyle name="Normal 4 4 4 4 5" xfId="28447" xr:uid="{0FB2786D-6175-47ED-80DB-F2CA85982302}"/>
    <cellStyle name="Normal 4 4 4 4 6" xfId="36894" xr:uid="{3D0F52B3-3763-4E8C-8355-3E908EB60B77}"/>
    <cellStyle name="Normal 4 4 4 4 7" xfId="10700" xr:uid="{EC07AC67-9F9F-4F17-94E7-31BAC4A00B11}"/>
    <cellStyle name="Normal 4 4 4 5" xfId="1697" xr:uid="{00000000-0005-0000-0000-0000D1150000}"/>
    <cellStyle name="Normal 4 4 4 5 2" xfId="3927" xr:uid="{00000000-0005-0000-0000-0000D2150000}"/>
    <cellStyle name="Normal 4 4 4 5 2 2" xfId="8149" xr:uid="{00000000-0005-0000-0000-0000D3150000}"/>
    <cellStyle name="Normal 4 4 4 5 2 2 2" xfId="26775" xr:uid="{9517E1D2-AE2F-4889-9C84-8185F6652305}"/>
    <cellStyle name="Normal 4 4 4 5 2 2 3" xfId="35222" xr:uid="{F25660AB-949C-4682-873C-971D92D685AC}"/>
    <cellStyle name="Normal 4 4 4 5 2 2 4" xfId="43669" xr:uid="{9F1E902C-3A83-49B8-8100-FC04EA9E1338}"/>
    <cellStyle name="Normal 4 4 4 5 2 2 5" xfId="17475" xr:uid="{17491689-C8C6-4133-8E69-969F7AC91C5E}"/>
    <cellStyle name="Normal 4 4 4 5 2 3" xfId="22558" xr:uid="{E879E086-72F0-4E1C-889C-3F19BC508A43}"/>
    <cellStyle name="Normal 4 4 4 5 2 4" xfId="31005" xr:uid="{9097088A-0369-4727-A65C-7C4AA58D0513}"/>
    <cellStyle name="Normal 4 4 4 5 2 5" xfId="39452" xr:uid="{2595CDD9-ACF6-49FD-9635-BC4EF3F6AD75}"/>
    <cellStyle name="Normal 4 4 4 5 2 6" xfId="13258" xr:uid="{6929781C-4BF4-4C00-9F69-EA9FA7B50DAB}"/>
    <cellStyle name="Normal 4 4 4 5 3" xfId="6004" xr:uid="{00000000-0005-0000-0000-0000D4150000}"/>
    <cellStyle name="Normal 4 4 4 5 3 2" xfId="24630" xr:uid="{22659684-8712-4E6B-9BC2-FC38E9672C91}"/>
    <cellStyle name="Normal 4 4 4 5 3 3" xfId="33077" xr:uid="{E5F085FC-3ADF-4F11-A4C7-7B3208017CFB}"/>
    <cellStyle name="Normal 4 4 4 5 3 4" xfId="41524" xr:uid="{6FE8D6D0-1D2C-4B81-A743-70DE9D5DBCB5}"/>
    <cellStyle name="Normal 4 4 4 5 3 5" xfId="15330" xr:uid="{65ECAB92-5A37-4430-ADB4-071AD5CD4A4B}"/>
    <cellStyle name="Normal 4 4 4 5 4" xfId="20413" xr:uid="{6FCC43A6-2728-4F00-9D29-5C5BC2FA8F0B}"/>
    <cellStyle name="Normal 4 4 4 5 5" xfId="28860" xr:uid="{1F69F907-83F8-4980-B61F-6317842A7A46}"/>
    <cellStyle name="Normal 4 4 4 5 6" xfId="37307" xr:uid="{D8A2192B-F575-4E47-80CC-B6BC7F335FBC}"/>
    <cellStyle name="Normal 4 4 4 5 7" xfId="11113" xr:uid="{EE7FEDBE-6149-404B-89BA-40E80CA3F9CD}"/>
    <cellStyle name="Normal 4 4 4 6" xfId="2111" xr:uid="{00000000-0005-0000-0000-0000D5150000}"/>
    <cellStyle name="Normal 4 4 4 6 2" xfId="4340" xr:uid="{00000000-0005-0000-0000-0000D6150000}"/>
    <cellStyle name="Normal 4 4 4 6 2 2" xfId="8562" xr:uid="{00000000-0005-0000-0000-0000D7150000}"/>
    <cellStyle name="Normal 4 4 4 6 2 2 2" xfId="27188" xr:uid="{73398223-EDEA-4F67-B347-2C8E78E3C6C2}"/>
    <cellStyle name="Normal 4 4 4 6 2 2 3" xfId="35635" xr:uid="{098F1D3C-1263-4D38-9AD0-96A03953C9E2}"/>
    <cellStyle name="Normal 4 4 4 6 2 2 4" xfId="44082" xr:uid="{D6A34379-7849-4B03-83EB-371304C88E07}"/>
    <cellStyle name="Normal 4 4 4 6 2 2 5" xfId="17888" xr:uid="{E81707BF-FE9A-420C-B90E-E200D6A70D6C}"/>
    <cellStyle name="Normal 4 4 4 6 2 3" xfId="22971" xr:uid="{3E5C7692-BE4A-4386-A931-54524BB1690D}"/>
    <cellStyle name="Normal 4 4 4 6 2 4" xfId="31418" xr:uid="{CBD0B6A5-CDCC-4ACD-A175-8B6952BB224B}"/>
    <cellStyle name="Normal 4 4 4 6 2 5" xfId="39865" xr:uid="{50EDB04C-B55F-4148-8070-C673D1A6473D}"/>
    <cellStyle name="Normal 4 4 4 6 2 6" xfId="13671" xr:uid="{42129AC6-2FE5-45F3-8389-16FBA3330333}"/>
    <cellStyle name="Normal 4 4 4 6 3" xfId="6417" xr:uid="{00000000-0005-0000-0000-0000D8150000}"/>
    <cellStyle name="Normal 4 4 4 6 3 2" xfId="25043" xr:uid="{94A89AAC-1CB0-4181-B773-984750E163DF}"/>
    <cellStyle name="Normal 4 4 4 6 3 3" xfId="33490" xr:uid="{D2C81A7D-CBB7-4A8E-A399-D322600078EC}"/>
    <cellStyle name="Normal 4 4 4 6 3 4" xfId="41937" xr:uid="{CEF162CE-85B6-4141-A051-CE4618B7E7B4}"/>
    <cellStyle name="Normal 4 4 4 6 3 5" xfId="15743" xr:uid="{58DDD0D8-4CB4-4617-BB40-2E69C764AC5D}"/>
    <cellStyle name="Normal 4 4 4 6 4" xfId="20826" xr:uid="{8CBB2BBF-5C42-4589-837F-1DFCDE72FA76}"/>
    <cellStyle name="Normal 4 4 4 6 5" xfId="29273" xr:uid="{7ABD22B7-0916-45A3-B6C4-AA4CC5BAF0C9}"/>
    <cellStyle name="Normal 4 4 4 6 6" xfId="37720" xr:uid="{3B48D4C9-4D0B-404F-94A1-747E1CAD018F}"/>
    <cellStyle name="Normal 4 4 4 6 7" xfId="11526" xr:uid="{8B5DE28A-7FC9-4E89-AA26-E6F067D52761}"/>
    <cellStyle name="Normal 4 4 4 7" xfId="2547" xr:uid="{00000000-0005-0000-0000-0000D9150000}"/>
    <cellStyle name="Normal 4 4 4 7 2" xfId="6830" xr:uid="{00000000-0005-0000-0000-0000DA150000}"/>
    <cellStyle name="Normal 4 4 4 7 2 2" xfId="25456" xr:uid="{524E0D83-40FE-402A-998E-677459844EE2}"/>
    <cellStyle name="Normal 4 4 4 7 2 3" xfId="33903" xr:uid="{8AED1201-503A-4C44-840D-3F776ABE4617}"/>
    <cellStyle name="Normal 4 4 4 7 2 4" xfId="42350" xr:uid="{7347C448-9837-4904-ABB3-6FB86F3D1869}"/>
    <cellStyle name="Normal 4 4 4 7 2 5" xfId="16156" xr:uid="{2CE81328-7D38-47CD-9CD5-C68E3FB00E2F}"/>
    <cellStyle name="Normal 4 4 4 7 3" xfId="21239" xr:uid="{004F3664-862D-4654-AA90-35D7F742FBB6}"/>
    <cellStyle name="Normal 4 4 4 7 4" xfId="29686" xr:uid="{B574AC1F-1DE3-4FA3-A468-4F10F2E0A0A7}"/>
    <cellStyle name="Normal 4 4 4 7 5" xfId="38133" xr:uid="{9923C38D-9FE5-4413-A1FA-995BF9B5C1D0}"/>
    <cellStyle name="Normal 4 4 4 7 6" xfId="11939" xr:uid="{648F2152-B0EA-4DFB-825B-7611EDF447B9}"/>
    <cellStyle name="Normal 4 4 4 8" xfId="4765" xr:uid="{00000000-0005-0000-0000-0000DB150000}"/>
    <cellStyle name="Normal 4 4 4 8 2" xfId="23391" xr:uid="{6E09A704-7B8C-4110-8100-B0FEAFBAB0CB}"/>
    <cellStyle name="Normal 4 4 4 8 3" xfId="31838" xr:uid="{060E8E60-BF3D-45C4-88F9-91B4215CD978}"/>
    <cellStyle name="Normal 4 4 4 8 4" xfId="40285" xr:uid="{C2D93335-2DAD-44DC-96A3-6185BFC106B4}"/>
    <cellStyle name="Normal 4 4 4 8 5" xfId="14091" xr:uid="{17E03D99-7A81-4681-AFE8-CDEE91B8679C}"/>
    <cellStyle name="Normal 4 4 4 9" xfId="8852" xr:uid="{DF4BB962-85B1-44B5-A0FE-735796672772}"/>
    <cellStyle name="Normal 4 4 4 9 2" xfId="18176" xr:uid="{BFD344AE-02CC-4EAC-9C44-7E6B127C9004}"/>
    <cellStyle name="Normal 4 4 5" xfId="393" xr:uid="{00000000-0005-0000-0000-0000DC150000}"/>
    <cellStyle name="Normal 4 4 5 10" xfId="27623" xr:uid="{82A82809-CB83-4481-8E00-730B0960B536}"/>
    <cellStyle name="Normal 4 4 5 11" xfId="36070" xr:uid="{1B901FB2-6FC2-44A1-AA11-6B49D0BBEDCD}"/>
    <cellStyle name="Normal 4 4 5 12" xfId="9876" xr:uid="{3F4E9953-B062-4395-A276-56D2577B24D9}"/>
    <cellStyle name="Normal 4 4 5 2" xfId="868" xr:uid="{00000000-0005-0000-0000-0000DD150000}"/>
    <cellStyle name="Normal 4 4 5 2 2" xfId="3103" xr:uid="{00000000-0005-0000-0000-0000DE150000}"/>
    <cellStyle name="Normal 4 4 5 2 2 2" xfId="7325" xr:uid="{00000000-0005-0000-0000-0000DF150000}"/>
    <cellStyle name="Normal 4 4 5 2 2 2 2" xfId="25951" xr:uid="{F6104571-110B-4984-824D-0AC8ED25ACB7}"/>
    <cellStyle name="Normal 4 4 5 2 2 2 3" xfId="34398" xr:uid="{A58E3719-FEFD-4EED-A4E9-DFC54F8FF8E2}"/>
    <cellStyle name="Normal 4 4 5 2 2 2 4" xfId="42845" xr:uid="{2C092B9D-3FAE-4450-BD43-983FD6BFEF51}"/>
    <cellStyle name="Normal 4 4 5 2 2 2 5" xfId="16651" xr:uid="{3AF98660-9A7F-4383-A20B-62F951607967}"/>
    <cellStyle name="Normal 4 4 5 2 2 3" xfId="21734" xr:uid="{8877940F-BA3C-4243-BF2B-D89E8CD22F15}"/>
    <cellStyle name="Normal 4 4 5 2 2 4" xfId="30181" xr:uid="{A76FA990-1480-46AF-8107-3938D26F8901}"/>
    <cellStyle name="Normal 4 4 5 2 2 5" xfId="38628" xr:uid="{809DA3A8-6F4D-4919-8B7F-421AAD13367F}"/>
    <cellStyle name="Normal 4 4 5 2 2 6" xfId="12434" xr:uid="{D001A726-54F4-4654-B410-2F72898CB8C4}"/>
    <cellStyle name="Normal 4 4 5 2 3" xfId="5180" xr:uid="{00000000-0005-0000-0000-0000E0150000}"/>
    <cellStyle name="Normal 4 4 5 2 3 2" xfId="23806" xr:uid="{1DA19CBC-A926-4D48-9CDD-2C48110EB982}"/>
    <cellStyle name="Normal 4 4 5 2 3 3" xfId="32253" xr:uid="{50337E7C-ABFC-4481-9997-9B3C61891E18}"/>
    <cellStyle name="Normal 4 4 5 2 3 4" xfId="40700" xr:uid="{CC24AB00-D880-4066-9B05-A66E4DE7EFAA}"/>
    <cellStyle name="Normal 4 4 5 2 3 5" xfId="14506" xr:uid="{5284E4AA-3E3E-4E3E-838D-366A74DEC141}"/>
    <cellStyle name="Normal 4 4 5 2 4" xfId="9393" xr:uid="{C2991CC4-4E0B-46C4-B338-C6A1C9BA2DE9}"/>
    <cellStyle name="Normal 4 4 5 2 4 2" xfId="18709" xr:uid="{1BC37861-82E1-4FFD-BBE0-CAA3AC382CCA}"/>
    <cellStyle name="Normal 4 4 5 2 5" xfId="19589" xr:uid="{F8A113CF-9DD9-40B2-BDFB-EA50D0F773D7}"/>
    <cellStyle name="Normal 4 4 5 2 6" xfId="28036" xr:uid="{28F2D21A-A681-485D-91B3-7EFBBB073444}"/>
    <cellStyle name="Normal 4 4 5 2 7" xfId="36483" xr:uid="{3F547C6A-F780-4FED-8AD1-C0FE09F640EF}"/>
    <cellStyle name="Normal 4 4 5 2 8" xfId="10289" xr:uid="{1280C3C9-2556-428C-932E-BF6E07449047}"/>
    <cellStyle name="Normal 4 4 5 3" xfId="1286" xr:uid="{00000000-0005-0000-0000-0000E1150000}"/>
    <cellStyle name="Normal 4 4 5 3 2" xfId="3516" xr:uid="{00000000-0005-0000-0000-0000E2150000}"/>
    <cellStyle name="Normal 4 4 5 3 2 2" xfId="7738" xr:uid="{00000000-0005-0000-0000-0000E3150000}"/>
    <cellStyle name="Normal 4 4 5 3 2 2 2" xfId="26364" xr:uid="{29BAD2B8-A93D-49AA-92EC-A820B415E9D9}"/>
    <cellStyle name="Normal 4 4 5 3 2 2 3" xfId="34811" xr:uid="{E7879404-5D0D-4C49-999D-73C9285129FB}"/>
    <cellStyle name="Normal 4 4 5 3 2 2 4" xfId="43258" xr:uid="{D91F9857-1DE0-4C8B-838C-E202E29CBDB3}"/>
    <cellStyle name="Normal 4 4 5 3 2 2 5" xfId="17064" xr:uid="{565EC8B0-5FA6-4915-A76A-4277F5031DDF}"/>
    <cellStyle name="Normal 4 4 5 3 2 3" xfId="22147" xr:uid="{E37AFB91-BBEA-496B-961D-55600B902129}"/>
    <cellStyle name="Normal 4 4 5 3 2 4" xfId="30594" xr:uid="{EA002E8C-425B-44AF-AC63-E285C091D113}"/>
    <cellStyle name="Normal 4 4 5 3 2 5" xfId="39041" xr:uid="{E0EB28FC-6039-4AFC-A875-1B663D4C1D97}"/>
    <cellStyle name="Normal 4 4 5 3 2 6" xfId="12847" xr:uid="{0CEF3D23-030E-4C53-BC9E-1CE5385C0F7E}"/>
    <cellStyle name="Normal 4 4 5 3 3" xfId="5593" xr:uid="{00000000-0005-0000-0000-0000E4150000}"/>
    <cellStyle name="Normal 4 4 5 3 3 2" xfId="24219" xr:uid="{0A70F536-6F35-40FA-99FF-BE0D30BA202A}"/>
    <cellStyle name="Normal 4 4 5 3 3 3" xfId="32666" xr:uid="{94A92191-FDA4-4D71-923B-8CAA07E9FD42}"/>
    <cellStyle name="Normal 4 4 5 3 3 4" xfId="41113" xr:uid="{DC6C56E3-B2B5-4DAA-BC7D-DD7D1F00AD06}"/>
    <cellStyle name="Normal 4 4 5 3 3 5" xfId="14919" xr:uid="{6423A81C-872A-417F-A5CF-B7A06313781A}"/>
    <cellStyle name="Normal 4 4 5 3 4" xfId="20002" xr:uid="{3A58F745-2A9C-4308-8632-F823C418E9E5}"/>
    <cellStyle name="Normal 4 4 5 3 5" xfId="28449" xr:uid="{EB7270A7-3F0B-4ED7-BA58-C9DE90064AB0}"/>
    <cellStyle name="Normal 4 4 5 3 6" xfId="36896" xr:uid="{2CA7E671-C6EF-4281-B08E-800912F37289}"/>
    <cellStyle name="Normal 4 4 5 3 7" xfId="10702" xr:uid="{4E360E96-A395-489F-822D-52D2B8E2DBCD}"/>
    <cellStyle name="Normal 4 4 5 4" xfId="1699" xr:uid="{00000000-0005-0000-0000-0000E5150000}"/>
    <cellStyle name="Normal 4 4 5 4 2" xfId="3929" xr:uid="{00000000-0005-0000-0000-0000E6150000}"/>
    <cellStyle name="Normal 4 4 5 4 2 2" xfId="8151" xr:uid="{00000000-0005-0000-0000-0000E7150000}"/>
    <cellStyle name="Normal 4 4 5 4 2 2 2" xfId="26777" xr:uid="{2502224B-AB60-45E3-AA3F-B7CA095DC85E}"/>
    <cellStyle name="Normal 4 4 5 4 2 2 3" xfId="35224" xr:uid="{E1626368-4BE5-4538-8E20-245984B34D02}"/>
    <cellStyle name="Normal 4 4 5 4 2 2 4" xfId="43671" xr:uid="{FD81723F-E66E-4CBE-A0AD-C27D3FDF57EA}"/>
    <cellStyle name="Normal 4 4 5 4 2 2 5" xfId="17477" xr:uid="{CC5E1570-35B9-48D7-BDED-0AE0433608B0}"/>
    <cellStyle name="Normal 4 4 5 4 2 3" xfId="22560" xr:uid="{F3991FF3-20EE-41C3-8294-5227D4A1A57F}"/>
    <cellStyle name="Normal 4 4 5 4 2 4" xfId="31007" xr:uid="{EF5D188D-B182-4F81-A664-8C5EECD6607E}"/>
    <cellStyle name="Normal 4 4 5 4 2 5" xfId="39454" xr:uid="{ECD323EF-1D90-4BF4-96F8-42A88240184B}"/>
    <cellStyle name="Normal 4 4 5 4 2 6" xfId="13260" xr:uid="{906FEB34-1E3C-4912-B41E-F6360F96F880}"/>
    <cellStyle name="Normal 4 4 5 4 3" xfId="6006" xr:uid="{00000000-0005-0000-0000-0000E8150000}"/>
    <cellStyle name="Normal 4 4 5 4 3 2" xfId="24632" xr:uid="{869866CF-4D37-4E05-9532-D96186DBF1B4}"/>
    <cellStyle name="Normal 4 4 5 4 3 3" xfId="33079" xr:uid="{59E7A03F-868F-442B-898F-DE762ABBB2E3}"/>
    <cellStyle name="Normal 4 4 5 4 3 4" xfId="41526" xr:uid="{065D9AA1-2849-4D4C-B53F-29B156FED198}"/>
    <cellStyle name="Normal 4 4 5 4 3 5" xfId="15332" xr:uid="{BE2D641B-307D-40C8-B40B-76356693C135}"/>
    <cellStyle name="Normal 4 4 5 4 4" xfId="20415" xr:uid="{658B3B8D-4879-40B0-A3E6-25ED70DFD2D6}"/>
    <cellStyle name="Normal 4 4 5 4 5" xfId="28862" xr:uid="{6460118D-0119-4EC5-9F0B-601B13D5BCE7}"/>
    <cellStyle name="Normal 4 4 5 4 6" xfId="37309" xr:uid="{AD541673-F949-4F56-8CB9-FE01FF89871C}"/>
    <cellStyle name="Normal 4 4 5 4 7" xfId="11115" xr:uid="{4D82BCAB-ABF2-494E-A1C8-48B6490FB409}"/>
    <cellStyle name="Normal 4 4 5 5" xfId="2113" xr:uid="{00000000-0005-0000-0000-0000E9150000}"/>
    <cellStyle name="Normal 4 4 5 5 2" xfId="4342" xr:uid="{00000000-0005-0000-0000-0000EA150000}"/>
    <cellStyle name="Normal 4 4 5 5 2 2" xfId="8564" xr:uid="{00000000-0005-0000-0000-0000EB150000}"/>
    <cellStyle name="Normal 4 4 5 5 2 2 2" xfId="27190" xr:uid="{8CF8F747-C232-4376-9DBB-01C4D92B5C0F}"/>
    <cellStyle name="Normal 4 4 5 5 2 2 3" xfId="35637" xr:uid="{190292C9-2B9A-48B6-8E65-1D5BA0313C7A}"/>
    <cellStyle name="Normal 4 4 5 5 2 2 4" xfId="44084" xr:uid="{37FA084D-2D1F-4AE3-BBF4-C690F04BD781}"/>
    <cellStyle name="Normal 4 4 5 5 2 2 5" xfId="17890" xr:uid="{FEBFC5E3-501E-4613-AB5E-75BDF2282F1F}"/>
    <cellStyle name="Normal 4 4 5 5 2 3" xfId="22973" xr:uid="{1DF87E63-0078-44D0-9564-B8AF4BF331A9}"/>
    <cellStyle name="Normal 4 4 5 5 2 4" xfId="31420" xr:uid="{74FA2D91-EDFF-467C-B865-A19FB83E6628}"/>
    <cellStyle name="Normal 4 4 5 5 2 5" xfId="39867" xr:uid="{83A6119A-5E15-41F8-B326-B297566A584A}"/>
    <cellStyle name="Normal 4 4 5 5 2 6" xfId="13673" xr:uid="{E18B83D9-2A57-4CE1-8FCE-DB744A42A5C9}"/>
    <cellStyle name="Normal 4 4 5 5 3" xfId="6419" xr:uid="{00000000-0005-0000-0000-0000EC150000}"/>
    <cellStyle name="Normal 4 4 5 5 3 2" xfId="25045" xr:uid="{4D650F5C-E57D-44B1-9558-23CE903B53A9}"/>
    <cellStyle name="Normal 4 4 5 5 3 3" xfId="33492" xr:uid="{23062ED3-CD13-4114-B5AB-F1A76ABBAD16}"/>
    <cellStyle name="Normal 4 4 5 5 3 4" xfId="41939" xr:uid="{29EDEEC2-0E02-4EC3-9389-B1BFDE3B51CC}"/>
    <cellStyle name="Normal 4 4 5 5 3 5" xfId="15745" xr:uid="{E15C6588-C3B8-40D7-9C72-BC04305011F0}"/>
    <cellStyle name="Normal 4 4 5 5 4" xfId="20828" xr:uid="{CCE1E4DF-3637-4D91-966F-B7509DED951D}"/>
    <cellStyle name="Normal 4 4 5 5 5" xfId="29275" xr:uid="{26DE8C0D-51E0-4A3F-BEFE-C8BD315CAFA0}"/>
    <cellStyle name="Normal 4 4 5 5 6" xfId="37722" xr:uid="{1A2884AE-57AE-4214-A114-D88C36F2C844}"/>
    <cellStyle name="Normal 4 4 5 5 7" xfId="11528" xr:uid="{513292AD-27A0-4853-A071-12DCB5CB2866}"/>
    <cellStyle name="Normal 4 4 5 6" xfId="2549" xr:uid="{00000000-0005-0000-0000-0000ED150000}"/>
    <cellStyle name="Normal 4 4 5 6 2" xfId="6832" xr:uid="{00000000-0005-0000-0000-0000EE150000}"/>
    <cellStyle name="Normal 4 4 5 6 2 2" xfId="25458" xr:uid="{D26731C9-632D-4574-98DD-800B16F2115C}"/>
    <cellStyle name="Normal 4 4 5 6 2 3" xfId="33905" xr:uid="{12D614FF-29E7-40E1-AF96-896E4B2E4B18}"/>
    <cellStyle name="Normal 4 4 5 6 2 4" xfId="42352" xr:uid="{5A066DAE-46EE-4B16-8A69-518DB930D280}"/>
    <cellStyle name="Normal 4 4 5 6 2 5" xfId="16158" xr:uid="{22E817C0-232D-40B6-979E-A874F582C09A}"/>
    <cellStyle name="Normal 4 4 5 6 3" xfId="21241" xr:uid="{1BF25C16-99C5-4058-A549-78FFD9CE7186}"/>
    <cellStyle name="Normal 4 4 5 6 4" xfId="29688" xr:uid="{53D657C5-60D0-4201-BF91-AFEB54988163}"/>
    <cellStyle name="Normal 4 4 5 6 5" xfId="38135" xr:uid="{5F940A52-B925-4D37-96D9-DC4E587E89D1}"/>
    <cellStyle name="Normal 4 4 5 6 6" xfId="11941" xr:uid="{F6E7400A-1BB6-47A7-967F-9915CADCB3AD}"/>
    <cellStyle name="Normal 4 4 5 7" xfId="4767" xr:uid="{00000000-0005-0000-0000-0000EF150000}"/>
    <cellStyle name="Normal 4 4 5 7 2" xfId="23393" xr:uid="{7E5BE827-542F-42EC-8CEC-5016AC1F2803}"/>
    <cellStyle name="Normal 4 4 5 7 3" xfId="31840" xr:uid="{72D6664E-3CA1-4258-96DE-186BB1F21E1B}"/>
    <cellStyle name="Normal 4 4 5 7 4" xfId="40287" xr:uid="{FB33FAC7-A7F2-48D4-BB14-FA3A972BC322}"/>
    <cellStyle name="Normal 4 4 5 7 5" xfId="14093" xr:uid="{3CBBD409-3BA1-48F5-BAC9-ED8AB7461234}"/>
    <cellStyle name="Normal 4 4 5 8" xfId="8968" xr:uid="{BE877DDE-435D-4CBA-84F2-0372D1DDE771}"/>
    <cellStyle name="Normal 4 4 5 8 2" xfId="18292" xr:uid="{4A385432-6978-4253-8EDC-B88EF1C3B5C1}"/>
    <cellStyle name="Normal 4 4 5 9" xfId="19176" xr:uid="{68B0F73D-CC2B-4497-AE75-7D41D6A35616}"/>
    <cellStyle name="Normal 4 4 6" xfId="853" xr:uid="{00000000-0005-0000-0000-0000F0150000}"/>
    <cellStyle name="Normal 4 4 6 2" xfId="3088" xr:uid="{00000000-0005-0000-0000-0000F1150000}"/>
    <cellStyle name="Normal 4 4 6 2 2" xfId="7310" xr:uid="{00000000-0005-0000-0000-0000F2150000}"/>
    <cellStyle name="Normal 4 4 6 2 2 2" xfId="25936" xr:uid="{D18B1549-BF8B-4975-8858-8A015AAE976C}"/>
    <cellStyle name="Normal 4 4 6 2 2 3" xfId="34383" xr:uid="{FDDCCC48-B129-4934-A579-99FCBCD3E150}"/>
    <cellStyle name="Normal 4 4 6 2 2 4" xfId="42830" xr:uid="{390BF1DB-53FD-44EC-A30A-682B77E8B7B2}"/>
    <cellStyle name="Normal 4 4 6 2 2 5" xfId="16636" xr:uid="{8698D56C-3F27-4168-A3A2-B9372E6113E2}"/>
    <cellStyle name="Normal 4 4 6 2 3" xfId="21719" xr:uid="{79629754-7699-4D9C-85C5-FA1C524D61B6}"/>
    <cellStyle name="Normal 4 4 6 2 4" xfId="30166" xr:uid="{751F226C-946F-4F74-9D5D-5B8D9511F00A}"/>
    <cellStyle name="Normal 4 4 6 2 5" xfId="38613" xr:uid="{C7217B7C-8435-488B-9258-4D9A0C34F6C5}"/>
    <cellStyle name="Normal 4 4 6 2 6" xfId="12419" xr:uid="{0221D5E2-DB98-4B27-AD9B-78B776E91F04}"/>
    <cellStyle name="Normal 4 4 6 3" xfId="5165" xr:uid="{00000000-0005-0000-0000-0000F3150000}"/>
    <cellStyle name="Normal 4 4 6 3 2" xfId="23791" xr:uid="{B4C80B2E-7E13-4FCF-8FF4-FD02AA30DD5F}"/>
    <cellStyle name="Normal 4 4 6 3 3" xfId="32238" xr:uid="{B048D878-7887-4A77-9C61-8A661C370D9A}"/>
    <cellStyle name="Normal 4 4 6 3 4" xfId="40685" xr:uid="{913E480E-7ED7-4A4F-819A-AFC6411FC228}"/>
    <cellStyle name="Normal 4 4 6 3 5" xfId="14491" xr:uid="{EC39FD17-B67C-4720-BA17-BE217A820404}"/>
    <cellStyle name="Normal 4 4 6 4" xfId="9171" xr:uid="{C474601B-95F0-4C9E-AB77-B3E61D2A21D7}"/>
    <cellStyle name="Normal 4 4 6 4 2" xfId="18490" xr:uid="{CE30240A-8083-4F77-A436-6251521DD743}"/>
    <cellStyle name="Normal 4 4 6 5" xfId="19574" xr:uid="{FF4A6560-117C-4C1C-A358-D9567109EBDA}"/>
    <cellStyle name="Normal 4 4 6 6" xfId="28021" xr:uid="{19D2A01B-CA6D-411D-9122-1803561BDA24}"/>
    <cellStyle name="Normal 4 4 6 7" xfId="36468" xr:uid="{BF800687-ECBA-4D00-8463-98F82DC0A1C5}"/>
    <cellStyle name="Normal 4 4 6 8" xfId="10274" xr:uid="{CB92515A-F2EE-46D3-BE58-06E7CFA26DB1}"/>
    <cellStyle name="Normal 4 4 7" xfId="1271" xr:uid="{00000000-0005-0000-0000-0000F4150000}"/>
    <cellStyle name="Normal 4 4 7 2" xfId="3501" xr:uid="{00000000-0005-0000-0000-0000F5150000}"/>
    <cellStyle name="Normal 4 4 7 2 2" xfId="7723" xr:uid="{00000000-0005-0000-0000-0000F6150000}"/>
    <cellStyle name="Normal 4 4 7 2 2 2" xfId="26349" xr:uid="{BA22F207-233D-4716-84D0-2F7658984E15}"/>
    <cellStyle name="Normal 4 4 7 2 2 3" xfId="34796" xr:uid="{687B4848-732C-4316-88C9-CBF09DFEEB02}"/>
    <cellStyle name="Normal 4 4 7 2 2 4" xfId="43243" xr:uid="{B4548B05-1425-41AA-BD75-A45D57164087}"/>
    <cellStyle name="Normal 4 4 7 2 2 5" xfId="17049" xr:uid="{4B33BB39-70C3-41C6-86E2-A90D3538DC4C}"/>
    <cellStyle name="Normal 4 4 7 2 3" xfId="22132" xr:uid="{B5F47869-B1A4-4D60-9162-D009F2A4A8F9}"/>
    <cellStyle name="Normal 4 4 7 2 4" xfId="30579" xr:uid="{442ED8F8-65A4-41C9-8D93-8D31186407FA}"/>
    <cellStyle name="Normal 4 4 7 2 5" xfId="39026" xr:uid="{3EBA79B8-A7C3-449E-99CB-FDA107314234}"/>
    <cellStyle name="Normal 4 4 7 2 6" xfId="12832" xr:uid="{BDA21E3A-67EC-41C9-9902-ABC037D0D738}"/>
    <cellStyle name="Normal 4 4 7 3" xfId="5578" xr:uid="{00000000-0005-0000-0000-0000F7150000}"/>
    <cellStyle name="Normal 4 4 7 3 2" xfId="24204" xr:uid="{F3263B3C-6CAE-4787-800F-1ADA16E28F74}"/>
    <cellStyle name="Normal 4 4 7 3 3" xfId="32651" xr:uid="{BA79AF0E-6822-4476-80C1-B97AE5C74648}"/>
    <cellStyle name="Normal 4 4 7 3 4" xfId="41098" xr:uid="{37A3DA1E-1DF6-4D16-A97E-6FBDABDEE0F2}"/>
    <cellStyle name="Normal 4 4 7 3 5" xfId="14904" xr:uid="{031653D5-AC53-40A0-A6AB-98727C6E9B00}"/>
    <cellStyle name="Normal 4 4 7 4" xfId="19987" xr:uid="{977D822E-0246-4D5A-880A-7AAE7A6AF4E1}"/>
    <cellStyle name="Normal 4 4 7 5" xfId="28434" xr:uid="{4F84BB41-B0DF-4357-B98C-D5B5502A3B0A}"/>
    <cellStyle name="Normal 4 4 7 6" xfId="36881" xr:uid="{B2210D4E-2E5B-489E-B46C-FBA92E2729D4}"/>
    <cellStyle name="Normal 4 4 7 7" xfId="10687" xr:uid="{45EB7CB9-52E4-4CDA-9C6F-1C9E0552D5A9}"/>
    <cellStyle name="Normal 4 4 8" xfId="1684" xr:uid="{00000000-0005-0000-0000-0000F8150000}"/>
    <cellStyle name="Normal 4 4 8 2" xfId="3914" xr:uid="{00000000-0005-0000-0000-0000F9150000}"/>
    <cellStyle name="Normal 4 4 8 2 2" xfId="8136" xr:uid="{00000000-0005-0000-0000-0000FA150000}"/>
    <cellStyle name="Normal 4 4 8 2 2 2" xfId="26762" xr:uid="{99D146F6-0171-4204-A9F3-A41F3A9EA591}"/>
    <cellStyle name="Normal 4 4 8 2 2 3" xfId="35209" xr:uid="{36A94DE2-911C-4882-A6D3-CC32129CF5F3}"/>
    <cellStyle name="Normal 4 4 8 2 2 4" xfId="43656" xr:uid="{CF11E402-9EC2-4883-8BF8-14DC5B7AD089}"/>
    <cellStyle name="Normal 4 4 8 2 2 5" xfId="17462" xr:uid="{C0C7B3E6-8727-4D97-83C8-2A3814169761}"/>
    <cellStyle name="Normal 4 4 8 2 3" xfId="22545" xr:uid="{0C34CFCB-9F7C-4DCA-A378-154937AAB1C2}"/>
    <cellStyle name="Normal 4 4 8 2 4" xfId="30992" xr:uid="{5E61C216-0311-4E8E-8905-206BED566BF5}"/>
    <cellStyle name="Normal 4 4 8 2 5" xfId="39439" xr:uid="{4204103D-BEBA-4572-BBB2-71A09A21E864}"/>
    <cellStyle name="Normal 4 4 8 2 6" xfId="13245" xr:uid="{36DEE34B-7357-4FCD-AC6A-67D0617D6848}"/>
    <cellStyle name="Normal 4 4 8 3" xfId="5991" xr:uid="{00000000-0005-0000-0000-0000FB150000}"/>
    <cellStyle name="Normal 4 4 8 3 2" xfId="24617" xr:uid="{5178DCD8-85F9-4AC1-BE53-0EC40850EB45}"/>
    <cellStyle name="Normal 4 4 8 3 3" xfId="33064" xr:uid="{E69B6D2D-7D25-456F-BD64-2ADC2A5AB1FE}"/>
    <cellStyle name="Normal 4 4 8 3 4" xfId="41511" xr:uid="{75CA4C32-077E-4E24-9996-81631CCC722D}"/>
    <cellStyle name="Normal 4 4 8 3 5" xfId="15317" xr:uid="{D7C88EEB-1EA7-4B52-B970-1B1957500FD9}"/>
    <cellStyle name="Normal 4 4 8 4" xfId="20400" xr:uid="{5B15EC1B-EA05-42B1-A00E-2FDD00CD86F9}"/>
    <cellStyle name="Normal 4 4 8 5" xfId="28847" xr:uid="{A7E9A518-9CC2-463E-B8D6-88C490BD52D0}"/>
    <cellStyle name="Normal 4 4 8 6" xfId="37294" xr:uid="{3E849A6C-438A-47D8-B69E-D4C938076227}"/>
    <cellStyle name="Normal 4 4 8 7" xfId="11100" xr:uid="{6CE79BD7-A4A2-4A0E-BE30-D02571D37838}"/>
    <cellStyle name="Normal 4 4 9" xfId="2098" xr:uid="{00000000-0005-0000-0000-0000FC150000}"/>
    <cellStyle name="Normal 4 4 9 2" xfId="4327" xr:uid="{00000000-0005-0000-0000-0000FD150000}"/>
    <cellStyle name="Normal 4 4 9 2 2" xfId="8549" xr:uid="{00000000-0005-0000-0000-0000FE150000}"/>
    <cellStyle name="Normal 4 4 9 2 2 2" xfId="27175" xr:uid="{A156C960-535C-4BC9-BB4D-4DABDD6C607B}"/>
    <cellStyle name="Normal 4 4 9 2 2 3" xfId="35622" xr:uid="{4BEC6DE7-9052-4211-BABA-4AAE21E26749}"/>
    <cellStyle name="Normal 4 4 9 2 2 4" xfId="44069" xr:uid="{3A0B9E93-29EC-410D-A07A-BC9920F35CC3}"/>
    <cellStyle name="Normal 4 4 9 2 2 5" xfId="17875" xr:uid="{F558B16D-4FFF-4729-9CB2-9EFF7DB2C1F4}"/>
    <cellStyle name="Normal 4 4 9 2 3" xfId="22958" xr:uid="{CBACA943-317A-49FE-BC71-4D291D24DA27}"/>
    <cellStyle name="Normal 4 4 9 2 4" xfId="31405" xr:uid="{72E05D58-64D7-4023-BB5D-365CCE911C4D}"/>
    <cellStyle name="Normal 4 4 9 2 5" xfId="39852" xr:uid="{81837E63-D72A-4223-93A6-C164D09919AF}"/>
    <cellStyle name="Normal 4 4 9 2 6" xfId="13658" xr:uid="{D7A8123C-E12B-45AF-AFF8-51F448FC7971}"/>
    <cellStyle name="Normal 4 4 9 3" xfId="6404" xr:uid="{00000000-0005-0000-0000-0000FF150000}"/>
    <cellStyle name="Normal 4 4 9 3 2" xfId="25030" xr:uid="{AF14B258-D72B-41BD-9F12-C0570807EBC4}"/>
    <cellStyle name="Normal 4 4 9 3 3" xfId="33477" xr:uid="{5FE380D4-DA94-4BEA-BA12-93962AE3CB7D}"/>
    <cellStyle name="Normal 4 4 9 3 4" xfId="41924" xr:uid="{65DFEEA5-F563-48F7-94C5-CE00E7EEFFC3}"/>
    <cellStyle name="Normal 4 4 9 3 5" xfId="15730" xr:uid="{3AD3A1AF-C9BA-46B6-A1A5-BD8565E6D495}"/>
    <cellStyle name="Normal 4 4 9 4" xfId="20813" xr:uid="{43CA8D3C-DC96-45DD-91F4-B87FC0973F61}"/>
    <cellStyle name="Normal 4 4 9 5" xfId="29260" xr:uid="{8A871CC4-D709-40EF-89A5-AD073F48B09A}"/>
    <cellStyle name="Normal 4 4 9 6" xfId="37707" xr:uid="{74A00DC1-C696-48BD-95FD-77FCCF00BE30}"/>
    <cellStyle name="Normal 4 4 9 7" xfId="11513" xr:uid="{271841D3-E319-4438-BD74-C370FBC66B05}"/>
    <cellStyle name="Normal 4 5" xfId="394" xr:uid="{00000000-0005-0000-0000-000000160000}"/>
    <cellStyle name="Normal 4 6" xfId="395" xr:uid="{00000000-0005-0000-0000-000001160000}"/>
    <cellStyle name="Normal 4 6 10" xfId="4768" xr:uid="{00000000-0005-0000-0000-000002160000}"/>
    <cellStyle name="Normal 4 6 10 2" xfId="23394" xr:uid="{56971D2F-A68C-42C0-9D5D-F3DF53FDDDD0}"/>
    <cellStyle name="Normal 4 6 10 3" xfId="31841" xr:uid="{E73FA21E-C70E-49BD-84C5-08C72696FA7C}"/>
    <cellStyle name="Normal 4 6 10 4" xfId="40288" xr:uid="{E22B7D12-E915-46FF-B920-BD6A5774F573}"/>
    <cellStyle name="Normal 4 6 10 5" xfId="14094" xr:uid="{0B869F1D-4020-4755-ADE8-CB39E678BC56}"/>
    <cellStyle name="Normal 4 6 11" xfId="8772" xr:uid="{23628FEE-4113-4B2C-B2A0-0106FC7F55C2}"/>
    <cellStyle name="Normal 4 6 11 2" xfId="18096" xr:uid="{30968903-0504-40A6-957B-36C5538379A8}"/>
    <cellStyle name="Normal 4 6 12" xfId="19177" xr:uid="{D91937DB-C297-476E-A1C5-85C5B35733FF}"/>
    <cellStyle name="Normal 4 6 13" xfId="27624" xr:uid="{C2A77D77-554D-4CB2-9023-679DF331861C}"/>
    <cellStyle name="Normal 4 6 14" xfId="36071" xr:uid="{63A3C9BB-5232-4205-9A79-E9403512DD87}"/>
    <cellStyle name="Normal 4 6 15" xfId="9877" xr:uid="{DF332F8D-3965-439E-BD0A-D83C1A68DC6F}"/>
    <cellStyle name="Normal 4 6 2" xfId="396" xr:uid="{00000000-0005-0000-0000-000003160000}"/>
    <cellStyle name="Normal 4 6 2 10" xfId="8825" xr:uid="{C3062495-9D56-441B-95F6-B73E7DAC524C}"/>
    <cellStyle name="Normal 4 6 2 10 2" xfId="18149" xr:uid="{FF74A464-8AF2-44CC-B471-AE9C4FAC400C}"/>
    <cellStyle name="Normal 4 6 2 11" xfId="19178" xr:uid="{D7E178B9-4700-44A2-ABE5-62119CE4865E}"/>
    <cellStyle name="Normal 4 6 2 12" xfId="27625" xr:uid="{93DD89FD-D838-4183-BAE2-69B42C816C86}"/>
    <cellStyle name="Normal 4 6 2 13" xfId="36072" xr:uid="{C7DCEB68-F015-41D7-8EE9-4A204143824B}"/>
    <cellStyle name="Normal 4 6 2 14" xfId="9878" xr:uid="{9C038570-7FB1-40DD-A64B-106A2E6783D6}"/>
    <cellStyle name="Normal 4 6 2 2" xfId="397" xr:uid="{00000000-0005-0000-0000-000004160000}"/>
    <cellStyle name="Normal 4 6 2 2 10" xfId="19179" xr:uid="{59BD0D42-77CC-48D5-80DE-2CE1037C35CF}"/>
    <cellStyle name="Normal 4 6 2 2 11" xfId="27626" xr:uid="{DA0ED2C0-8BB6-4A14-9F34-4C065E187976}"/>
    <cellStyle name="Normal 4 6 2 2 12" xfId="36073" xr:uid="{CECE2E56-104B-4094-9BFB-383BD598625A}"/>
    <cellStyle name="Normal 4 6 2 2 13" xfId="9879" xr:uid="{5960C3FC-C07C-48AB-A7A1-E25E7BD8EAE5}"/>
    <cellStyle name="Normal 4 6 2 2 2" xfId="398" xr:uid="{00000000-0005-0000-0000-000005160000}"/>
    <cellStyle name="Normal 4 6 2 2 2 10" xfId="27627" xr:uid="{2D9EC8A5-CE07-4D5B-9EA8-BF82D94E83BC}"/>
    <cellStyle name="Normal 4 6 2 2 2 11" xfId="36074" xr:uid="{EA0D9B4C-EB4B-4000-8790-4B7957A709F0}"/>
    <cellStyle name="Normal 4 6 2 2 2 12" xfId="9880" xr:uid="{119894C1-006F-4403-8E5D-7ADEA6E23CE7}"/>
    <cellStyle name="Normal 4 6 2 2 2 2" xfId="872" xr:uid="{00000000-0005-0000-0000-000006160000}"/>
    <cellStyle name="Normal 4 6 2 2 2 2 2" xfId="3107" xr:uid="{00000000-0005-0000-0000-000007160000}"/>
    <cellStyle name="Normal 4 6 2 2 2 2 2 2" xfId="7329" xr:uid="{00000000-0005-0000-0000-000008160000}"/>
    <cellStyle name="Normal 4 6 2 2 2 2 2 2 2" xfId="25955" xr:uid="{5A02105C-D495-4739-9258-60B585FC63BC}"/>
    <cellStyle name="Normal 4 6 2 2 2 2 2 2 3" xfId="34402" xr:uid="{8A40AB25-53AA-472F-86BC-2047359F5151}"/>
    <cellStyle name="Normal 4 6 2 2 2 2 2 2 4" xfId="42849" xr:uid="{3AA1F8B5-54C4-448A-B0B5-A500EAF00AB1}"/>
    <cellStyle name="Normal 4 6 2 2 2 2 2 2 5" xfId="16655" xr:uid="{60EA5C5C-B94D-493D-ADDF-2CC0B3039536}"/>
    <cellStyle name="Normal 4 6 2 2 2 2 2 3" xfId="21738" xr:uid="{D39403C0-DD3B-45C6-9584-23F5BF04CE9A}"/>
    <cellStyle name="Normal 4 6 2 2 2 2 2 4" xfId="30185" xr:uid="{28CA8E50-221C-467E-B1F7-1E5140DE1D67}"/>
    <cellStyle name="Normal 4 6 2 2 2 2 2 5" xfId="38632" xr:uid="{B46AFEF8-681A-48E0-9F5E-7268DB38485E}"/>
    <cellStyle name="Normal 4 6 2 2 2 2 2 6" xfId="12438" xr:uid="{B3404E07-DDED-43AA-AEBD-EF4F2D266C94}"/>
    <cellStyle name="Normal 4 6 2 2 2 2 3" xfId="5184" xr:uid="{00000000-0005-0000-0000-000009160000}"/>
    <cellStyle name="Normal 4 6 2 2 2 2 3 2" xfId="23810" xr:uid="{B0631544-131B-4AE4-9F37-96B9B8FD3C5B}"/>
    <cellStyle name="Normal 4 6 2 2 2 2 3 3" xfId="32257" xr:uid="{81E60A07-4060-436A-BA66-C8E2D5B9C0C3}"/>
    <cellStyle name="Normal 4 6 2 2 2 2 3 4" xfId="40704" xr:uid="{186F56A0-607C-4870-A8BE-D8A45C2D489D}"/>
    <cellStyle name="Normal 4 6 2 2 2 2 3 5" xfId="14510" xr:uid="{0F39909A-004A-45BB-B0C3-8236C838B579}"/>
    <cellStyle name="Normal 4 6 2 2 2 2 4" xfId="9560" xr:uid="{04DAEE11-A96E-4522-8546-8A0C107E12B9}"/>
    <cellStyle name="Normal 4 6 2 2 2 2 4 2" xfId="18876" xr:uid="{9721E202-2B39-41C1-9785-F0EF0D87C7A3}"/>
    <cellStyle name="Normal 4 6 2 2 2 2 5" xfId="19593" xr:uid="{3FA328CF-E481-46A5-BF4E-9E3DE4057F94}"/>
    <cellStyle name="Normal 4 6 2 2 2 2 6" xfId="28040" xr:uid="{C1224EB8-2874-4833-ADE6-D18DA68A8AC4}"/>
    <cellStyle name="Normal 4 6 2 2 2 2 7" xfId="36487" xr:uid="{4C0F9756-49C0-41F7-9DF9-48E6CB0576B0}"/>
    <cellStyle name="Normal 4 6 2 2 2 2 8" xfId="10293" xr:uid="{3D7079ED-B014-42E4-9426-15E2A42A6257}"/>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2 2 2" xfId="26368" xr:uid="{7B661E8E-94C2-485A-9FFB-82DB23473B13}"/>
    <cellStyle name="Normal 4 6 2 2 2 3 2 2 3" xfId="34815" xr:uid="{199132E4-9286-4B8E-8804-105D42D5E10E}"/>
    <cellStyle name="Normal 4 6 2 2 2 3 2 2 4" xfId="43262" xr:uid="{B7987441-5CD2-4D23-AB5A-33E7832FB59C}"/>
    <cellStyle name="Normal 4 6 2 2 2 3 2 2 5" xfId="17068" xr:uid="{C4CB1951-79BC-41E8-BE6E-0A0C7EF3AD9A}"/>
    <cellStyle name="Normal 4 6 2 2 2 3 2 3" xfId="22151" xr:uid="{BAEAC132-D675-4910-B33D-4BC5F790ABCC}"/>
    <cellStyle name="Normal 4 6 2 2 2 3 2 4" xfId="30598" xr:uid="{9AA6A663-DF5D-4652-A8B2-B61F389646E9}"/>
    <cellStyle name="Normal 4 6 2 2 2 3 2 5" xfId="39045" xr:uid="{8CA0456F-94C8-4036-B169-35DC73D19465}"/>
    <cellStyle name="Normal 4 6 2 2 2 3 2 6" xfId="12851" xr:uid="{118B5435-856C-4923-BA28-7D1EAEBE663D}"/>
    <cellStyle name="Normal 4 6 2 2 2 3 3" xfId="5597" xr:uid="{00000000-0005-0000-0000-00000D160000}"/>
    <cellStyle name="Normal 4 6 2 2 2 3 3 2" xfId="24223" xr:uid="{DB8D9A43-5E0E-4DD5-9F94-F75CFA8DA885}"/>
    <cellStyle name="Normal 4 6 2 2 2 3 3 3" xfId="32670" xr:uid="{068EF386-3C5C-4F0E-B31B-1FF65AF0A524}"/>
    <cellStyle name="Normal 4 6 2 2 2 3 3 4" xfId="41117" xr:uid="{765FB75A-D57B-4BFD-9F10-BBB091470704}"/>
    <cellStyle name="Normal 4 6 2 2 2 3 3 5" xfId="14923" xr:uid="{9A0045DF-CE6E-49A0-A610-570A82FEDC78}"/>
    <cellStyle name="Normal 4 6 2 2 2 3 4" xfId="20006" xr:uid="{DCB36ED5-D38A-4687-9032-466BF4BC7184}"/>
    <cellStyle name="Normal 4 6 2 2 2 3 5" xfId="28453" xr:uid="{A1D161AE-6A3A-4469-9BED-F31863920D13}"/>
    <cellStyle name="Normal 4 6 2 2 2 3 6" xfId="36900" xr:uid="{DE1ABAC2-178D-42D3-84A3-239C350F43E7}"/>
    <cellStyle name="Normal 4 6 2 2 2 3 7" xfId="10706" xr:uid="{7F2E02E5-746C-4F5B-A5F2-C50680F58DA4}"/>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2 2 2" xfId="26781" xr:uid="{66FDB685-DCAC-48EE-A5BA-63DE628C0D61}"/>
    <cellStyle name="Normal 4 6 2 2 2 4 2 2 3" xfId="35228" xr:uid="{550A9D9D-46CF-4D60-A6EA-B29C16A4130F}"/>
    <cellStyle name="Normal 4 6 2 2 2 4 2 2 4" xfId="43675" xr:uid="{6B39F0DA-CAC4-470F-B222-0855FA1A0EF0}"/>
    <cellStyle name="Normal 4 6 2 2 2 4 2 2 5" xfId="17481" xr:uid="{F9C7517B-3F38-48C7-B41F-EF8C8FBE7724}"/>
    <cellStyle name="Normal 4 6 2 2 2 4 2 3" xfId="22564" xr:uid="{413F4DCF-22C6-4842-A53E-3F2FB17D490C}"/>
    <cellStyle name="Normal 4 6 2 2 2 4 2 4" xfId="31011" xr:uid="{754B5739-537F-419E-88FE-EC8FD31BC313}"/>
    <cellStyle name="Normal 4 6 2 2 2 4 2 5" xfId="39458" xr:uid="{63AD53C7-2F41-451E-AE17-C258B568C9D1}"/>
    <cellStyle name="Normal 4 6 2 2 2 4 2 6" xfId="13264" xr:uid="{3663DDCC-5093-4B70-80EF-621D8EF3BE54}"/>
    <cellStyle name="Normal 4 6 2 2 2 4 3" xfId="6010" xr:uid="{00000000-0005-0000-0000-000011160000}"/>
    <cellStyle name="Normal 4 6 2 2 2 4 3 2" xfId="24636" xr:uid="{1C9C095A-79F7-4EFE-972E-7F56E6D4BE54}"/>
    <cellStyle name="Normal 4 6 2 2 2 4 3 3" xfId="33083" xr:uid="{C566E264-F8A8-4D88-A101-A5994E413FA1}"/>
    <cellStyle name="Normal 4 6 2 2 2 4 3 4" xfId="41530" xr:uid="{6DE0CF87-CDCE-480C-B7C0-EF0127D5E6B8}"/>
    <cellStyle name="Normal 4 6 2 2 2 4 3 5" xfId="15336" xr:uid="{5A1ACC8D-CBEC-4FDB-BD63-EAC90A838952}"/>
    <cellStyle name="Normal 4 6 2 2 2 4 4" xfId="20419" xr:uid="{2D3DA38C-2988-4012-98F2-6F6E92B47EC6}"/>
    <cellStyle name="Normal 4 6 2 2 2 4 5" xfId="28866" xr:uid="{9E098F52-7D11-44C0-87BF-D5782449E2C6}"/>
    <cellStyle name="Normal 4 6 2 2 2 4 6" xfId="37313" xr:uid="{7EC4A94E-400D-4C92-862B-BECF23507409}"/>
    <cellStyle name="Normal 4 6 2 2 2 4 7" xfId="11119" xr:uid="{1ED35AD0-85DA-4EC4-84F0-15C7EB68CDAA}"/>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2 2 2" xfId="27194" xr:uid="{08D4D3D4-557F-4510-8750-B645A2CF7130}"/>
    <cellStyle name="Normal 4 6 2 2 2 5 2 2 3" xfId="35641" xr:uid="{17D79FC7-C6B7-4827-936B-7D8DCF855D71}"/>
    <cellStyle name="Normal 4 6 2 2 2 5 2 2 4" xfId="44088" xr:uid="{5D9B48FE-82C9-4A99-8519-9722C148B49E}"/>
    <cellStyle name="Normal 4 6 2 2 2 5 2 2 5" xfId="17894" xr:uid="{964F6117-129E-4885-A5EC-70849DC3748D}"/>
    <cellStyle name="Normal 4 6 2 2 2 5 2 3" xfId="22977" xr:uid="{DB9490C4-0269-4CE5-949C-DD613F142DED}"/>
    <cellStyle name="Normal 4 6 2 2 2 5 2 4" xfId="31424" xr:uid="{0CF663AE-B26F-4AB6-B70E-E03AC8E733E2}"/>
    <cellStyle name="Normal 4 6 2 2 2 5 2 5" xfId="39871" xr:uid="{15F5369D-3FA8-4204-967E-162640AB0C2C}"/>
    <cellStyle name="Normal 4 6 2 2 2 5 2 6" xfId="13677" xr:uid="{96B243DD-C6CD-4FB7-A466-681A7EDA82D8}"/>
    <cellStyle name="Normal 4 6 2 2 2 5 3" xfId="6423" xr:uid="{00000000-0005-0000-0000-000015160000}"/>
    <cellStyle name="Normal 4 6 2 2 2 5 3 2" xfId="25049" xr:uid="{696C06EF-A004-44DE-9447-48554FD0A954}"/>
    <cellStyle name="Normal 4 6 2 2 2 5 3 3" xfId="33496" xr:uid="{95D2E86F-08F1-4595-A42D-B6BC1066E45A}"/>
    <cellStyle name="Normal 4 6 2 2 2 5 3 4" xfId="41943" xr:uid="{165E80E6-5DBA-4F09-A4EC-91DF391EBDE8}"/>
    <cellStyle name="Normal 4 6 2 2 2 5 3 5" xfId="15749" xr:uid="{24BCD7FF-AEE1-43F7-981A-0D26061DA674}"/>
    <cellStyle name="Normal 4 6 2 2 2 5 4" xfId="20832" xr:uid="{42F6D148-7964-47A7-A8CC-B693555ADFEF}"/>
    <cellStyle name="Normal 4 6 2 2 2 5 5" xfId="29279" xr:uid="{1A715298-A294-4F14-B718-C9F498BFE390}"/>
    <cellStyle name="Normal 4 6 2 2 2 5 6" xfId="37726" xr:uid="{A7FD47C9-FD87-4396-8BEA-A46493EE3533}"/>
    <cellStyle name="Normal 4 6 2 2 2 5 7" xfId="11532" xr:uid="{A8199E0E-672D-420F-B94A-B9405A0A3FC5}"/>
    <cellStyle name="Normal 4 6 2 2 2 6" xfId="2553" xr:uid="{00000000-0005-0000-0000-000016160000}"/>
    <cellStyle name="Normal 4 6 2 2 2 6 2" xfId="6836" xr:uid="{00000000-0005-0000-0000-000017160000}"/>
    <cellStyle name="Normal 4 6 2 2 2 6 2 2" xfId="25462" xr:uid="{CFC59CC3-3753-4B4A-8C07-BE1AE99AFE01}"/>
    <cellStyle name="Normal 4 6 2 2 2 6 2 3" xfId="33909" xr:uid="{3F41EF13-FCB5-41F7-A7D9-EF032583A699}"/>
    <cellStyle name="Normal 4 6 2 2 2 6 2 4" xfId="42356" xr:uid="{89307919-EEF5-420C-BF57-7376614C21BC}"/>
    <cellStyle name="Normal 4 6 2 2 2 6 2 5" xfId="16162" xr:uid="{816DA342-C3F2-43B8-BA69-DC0FB05DD5E9}"/>
    <cellStyle name="Normal 4 6 2 2 2 6 3" xfId="21245" xr:uid="{224A7688-93FC-4960-8C2D-C5DDB4F1523E}"/>
    <cellStyle name="Normal 4 6 2 2 2 6 4" xfId="29692" xr:uid="{8E38AC12-E2F3-4199-80C7-C59D882B2253}"/>
    <cellStyle name="Normal 4 6 2 2 2 6 5" xfId="38139" xr:uid="{B8B3960C-3067-4ACA-B97B-EF0DE3DB6F85}"/>
    <cellStyle name="Normal 4 6 2 2 2 6 6" xfId="11945" xr:uid="{898DA55C-8743-4551-B1B0-0C12CC4E8F95}"/>
    <cellStyle name="Normal 4 6 2 2 2 7" xfId="4771" xr:uid="{00000000-0005-0000-0000-000018160000}"/>
    <cellStyle name="Normal 4 6 2 2 2 7 2" xfId="23397" xr:uid="{6CC6536D-A211-4F9A-968F-A4649A9E14C4}"/>
    <cellStyle name="Normal 4 6 2 2 2 7 3" xfId="31844" xr:uid="{7E0C5ADF-79E4-4A52-A4E0-F0E649C04FA7}"/>
    <cellStyle name="Normal 4 6 2 2 2 7 4" xfId="40291" xr:uid="{EE449CA4-BA4A-4C3A-B27E-23A1B1A7050D}"/>
    <cellStyle name="Normal 4 6 2 2 2 7 5" xfId="14097" xr:uid="{6457901C-05F5-4100-94AB-5AF464EAEC0B}"/>
    <cellStyle name="Normal 4 6 2 2 2 8" xfId="9135" xr:uid="{2F4C420F-13DD-45DD-99DD-C7AFF7CD7823}"/>
    <cellStyle name="Normal 4 6 2 2 2 8 2" xfId="18459" xr:uid="{299DEB2F-C31F-4B67-978A-8AA42A0A0CFE}"/>
    <cellStyle name="Normal 4 6 2 2 2 9" xfId="19180" xr:uid="{C07624AE-7077-4841-8929-A066AB8C9AE0}"/>
    <cellStyle name="Normal 4 6 2 2 3" xfId="871" xr:uid="{00000000-0005-0000-0000-000019160000}"/>
    <cellStyle name="Normal 4 6 2 2 3 2" xfId="3106" xr:uid="{00000000-0005-0000-0000-00001A160000}"/>
    <cellStyle name="Normal 4 6 2 2 3 2 2" xfId="7328" xr:uid="{00000000-0005-0000-0000-00001B160000}"/>
    <cellStyle name="Normal 4 6 2 2 3 2 2 2" xfId="25954" xr:uid="{58620C63-2CC2-441B-A73D-97E5F0E9A013}"/>
    <cellStyle name="Normal 4 6 2 2 3 2 2 3" xfId="34401" xr:uid="{3B04D4D1-DA4F-471B-A9E0-291A22569AF8}"/>
    <cellStyle name="Normal 4 6 2 2 3 2 2 4" xfId="42848" xr:uid="{2BFA400B-91A5-459A-A8A2-FA2134B4161B}"/>
    <cellStyle name="Normal 4 6 2 2 3 2 2 5" xfId="16654" xr:uid="{735D1175-28F2-415B-B3CA-7E0D713A24A6}"/>
    <cellStyle name="Normal 4 6 2 2 3 2 3" xfId="21737" xr:uid="{0CF78A06-10BF-429E-AB95-CAD490002580}"/>
    <cellStyle name="Normal 4 6 2 2 3 2 4" xfId="30184" xr:uid="{1BEB684D-9B00-4CA2-81C1-D8EB052298DA}"/>
    <cellStyle name="Normal 4 6 2 2 3 2 5" xfId="38631" xr:uid="{AADC8A7F-FF91-40E3-AE85-FF2E6C880987}"/>
    <cellStyle name="Normal 4 6 2 2 3 2 6" xfId="12437" xr:uid="{4F8F73B4-8DF8-4F5D-BDD9-CDFFD76BF4D7}"/>
    <cellStyle name="Normal 4 6 2 2 3 3" xfId="5183" xr:uid="{00000000-0005-0000-0000-00001C160000}"/>
    <cellStyle name="Normal 4 6 2 2 3 3 2" xfId="23809" xr:uid="{44531ABE-F849-48F7-BF07-824D983E866A}"/>
    <cellStyle name="Normal 4 6 2 2 3 3 3" xfId="32256" xr:uid="{AC1EA15D-5FB8-45DC-8A91-0D94A39C2F65}"/>
    <cellStyle name="Normal 4 6 2 2 3 3 4" xfId="40703" xr:uid="{766B522F-D88C-42EE-B5B2-85D7B50DEC79}"/>
    <cellStyle name="Normal 4 6 2 2 3 3 5" xfId="14509" xr:uid="{698B66A7-BE9F-40B2-A87D-AD5D1E949A15}"/>
    <cellStyle name="Normal 4 6 2 2 3 4" xfId="9353" xr:uid="{60C7EC16-17DE-43AF-A246-41C667B376B7}"/>
    <cellStyle name="Normal 4 6 2 2 3 4 2" xfId="18669" xr:uid="{7488381D-F4E6-44E4-8DF2-62A8480FB083}"/>
    <cellStyle name="Normal 4 6 2 2 3 5" xfId="19592" xr:uid="{807F1378-FB41-4738-A386-ADDD159DB173}"/>
    <cellStyle name="Normal 4 6 2 2 3 6" xfId="28039" xr:uid="{5B68D039-44DC-4B27-86FC-D5A09BEF8AC4}"/>
    <cellStyle name="Normal 4 6 2 2 3 7" xfId="36486" xr:uid="{5B159558-F2E1-45F8-A42E-3E34152C0B78}"/>
    <cellStyle name="Normal 4 6 2 2 3 8" xfId="10292" xr:uid="{73388BF0-8F83-47DC-9AFD-0579C234128E}"/>
    <cellStyle name="Normal 4 6 2 2 4" xfId="1289" xr:uid="{00000000-0005-0000-0000-00001D160000}"/>
    <cellStyle name="Normal 4 6 2 2 4 2" xfId="3519" xr:uid="{00000000-0005-0000-0000-00001E160000}"/>
    <cellStyle name="Normal 4 6 2 2 4 2 2" xfId="7741" xr:uid="{00000000-0005-0000-0000-00001F160000}"/>
    <cellStyle name="Normal 4 6 2 2 4 2 2 2" xfId="26367" xr:uid="{0367D236-DAAA-466A-9990-8648996129D6}"/>
    <cellStyle name="Normal 4 6 2 2 4 2 2 3" xfId="34814" xr:uid="{0BC19CC8-4A0A-47BC-9F80-A298200E3B4F}"/>
    <cellStyle name="Normal 4 6 2 2 4 2 2 4" xfId="43261" xr:uid="{AA91DC5D-A401-44AB-AF6B-AF85158A711D}"/>
    <cellStyle name="Normal 4 6 2 2 4 2 2 5" xfId="17067" xr:uid="{67653352-C829-4AA4-B793-8871CA4BD860}"/>
    <cellStyle name="Normal 4 6 2 2 4 2 3" xfId="22150" xr:uid="{3E15107D-8B64-4824-8CBB-B1F514DADCE8}"/>
    <cellStyle name="Normal 4 6 2 2 4 2 4" xfId="30597" xr:uid="{B2A4FEEC-9258-49CC-8D84-98DF5EA651B1}"/>
    <cellStyle name="Normal 4 6 2 2 4 2 5" xfId="39044" xr:uid="{FC8D8255-3C8E-4748-9278-EB6ABC1DF6E1}"/>
    <cellStyle name="Normal 4 6 2 2 4 2 6" xfId="12850" xr:uid="{54D4FC58-4174-4699-B1C5-01A1B9BCA6FC}"/>
    <cellStyle name="Normal 4 6 2 2 4 3" xfId="5596" xr:uid="{00000000-0005-0000-0000-000020160000}"/>
    <cellStyle name="Normal 4 6 2 2 4 3 2" xfId="24222" xr:uid="{6534FFB3-9673-47EA-BD73-42B914ECB2FB}"/>
    <cellStyle name="Normal 4 6 2 2 4 3 3" xfId="32669" xr:uid="{74605C76-6759-40EB-8678-54AA0FB12CBD}"/>
    <cellStyle name="Normal 4 6 2 2 4 3 4" xfId="41116" xr:uid="{C10DA060-BDD3-43FD-8196-BB02AAE9BD45}"/>
    <cellStyle name="Normal 4 6 2 2 4 3 5" xfId="14922" xr:uid="{0AEE15D4-27C8-47A7-836D-1A97536D2EC8}"/>
    <cellStyle name="Normal 4 6 2 2 4 4" xfId="20005" xr:uid="{C981A0AE-610D-4FF1-A337-3780A0E80D8F}"/>
    <cellStyle name="Normal 4 6 2 2 4 5" xfId="28452" xr:uid="{C71D8DF1-8CF8-4189-9705-14E8AB68C9E9}"/>
    <cellStyle name="Normal 4 6 2 2 4 6" xfId="36899" xr:uid="{8EB87E6E-3069-4C71-AE69-08F9C461DAF2}"/>
    <cellStyle name="Normal 4 6 2 2 4 7" xfId="10705" xr:uid="{21B577BD-E289-439D-9443-71F6C6748EE6}"/>
    <cellStyle name="Normal 4 6 2 2 5" xfId="1702" xr:uid="{00000000-0005-0000-0000-000021160000}"/>
    <cellStyle name="Normal 4 6 2 2 5 2" xfId="3932" xr:uid="{00000000-0005-0000-0000-000022160000}"/>
    <cellStyle name="Normal 4 6 2 2 5 2 2" xfId="8154" xr:uid="{00000000-0005-0000-0000-000023160000}"/>
    <cellStyle name="Normal 4 6 2 2 5 2 2 2" xfId="26780" xr:uid="{8FB970BC-981F-46FB-9098-EFC5B08E53DC}"/>
    <cellStyle name="Normal 4 6 2 2 5 2 2 3" xfId="35227" xr:uid="{10B80DB8-9949-42E7-AF64-188C51BFB6F9}"/>
    <cellStyle name="Normal 4 6 2 2 5 2 2 4" xfId="43674" xr:uid="{CCF7D8A5-5686-476F-9240-C94174CFF447}"/>
    <cellStyle name="Normal 4 6 2 2 5 2 2 5" xfId="17480" xr:uid="{9B34E21B-4979-4A72-8B2A-B4A37AC126E3}"/>
    <cellStyle name="Normal 4 6 2 2 5 2 3" xfId="22563" xr:uid="{CDD20A3A-AD36-4201-83C1-9C8302DE2B57}"/>
    <cellStyle name="Normal 4 6 2 2 5 2 4" xfId="31010" xr:uid="{E3D4A345-082E-4A07-8132-8C4DF80721A5}"/>
    <cellStyle name="Normal 4 6 2 2 5 2 5" xfId="39457" xr:uid="{7E5BB928-B9A0-49EB-A4F7-D8E9180E685E}"/>
    <cellStyle name="Normal 4 6 2 2 5 2 6" xfId="13263" xr:uid="{6D0E3BD3-526F-444E-B2A5-E7E1F0FED1C2}"/>
    <cellStyle name="Normal 4 6 2 2 5 3" xfId="6009" xr:uid="{00000000-0005-0000-0000-000024160000}"/>
    <cellStyle name="Normal 4 6 2 2 5 3 2" xfId="24635" xr:uid="{4DB02F3F-D932-4FEE-9EAC-978CA827D28F}"/>
    <cellStyle name="Normal 4 6 2 2 5 3 3" xfId="33082" xr:uid="{D7CFD3A5-FAC5-46FA-B3DD-083C3423CF50}"/>
    <cellStyle name="Normal 4 6 2 2 5 3 4" xfId="41529" xr:uid="{394E2E39-1291-49AF-9861-B3DCAFC80A67}"/>
    <cellStyle name="Normal 4 6 2 2 5 3 5" xfId="15335" xr:uid="{9373FBE9-FE62-45BD-8D7F-F4F4FDF99A69}"/>
    <cellStyle name="Normal 4 6 2 2 5 4" xfId="20418" xr:uid="{507DF922-EE56-41A8-A5CC-BA5B3A9BA6DF}"/>
    <cellStyle name="Normal 4 6 2 2 5 5" xfId="28865" xr:uid="{5426F102-C8FC-41CC-B53F-C29DFA5BA610}"/>
    <cellStyle name="Normal 4 6 2 2 5 6" xfId="37312" xr:uid="{433218CF-B0B7-4A39-BBD1-7CDE15A4CE98}"/>
    <cellStyle name="Normal 4 6 2 2 5 7" xfId="11118" xr:uid="{DC877DFF-7C41-433A-8403-7990CA5FBFC3}"/>
    <cellStyle name="Normal 4 6 2 2 6" xfId="2116" xr:uid="{00000000-0005-0000-0000-000025160000}"/>
    <cellStyle name="Normal 4 6 2 2 6 2" xfId="4345" xr:uid="{00000000-0005-0000-0000-000026160000}"/>
    <cellStyle name="Normal 4 6 2 2 6 2 2" xfId="8567" xr:uid="{00000000-0005-0000-0000-000027160000}"/>
    <cellStyle name="Normal 4 6 2 2 6 2 2 2" xfId="27193" xr:uid="{FA8F9A2C-CB50-4957-977D-E3D46921DE16}"/>
    <cellStyle name="Normal 4 6 2 2 6 2 2 3" xfId="35640" xr:uid="{66B31076-63DB-4E2A-B220-81CAC6509D90}"/>
    <cellStyle name="Normal 4 6 2 2 6 2 2 4" xfId="44087" xr:uid="{3D34F2C3-1FED-4AEB-B86B-1E03D97A35EA}"/>
    <cellStyle name="Normal 4 6 2 2 6 2 2 5" xfId="17893" xr:uid="{F24625F9-A064-46BA-AF7E-819EFD34F90E}"/>
    <cellStyle name="Normal 4 6 2 2 6 2 3" xfId="22976" xr:uid="{02AC9452-379C-4D47-A3A5-9CEEBC0F77CB}"/>
    <cellStyle name="Normal 4 6 2 2 6 2 4" xfId="31423" xr:uid="{B46A186B-7044-4497-9840-C2BB6186A782}"/>
    <cellStyle name="Normal 4 6 2 2 6 2 5" xfId="39870" xr:uid="{3298E24A-D8A0-417F-B7F0-DCF88A24269A}"/>
    <cellStyle name="Normal 4 6 2 2 6 2 6" xfId="13676" xr:uid="{697F04D0-316D-4B9E-959E-2C1F381AFC14}"/>
    <cellStyle name="Normal 4 6 2 2 6 3" xfId="6422" xr:uid="{00000000-0005-0000-0000-000028160000}"/>
    <cellStyle name="Normal 4 6 2 2 6 3 2" xfId="25048" xr:uid="{2EB12BFA-3AAA-43F9-B030-618881EBE77B}"/>
    <cellStyle name="Normal 4 6 2 2 6 3 3" xfId="33495" xr:uid="{A51C8825-9132-4FFB-BDEA-925811004CE7}"/>
    <cellStyle name="Normal 4 6 2 2 6 3 4" xfId="41942" xr:uid="{7BF6DCD3-CE14-4817-B3B6-1B539339A809}"/>
    <cellStyle name="Normal 4 6 2 2 6 3 5" xfId="15748" xr:uid="{782EA90E-81D7-48E3-BE17-8DAEE09E25D6}"/>
    <cellStyle name="Normal 4 6 2 2 6 4" xfId="20831" xr:uid="{E66B06CD-CA03-44E6-8A04-726E225F0CC2}"/>
    <cellStyle name="Normal 4 6 2 2 6 5" xfId="29278" xr:uid="{76E41FF4-5E9A-4289-A54B-111413A2DBDC}"/>
    <cellStyle name="Normal 4 6 2 2 6 6" xfId="37725" xr:uid="{3AA69F2E-BB92-40A2-9692-97F8F71BB89E}"/>
    <cellStyle name="Normal 4 6 2 2 6 7" xfId="11531" xr:uid="{C7EB254A-625C-4D76-A059-D92498D3808C}"/>
    <cellStyle name="Normal 4 6 2 2 7" xfId="2552" xr:uid="{00000000-0005-0000-0000-000029160000}"/>
    <cellStyle name="Normal 4 6 2 2 7 2" xfId="6835" xr:uid="{00000000-0005-0000-0000-00002A160000}"/>
    <cellStyle name="Normal 4 6 2 2 7 2 2" xfId="25461" xr:uid="{2FFE7230-00B6-4001-BFB1-21C6D62B8DEB}"/>
    <cellStyle name="Normal 4 6 2 2 7 2 3" xfId="33908" xr:uid="{6FD3F8E8-4F55-44A4-9ED6-9AE5FAFA8E60}"/>
    <cellStyle name="Normal 4 6 2 2 7 2 4" xfId="42355" xr:uid="{BAC372A0-F98B-44EE-A7B9-D3BAA8AFC563}"/>
    <cellStyle name="Normal 4 6 2 2 7 2 5" xfId="16161" xr:uid="{AFE19A0D-C3D4-406F-966C-2D277158AF70}"/>
    <cellStyle name="Normal 4 6 2 2 7 3" xfId="21244" xr:uid="{C42CDC9C-7099-4686-B810-CC5414CA484B}"/>
    <cellStyle name="Normal 4 6 2 2 7 4" xfId="29691" xr:uid="{D9696BD8-1D62-4ACF-803A-743CA663C4B7}"/>
    <cellStyle name="Normal 4 6 2 2 7 5" xfId="38138" xr:uid="{D961E40B-E80D-4A21-9ADA-9C8CBB7D4458}"/>
    <cellStyle name="Normal 4 6 2 2 7 6" xfId="11944" xr:uid="{6A247A54-44D1-42B1-9CE7-9FD8341051B9}"/>
    <cellStyle name="Normal 4 6 2 2 8" xfId="4770" xr:uid="{00000000-0005-0000-0000-00002B160000}"/>
    <cellStyle name="Normal 4 6 2 2 8 2" xfId="23396" xr:uid="{FFE4E6A2-B18C-4E28-BC4F-8738E0254F71}"/>
    <cellStyle name="Normal 4 6 2 2 8 3" xfId="31843" xr:uid="{176FDE9D-3B01-4937-80DE-72C593027B09}"/>
    <cellStyle name="Normal 4 6 2 2 8 4" xfId="40290" xr:uid="{1295FD95-67E1-4289-BACB-CA78931518E1}"/>
    <cellStyle name="Normal 4 6 2 2 8 5" xfId="14096" xr:uid="{57BB4E91-043A-43A6-BE8B-C48B28CE7EE9}"/>
    <cellStyle name="Normal 4 6 2 2 9" xfId="8928" xr:uid="{EC58FE5E-68BA-4864-AD86-0F9D1DB17AD0}"/>
    <cellStyle name="Normal 4 6 2 2 9 2" xfId="18252" xr:uid="{BA984DFB-8D0F-474E-87A5-52AD73FA2742}"/>
    <cellStyle name="Normal 4 6 2 3" xfId="399" xr:uid="{00000000-0005-0000-0000-00002C160000}"/>
    <cellStyle name="Normal 4 6 2 3 10" xfId="27628" xr:uid="{DAA8E873-9BB8-434D-9A75-49AA432B8552}"/>
    <cellStyle name="Normal 4 6 2 3 11" xfId="36075" xr:uid="{F346B3B1-0CBD-47C6-8998-5795DDC2D54A}"/>
    <cellStyle name="Normal 4 6 2 3 12" xfId="9881" xr:uid="{7C67BEFF-EF87-4647-B617-9F3C8AE367DC}"/>
    <cellStyle name="Normal 4 6 2 3 2" xfId="873" xr:uid="{00000000-0005-0000-0000-00002D160000}"/>
    <cellStyle name="Normal 4 6 2 3 2 2" xfId="3108" xr:uid="{00000000-0005-0000-0000-00002E160000}"/>
    <cellStyle name="Normal 4 6 2 3 2 2 2" xfId="7330" xr:uid="{00000000-0005-0000-0000-00002F160000}"/>
    <cellStyle name="Normal 4 6 2 3 2 2 2 2" xfId="25956" xr:uid="{13FE3AF1-D484-4055-AD9E-8BC8C2607C7A}"/>
    <cellStyle name="Normal 4 6 2 3 2 2 2 3" xfId="34403" xr:uid="{06199846-6498-4471-8C29-6BA8C6720569}"/>
    <cellStyle name="Normal 4 6 2 3 2 2 2 4" xfId="42850" xr:uid="{8F6C204D-52F7-4FF2-858C-0F57E6693D09}"/>
    <cellStyle name="Normal 4 6 2 3 2 2 2 5" xfId="16656" xr:uid="{116B2B83-B5B3-4B80-B5D3-844FF0AB0CDC}"/>
    <cellStyle name="Normal 4 6 2 3 2 2 3" xfId="21739" xr:uid="{3CAEA7C3-10E2-46A9-AB07-455951E03E07}"/>
    <cellStyle name="Normal 4 6 2 3 2 2 4" xfId="30186" xr:uid="{6B2EA549-F1EB-46EB-AAA1-273142904AEF}"/>
    <cellStyle name="Normal 4 6 2 3 2 2 5" xfId="38633" xr:uid="{95F80D5D-9EF9-4054-A0E3-DA834E476D93}"/>
    <cellStyle name="Normal 4 6 2 3 2 2 6" xfId="12439" xr:uid="{736F4EE2-7DED-4F1A-885F-90256FEF8437}"/>
    <cellStyle name="Normal 4 6 2 3 2 3" xfId="5185" xr:uid="{00000000-0005-0000-0000-000030160000}"/>
    <cellStyle name="Normal 4 6 2 3 2 3 2" xfId="23811" xr:uid="{CBE45397-069C-43A4-91D9-E7429E834590}"/>
    <cellStyle name="Normal 4 6 2 3 2 3 3" xfId="32258" xr:uid="{99BFBC41-B955-4620-8471-EC7C75C5E475}"/>
    <cellStyle name="Normal 4 6 2 3 2 3 4" xfId="40705" xr:uid="{FAA0524C-2D89-43C0-A0C6-F2310EFAB377}"/>
    <cellStyle name="Normal 4 6 2 3 2 3 5" xfId="14511" xr:uid="{1DE18138-788D-4CC3-9621-37C1F925EC76}"/>
    <cellStyle name="Normal 4 6 2 3 2 4" xfId="9457" xr:uid="{E86AED2D-42AD-49DE-9461-1FA72B82C89E}"/>
    <cellStyle name="Normal 4 6 2 3 2 4 2" xfId="18773" xr:uid="{4CBD35DF-832F-4B9D-92B9-D690E7755198}"/>
    <cellStyle name="Normal 4 6 2 3 2 5" xfId="19594" xr:uid="{7D852558-1392-4874-899D-D96C258918E1}"/>
    <cellStyle name="Normal 4 6 2 3 2 6" xfId="28041" xr:uid="{B1F1F5DC-8475-409C-9DB5-B2E94DCFA0B1}"/>
    <cellStyle name="Normal 4 6 2 3 2 7" xfId="36488" xr:uid="{7F421AA9-13C7-41CC-921A-F85A5DD6F77A}"/>
    <cellStyle name="Normal 4 6 2 3 2 8" xfId="10294" xr:uid="{6D4BD37C-5606-4455-8FAD-656D10769D93}"/>
    <cellStyle name="Normal 4 6 2 3 3" xfId="1291" xr:uid="{00000000-0005-0000-0000-000031160000}"/>
    <cellStyle name="Normal 4 6 2 3 3 2" xfId="3521" xr:uid="{00000000-0005-0000-0000-000032160000}"/>
    <cellStyle name="Normal 4 6 2 3 3 2 2" xfId="7743" xr:uid="{00000000-0005-0000-0000-000033160000}"/>
    <cellStyle name="Normal 4 6 2 3 3 2 2 2" xfId="26369" xr:uid="{9808FF82-0270-41CE-B055-70C622AD88C7}"/>
    <cellStyle name="Normal 4 6 2 3 3 2 2 3" xfId="34816" xr:uid="{DBA878FD-85F8-4C46-8325-3EEB9634CAD3}"/>
    <cellStyle name="Normal 4 6 2 3 3 2 2 4" xfId="43263" xr:uid="{693F987F-B93B-49C4-85EB-92A59FAC73B5}"/>
    <cellStyle name="Normal 4 6 2 3 3 2 2 5" xfId="17069" xr:uid="{4D6CB35A-F229-446D-BF54-BC794913A85F}"/>
    <cellStyle name="Normal 4 6 2 3 3 2 3" xfId="22152" xr:uid="{E8E353AC-CD93-4E28-91D8-43EBDE186BC8}"/>
    <cellStyle name="Normal 4 6 2 3 3 2 4" xfId="30599" xr:uid="{0C6C47D7-2D53-4301-B2E6-EFC20F688613}"/>
    <cellStyle name="Normal 4 6 2 3 3 2 5" xfId="39046" xr:uid="{1AC80850-AAE2-46DD-A2C9-778815BB792A}"/>
    <cellStyle name="Normal 4 6 2 3 3 2 6" xfId="12852" xr:uid="{1C3002B4-9FC4-4EFA-9361-9EDB3CB651B6}"/>
    <cellStyle name="Normal 4 6 2 3 3 3" xfId="5598" xr:uid="{00000000-0005-0000-0000-000034160000}"/>
    <cellStyle name="Normal 4 6 2 3 3 3 2" xfId="24224" xr:uid="{E8E6DEB7-DC93-487C-BE73-1AC79F703D16}"/>
    <cellStyle name="Normal 4 6 2 3 3 3 3" xfId="32671" xr:uid="{8175A409-25F6-4144-B5FB-F7C38DD51F33}"/>
    <cellStyle name="Normal 4 6 2 3 3 3 4" xfId="41118" xr:uid="{4C1ED170-FDF1-4254-853F-A5A2DA866038}"/>
    <cellStyle name="Normal 4 6 2 3 3 3 5" xfId="14924" xr:uid="{83100224-3DA8-4DC0-AC16-A3A979F97B38}"/>
    <cellStyle name="Normal 4 6 2 3 3 4" xfId="20007" xr:uid="{040D48EF-113A-4EB4-BCC0-4BB6808E31A0}"/>
    <cellStyle name="Normal 4 6 2 3 3 5" xfId="28454" xr:uid="{D6CC5234-BB5F-414A-AC60-93FC552406FB}"/>
    <cellStyle name="Normal 4 6 2 3 3 6" xfId="36901" xr:uid="{D30724FA-C8D1-44E8-99CE-3C519D0801EB}"/>
    <cellStyle name="Normal 4 6 2 3 3 7" xfId="10707" xr:uid="{ADE9AA4A-1616-449D-8130-49582DD7E94C}"/>
    <cellStyle name="Normal 4 6 2 3 4" xfId="1704" xr:uid="{00000000-0005-0000-0000-000035160000}"/>
    <cellStyle name="Normal 4 6 2 3 4 2" xfId="3934" xr:uid="{00000000-0005-0000-0000-000036160000}"/>
    <cellStyle name="Normal 4 6 2 3 4 2 2" xfId="8156" xr:uid="{00000000-0005-0000-0000-000037160000}"/>
    <cellStyle name="Normal 4 6 2 3 4 2 2 2" xfId="26782" xr:uid="{4CE59E6F-4682-4F37-AA28-2061FF2994F0}"/>
    <cellStyle name="Normal 4 6 2 3 4 2 2 3" xfId="35229" xr:uid="{4A11F496-0486-4EBA-8E1A-071A518933A6}"/>
    <cellStyle name="Normal 4 6 2 3 4 2 2 4" xfId="43676" xr:uid="{0EB0F0AC-281A-4097-8E9E-8F752F2F0594}"/>
    <cellStyle name="Normal 4 6 2 3 4 2 2 5" xfId="17482" xr:uid="{B524E32B-9883-4635-8D53-31ED0D61BCDA}"/>
    <cellStyle name="Normal 4 6 2 3 4 2 3" xfId="22565" xr:uid="{4D2F8C42-727B-4CC4-93B1-38356CF88273}"/>
    <cellStyle name="Normal 4 6 2 3 4 2 4" xfId="31012" xr:uid="{3E6E3B64-5254-49D3-8375-431B5BFFBA01}"/>
    <cellStyle name="Normal 4 6 2 3 4 2 5" xfId="39459" xr:uid="{8E3C99E9-97A1-4384-819F-6EAE9B88F7A0}"/>
    <cellStyle name="Normal 4 6 2 3 4 2 6" xfId="13265" xr:uid="{CDCB2C8C-D1B9-46F6-AF78-B5FCA4229AB1}"/>
    <cellStyle name="Normal 4 6 2 3 4 3" xfId="6011" xr:uid="{00000000-0005-0000-0000-000038160000}"/>
    <cellStyle name="Normal 4 6 2 3 4 3 2" xfId="24637" xr:uid="{54292AE0-6566-48DD-ADC2-30A1516B2D19}"/>
    <cellStyle name="Normal 4 6 2 3 4 3 3" xfId="33084" xr:uid="{BD80AE75-20FA-49E9-BE77-4EC37FAA3B8A}"/>
    <cellStyle name="Normal 4 6 2 3 4 3 4" xfId="41531" xr:uid="{0DACD2F7-3E67-40E6-A4F4-96249A2B44EE}"/>
    <cellStyle name="Normal 4 6 2 3 4 3 5" xfId="15337" xr:uid="{4271527C-2F98-48C9-AE39-7C3200DB287C}"/>
    <cellStyle name="Normal 4 6 2 3 4 4" xfId="20420" xr:uid="{2FFC86B6-5079-4D5B-A7DC-51696F78F72E}"/>
    <cellStyle name="Normal 4 6 2 3 4 5" xfId="28867" xr:uid="{D7985346-EDE8-43D5-BD37-DAFA2FA357AA}"/>
    <cellStyle name="Normal 4 6 2 3 4 6" xfId="37314" xr:uid="{651C644B-579C-4C44-865B-D072E0856C90}"/>
    <cellStyle name="Normal 4 6 2 3 4 7" xfId="11120" xr:uid="{5D0E3BA3-A0E4-428F-8BAD-AD715DE756D5}"/>
    <cellStyle name="Normal 4 6 2 3 5" xfId="2118" xr:uid="{00000000-0005-0000-0000-000039160000}"/>
    <cellStyle name="Normal 4 6 2 3 5 2" xfId="4347" xr:uid="{00000000-0005-0000-0000-00003A160000}"/>
    <cellStyle name="Normal 4 6 2 3 5 2 2" xfId="8569" xr:uid="{00000000-0005-0000-0000-00003B160000}"/>
    <cellStyle name="Normal 4 6 2 3 5 2 2 2" xfId="27195" xr:uid="{D38CAB75-F7AC-44A3-B6C4-CD51EE432E0D}"/>
    <cellStyle name="Normal 4 6 2 3 5 2 2 3" xfId="35642" xr:uid="{7BBA54EA-988C-49C2-95F0-47634B7F65FE}"/>
    <cellStyle name="Normal 4 6 2 3 5 2 2 4" xfId="44089" xr:uid="{A9D8DE00-916C-4AD4-9532-374D71D26ADB}"/>
    <cellStyle name="Normal 4 6 2 3 5 2 2 5" xfId="17895" xr:uid="{AB25F1A7-D396-4D0C-8186-A821C43249D6}"/>
    <cellStyle name="Normal 4 6 2 3 5 2 3" xfId="22978" xr:uid="{B0A8DFFE-6C9B-470F-8636-D0900EAE4272}"/>
    <cellStyle name="Normal 4 6 2 3 5 2 4" xfId="31425" xr:uid="{909C318A-85EE-4DDC-B021-0F7823B2BB7E}"/>
    <cellStyle name="Normal 4 6 2 3 5 2 5" xfId="39872" xr:uid="{3534BB4F-0F0E-45D9-8E36-E4FAA892AC3B}"/>
    <cellStyle name="Normal 4 6 2 3 5 2 6" xfId="13678" xr:uid="{5D4CC083-EDB9-4657-9872-A42E024348A2}"/>
    <cellStyle name="Normal 4 6 2 3 5 3" xfId="6424" xr:uid="{00000000-0005-0000-0000-00003C160000}"/>
    <cellStyle name="Normal 4 6 2 3 5 3 2" xfId="25050" xr:uid="{D6C8DE18-63BB-4CE2-B346-1B818B5FCC4B}"/>
    <cellStyle name="Normal 4 6 2 3 5 3 3" xfId="33497" xr:uid="{899AC9A5-14BA-4F2C-A438-B99A0DC60627}"/>
    <cellStyle name="Normal 4 6 2 3 5 3 4" xfId="41944" xr:uid="{A812F28B-E4B2-42D6-B96A-DBC688402EC6}"/>
    <cellStyle name="Normal 4 6 2 3 5 3 5" xfId="15750" xr:uid="{AC6B6B1D-897F-4B8E-BCDC-37940C7E7B16}"/>
    <cellStyle name="Normal 4 6 2 3 5 4" xfId="20833" xr:uid="{18E6E825-8A34-41F4-9FA9-3CC8E64C55D5}"/>
    <cellStyle name="Normal 4 6 2 3 5 5" xfId="29280" xr:uid="{64D4D9C5-1D8A-4686-B897-AF38A78C3BEF}"/>
    <cellStyle name="Normal 4 6 2 3 5 6" xfId="37727" xr:uid="{E6052582-BBAF-4438-BD9D-8B9783C12124}"/>
    <cellStyle name="Normal 4 6 2 3 5 7" xfId="11533" xr:uid="{F6787E28-C5D9-481C-BC02-ACC7B8F491F3}"/>
    <cellStyle name="Normal 4 6 2 3 6" xfId="2554" xr:uid="{00000000-0005-0000-0000-00003D160000}"/>
    <cellStyle name="Normal 4 6 2 3 6 2" xfId="6837" xr:uid="{00000000-0005-0000-0000-00003E160000}"/>
    <cellStyle name="Normal 4 6 2 3 6 2 2" xfId="25463" xr:uid="{82435618-4237-49B8-A793-7FC4051A4D6B}"/>
    <cellStyle name="Normal 4 6 2 3 6 2 3" xfId="33910" xr:uid="{62640064-4D43-4CCD-94F3-35282C5AAEF1}"/>
    <cellStyle name="Normal 4 6 2 3 6 2 4" xfId="42357" xr:uid="{9D3536E0-EE48-440F-8DA4-4D5E1C647A24}"/>
    <cellStyle name="Normal 4 6 2 3 6 2 5" xfId="16163" xr:uid="{36A14507-99C8-4C3A-8CEB-E46004DBE201}"/>
    <cellStyle name="Normal 4 6 2 3 6 3" xfId="21246" xr:uid="{694EF77E-769E-438B-ACFE-707441ECE7CE}"/>
    <cellStyle name="Normal 4 6 2 3 6 4" xfId="29693" xr:uid="{7BD149E9-FFF7-47A4-87CF-DC20AAC13B7F}"/>
    <cellStyle name="Normal 4 6 2 3 6 5" xfId="38140" xr:uid="{01BC447C-CF24-4617-8703-2B5FE52A8CDF}"/>
    <cellStyle name="Normal 4 6 2 3 6 6" xfId="11946" xr:uid="{AE7FB6B7-8E75-40C5-BC96-780810083576}"/>
    <cellStyle name="Normal 4 6 2 3 7" xfId="4772" xr:uid="{00000000-0005-0000-0000-00003F160000}"/>
    <cellStyle name="Normal 4 6 2 3 7 2" xfId="23398" xr:uid="{8F614BA0-A0DE-4DDB-8AB6-691B2EF63BBD}"/>
    <cellStyle name="Normal 4 6 2 3 7 3" xfId="31845" xr:uid="{48ED5918-5852-437D-86A2-E09018F89BA6}"/>
    <cellStyle name="Normal 4 6 2 3 7 4" xfId="40292" xr:uid="{242A7E8C-2680-4738-B977-0990E351532C}"/>
    <cellStyle name="Normal 4 6 2 3 7 5" xfId="14098" xr:uid="{71269936-B90E-4D58-8126-AF5DFE2EBF87}"/>
    <cellStyle name="Normal 4 6 2 3 8" xfId="9032" xr:uid="{576A1DC5-5971-4772-803F-0A60F80D4C41}"/>
    <cellStyle name="Normal 4 6 2 3 8 2" xfId="18356" xr:uid="{52181E3D-2E72-4B2E-94FE-281A1530AAD5}"/>
    <cellStyle name="Normal 4 6 2 3 9" xfId="19181" xr:uid="{6CC7B344-7F14-46BD-BAD0-8B84CB264C1D}"/>
    <cellStyle name="Normal 4 6 2 4" xfId="870" xr:uid="{00000000-0005-0000-0000-000040160000}"/>
    <cellStyle name="Normal 4 6 2 4 2" xfId="3105" xr:uid="{00000000-0005-0000-0000-000041160000}"/>
    <cellStyle name="Normal 4 6 2 4 2 2" xfId="7327" xr:uid="{00000000-0005-0000-0000-000042160000}"/>
    <cellStyle name="Normal 4 6 2 4 2 2 2" xfId="25953" xr:uid="{BBC3F2DE-12BC-4203-903E-2A38FB6F3C98}"/>
    <cellStyle name="Normal 4 6 2 4 2 2 3" xfId="34400" xr:uid="{A39BD1E8-2D2D-4681-BE7E-AB6ECC3331F2}"/>
    <cellStyle name="Normal 4 6 2 4 2 2 4" xfId="42847" xr:uid="{5A651A95-60AE-4EFB-86BE-B5599B472313}"/>
    <cellStyle name="Normal 4 6 2 4 2 2 5" xfId="16653" xr:uid="{850B6DB5-9915-4407-A87E-66DCF91B6364}"/>
    <cellStyle name="Normal 4 6 2 4 2 3" xfId="21736" xr:uid="{E77B0BA6-A05E-4E6B-A613-6997C1304219}"/>
    <cellStyle name="Normal 4 6 2 4 2 4" xfId="30183" xr:uid="{3DA6C6BF-A47F-45D6-941B-44172147775B}"/>
    <cellStyle name="Normal 4 6 2 4 2 5" xfId="38630" xr:uid="{3FEA7C97-FCB8-4D73-BC74-91D05545BA06}"/>
    <cellStyle name="Normal 4 6 2 4 2 6" xfId="12436" xr:uid="{91574A39-86D9-4E74-964D-DE699E0EF3E5}"/>
    <cellStyle name="Normal 4 6 2 4 3" xfId="5182" xr:uid="{00000000-0005-0000-0000-000043160000}"/>
    <cellStyle name="Normal 4 6 2 4 3 2" xfId="23808" xr:uid="{402951CB-53B7-4D46-A1A9-B134279FDF9A}"/>
    <cellStyle name="Normal 4 6 2 4 3 3" xfId="32255" xr:uid="{D7359627-A7A7-4A28-BB31-5290F6DADC2F}"/>
    <cellStyle name="Normal 4 6 2 4 3 4" xfId="40702" xr:uid="{3EB9A322-9FFF-4E77-9CC0-10628544AD8D}"/>
    <cellStyle name="Normal 4 6 2 4 3 5" xfId="14508" xr:uid="{81924EC6-8F60-47D8-BB6B-AB15050558E5}"/>
    <cellStyle name="Normal 4 6 2 4 4" xfId="9250" xr:uid="{CBBC9A51-5203-4C00-93C7-FE7C973DCDD1}"/>
    <cellStyle name="Normal 4 6 2 4 4 2" xfId="18566" xr:uid="{CF829E23-CCC1-49D6-9A8D-C3CDF14788CB}"/>
    <cellStyle name="Normal 4 6 2 4 5" xfId="19591" xr:uid="{81A50527-4BF3-4D50-86D4-E6D2F1B11A56}"/>
    <cellStyle name="Normal 4 6 2 4 6" xfId="28038" xr:uid="{A2DFA204-57DA-4A5B-92A2-45D35614836D}"/>
    <cellStyle name="Normal 4 6 2 4 7" xfId="36485" xr:uid="{FAB61C23-0559-40B3-905A-14D7253A5D61}"/>
    <cellStyle name="Normal 4 6 2 4 8" xfId="10291" xr:uid="{B04684D5-3C0E-4F4F-86C7-88D33A07BF24}"/>
    <cellStyle name="Normal 4 6 2 5" xfId="1288" xr:uid="{00000000-0005-0000-0000-000044160000}"/>
    <cellStyle name="Normal 4 6 2 5 2" xfId="3518" xr:uid="{00000000-0005-0000-0000-000045160000}"/>
    <cellStyle name="Normal 4 6 2 5 2 2" xfId="7740" xr:uid="{00000000-0005-0000-0000-000046160000}"/>
    <cellStyle name="Normal 4 6 2 5 2 2 2" xfId="26366" xr:uid="{E402D481-B874-4A42-93A4-D95FAD4A0EB0}"/>
    <cellStyle name="Normal 4 6 2 5 2 2 3" xfId="34813" xr:uid="{273D06E7-6AA8-46A5-932A-71D5DF5339AD}"/>
    <cellStyle name="Normal 4 6 2 5 2 2 4" xfId="43260" xr:uid="{80C9FA24-8FA9-45A6-BA05-D3746BD79131}"/>
    <cellStyle name="Normal 4 6 2 5 2 2 5" xfId="17066" xr:uid="{B5C49676-B517-4B6E-94A9-81B07AD64146}"/>
    <cellStyle name="Normal 4 6 2 5 2 3" xfId="22149" xr:uid="{2F73C642-55E0-4B02-83B9-70256061CD52}"/>
    <cellStyle name="Normal 4 6 2 5 2 4" xfId="30596" xr:uid="{0F357A5C-869B-4687-A965-371B40A5645B}"/>
    <cellStyle name="Normal 4 6 2 5 2 5" xfId="39043" xr:uid="{73E3104A-CF8D-489A-9AFB-E00C822A087C}"/>
    <cellStyle name="Normal 4 6 2 5 2 6" xfId="12849" xr:uid="{860ACEDF-1C02-4D3E-AD01-8AFAFCAF25C4}"/>
    <cellStyle name="Normal 4 6 2 5 3" xfId="5595" xr:uid="{00000000-0005-0000-0000-000047160000}"/>
    <cellStyle name="Normal 4 6 2 5 3 2" xfId="24221" xr:uid="{2B4307B2-D91B-4EF4-B8E4-8B1688E8AF51}"/>
    <cellStyle name="Normal 4 6 2 5 3 3" xfId="32668" xr:uid="{E77608FB-78F6-45F7-96F3-48FBB0B22CB5}"/>
    <cellStyle name="Normal 4 6 2 5 3 4" xfId="41115" xr:uid="{94920442-CAFF-4DFC-8DCA-D713B0BDEC52}"/>
    <cellStyle name="Normal 4 6 2 5 3 5" xfId="14921" xr:uid="{44AE8FA8-B234-4218-9691-FA0937CCFFF4}"/>
    <cellStyle name="Normal 4 6 2 5 4" xfId="20004" xr:uid="{74AFB429-EF64-46F6-BDA5-665B26AC04B6}"/>
    <cellStyle name="Normal 4 6 2 5 5" xfId="28451" xr:uid="{6A77E052-C0CC-4197-A2C4-0E2CAC86C6C7}"/>
    <cellStyle name="Normal 4 6 2 5 6" xfId="36898" xr:uid="{4A34EAC9-F172-42DC-A7E5-F35D570B11A0}"/>
    <cellStyle name="Normal 4 6 2 5 7" xfId="10704" xr:uid="{37F7CC08-BB51-415B-9EF1-18116A8FD8FF}"/>
    <cellStyle name="Normal 4 6 2 6" xfId="1701" xr:uid="{00000000-0005-0000-0000-000048160000}"/>
    <cellStyle name="Normal 4 6 2 6 2" xfId="3931" xr:uid="{00000000-0005-0000-0000-000049160000}"/>
    <cellStyle name="Normal 4 6 2 6 2 2" xfId="8153" xr:uid="{00000000-0005-0000-0000-00004A160000}"/>
    <cellStyle name="Normal 4 6 2 6 2 2 2" xfId="26779" xr:uid="{2FC92994-2122-48EF-9A9C-82611A366399}"/>
    <cellStyle name="Normal 4 6 2 6 2 2 3" xfId="35226" xr:uid="{6F0786E4-8999-4CFD-BC98-F6AC7E6F61CE}"/>
    <cellStyle name="Normal 4 6 2 6 2 2 4" xfId="43673" xr:uid="{CE790006-D8C3-480A-9648-F2D8AA58E32B}"/>
    <cellStyle name="Normal 4 6 2 6 2 2 5" xfId="17479" xr:uid="{E3CDA77E-5633-4592-B291-B943E7F5E789}"/>
    <cellStyle name="Normal 4 6 2 6 2 3" xfId="22562" xr:uid="{1F9ABC21-27F4-43B3-97B7-B5FDDC492BF9}"/>
    <cellStyle name="Normal 4 6 2 6 2 4" xfId="31009" xr:uid="{D5C8400A-4D06-40C2-8920-9BB9ACDCA4EA}"/>
    <cellStyle name="Normal 4 6 2 6 2 5" xfId="39456" xr:uid="{EF572AE3-6398-4BAC-86B0-7327AE0AD7E8}"/>
    <cellStyle name="Normal 4 6 2 6 2 6" xfId="13262" xr:uid="{CBC9629B-663F-41A2-87E9-126A30EE811D}"/>
    <cellStyle name="Normal 4 6 2 6 3" xfId="6008" xr:uid="{00000000-0005-0000-0000-00004B160000}"/>
    <cellStyle name="Normal 4 6 2 6 3 2" xfId="24634" xr:uid="{267C5E9D-0F94-4B90-823A-55BECD45139B}"/>
    <cellStyle name="Normal 4 6 2 6 3 3" xfId="33081" xr:uid="{BFFBACE9-7031-45E6-BD6B-2C1570FA5B26}"/>
    <cellStyle name="Normal 4 6 2 6 3 4" xfId="41528" xr:uid="{AABD13AB-E821-4935-BB82-DF524F3B2FE7}"/>
    <cellStyle name="Normal 4 6 2 6 3 5" xfId="15334" xr:uid="{1395C707-AA29-4E1A-8871-605364FFF471}"/>
    <cellStyle name="Normal 4 6 2 6 4" xfId="20417" xr:uid="{1B6668D4-2B5C-4716-A57E-E99D029214CC}"/>
    <cellStyle name="Normal 4 6 2 6 5" xfId="28864" xr:uid="{D5DF7AE8-09A8-4BAD-BD0E-B58E0D30D223}"/>
    <cellStyle name="Normal 4 6 2 6 6" xfId="37311" xr:uid="{DF81E235-D036-4EDF-9CD7-6F5703A9D9DF}"/>
    <cellStyle name="Normal 4 6 2 6 7" xfId="11117" xr:uid="{CB158A96-1CE6-4769-8C70-96D1B01960AD}"/>
    <cellStyle name="Normal 4 6 2 7" xfId="2115" xr:uid="{00000000-0005-0000-0000-00004C160000}"/>
    <cellStyle name="Normal 4 6 2 7 2" xfId="4344" xr:uid="{00000000-0005-0000-0000-00004D160000}"/>
    <cellStyle name="Normal 4 6 2 7 2 2" xfId="8566" xr:uid="{00000000-0005-0000-0000-00004E160000}"/>
    <cellStyle name="Normal 4 6 2 7 2 2 2" xfId="27192" xr:uid="{9E22E453-3FDA-497E-B7E3-53E13557B79E}"/>
    <cellStyle name="Normal 4 6 2 7 2 2 3" xfId="35639" xr:uid="{D048991B-7543-464D-B291-A066D6DBAC2B}"/>
    <cellStyle name="Normal 4 6 2 7 2 2 4" xfId="44086" xr:uid="{43D5E80D-287E-43F1-BB22-B8A79F53FA08}"/>
    <cellStyle name="Normal 4 6 2 7 2 2 5" xfId="17892" xr:uid="{A26B1681-6E16-4DF5-B214-88DE471B088D}"/>
    <cellStyle name="Normal 4 6 2 7 2 3" xfId="22975" xr:uid="{C5B7C72B-EBD5-45F8-AC96-2B2853C71BC7}"/>
    <cellStyle name="Normal 4 6 2 7 2 4" xfId="31422" xr:uid="{6BE1AF5D-8D7B-42F3-B0B3-9FFBF7B406BF}"/>
    <cellStyle name="Normal 4 6 2 7 2 5" xfId="39869" xr:uid="{D9F924B5-9647-4E03-8EA2-ED4AC485A948}"/>
    <cellStyle name="Normal 4 6 2 7 2 6" xfId="13675" xr:uid="{3EE0BDA9-C930-4D3D-B8BC-C2857B4EE9C5}"/>
    <cellStyle name="Normal 4 6 2 7 3" xfId="6421" xr:uid="{00000000-0005-0000-0000-00004F160000}"/>
    <cellStyle name="Normal 4 6 2 7 3 2" xfId="25047" xr:uid="{8EF776C3-A14B-4192-97BC-8BF0CB98095F}"/>
    <cellStyle name="Normal 4 6 2 7 3 3" xfId="33494" xr:uid="{82DC3F12-3510-43C1-895B-69EEB48A1CC2}"/>
    <cellStyle name="Normal 4 6 2 7 3 4" xfId="41941" xr:uid="{8877F073-70CB-4BC3-A53F-8B49DBB2E772}"/>
    <cellStyle name="Normal 4 6 2 7 3 5" xfId="15747" xr:uid="{D2F904E1-184B-4945-826C-7B95EF4F8AFA}"/>
    <cellStyle name="Normal 4 6 2 7 4" xfId="20830" xr:uid="{1911467C-DA62-4FFF-AAE6-C688CFB11439}"/>
    <cellStyle name="Normal 4 6 2 7 5" xfId="29277" xr:uid="{567558AF-E060-4E87-AD49-E3BD4F1EB099}"/>
    <cellStyle name="Normal 4 6 2 7 6" xfId="37724" xr:uid="{7FB9C7F5-0A0D-4E35-9B0F-F220150ECFA7}"/>
    <cellStyle name="Normal 4 6 2 7 7" xfId="11530" xr:uid="{BBC3282E-8B3F-424B-A653-32B0A8AD6977}"/>
    <cellStyle name="Normal 4 6 2 8" xfId="2551" xr:uid="{00000000-0005-0000-0000-000050160000}"/>
    <cellStyle name="Normal 4 6 2 8 2" xfId="6834" xr:uid="{00000000-0005-0000-0000-000051160000}"/>
    <cellStyle name="Normal 4 6 2 8 2 2" xfId="25460" xr:uid="{38E09D9C-173F-4751-9F4A-A2C18C383D47}"/>
    <cellStyle name="Normal 4 6 2 8 2 3" xfId="33907" xr:uid="{F2219888-F571-426D-8BB0-F2EB01D047B0}"/>
    <cellStyle name="Normal 4 6 2 8 2 4" xfId="42354" xr:uid="{1B8B1FF4-1E07-45FF-AE93-9D387CCD45E8}"/>
    <cellStyle name="Normal 4 6 2 8 2 5" xfId="16160" xr:uid="{5F6C15ED-4A38-4644-9B5F-256916A4AFD1}"/>
    <cellStyle name="Normal 4 6 2 8 3" xfId="21243" xr:uid="{A9312BEC-C935-427B-9BB3-5210F3BD7B08}"/>
    <cellStyle name="Normal 4 6 2 8 4" xfId="29690" xr:uid="{4D8194E9-51CA-4A5E-AF5F-FA9D98B64A65}"/>
    <cellStyle name="Normal 4 6 2 8 5" xfId="38137" xr:uid="{C075A5E2-06BB-4087-9709-91A9FE2DD812}"/>
    <cellStyle name="Normal 4 6 2 8 6" xfId="11943" xr:uid="{E43E18D4-639B-4E67-A235-F8708E72FD41}"/>
    <cellStyle name="Normal 4 6 2 9" xfId="4769" xr:uid="{00000000-0005-0000-0000-000052160000}"/>
    <cellStyle name="Normal 4 6 2 9 2" xfId="23395" xr:uid="{9D247DB9-4A08-49D0-99FD-392847AEF5DD}"/>
    <cellStyle name="Normal 4 6 2 9 3" xfId="31842" xr:uid="{444DCC7B-B500-4115-B536-AAE03902600C}"/>
    <cellStyle name="Normal 4 6 2 9 4" xfId="40289" xr:uid="{6C6003C7-C249-45D2-80CC-E1BF6BE4BAB6}"/>
    <cellStyle name="Normal 4 6 2 9 5" xfId="14095" xr:uid="{99FACE65-27CC-4461-A6F2-CFE261273B63}"/>
    <cellStyle name="Normal 4 6 3" xfId="400" xr:uid="{00000000-0005-0000-0000-000053160000}"/>
    <cellStyle name="Normal 4 6 3 10" xfId="19182" xr:uid="{3A5332FD-C7F7-410D-A85B-24E9EC9491FB}"/>
    <cellStyle name="Normal 4 6 3 11" xfId="27629" xr:uid="{1C53B6E1-799D-409A-9C12-07F914E52E19}"/>
    <cellStyle name="Normal 4 6 3 12" xfId="36076" xr:uid="{CCC2F9FF-51F5-4652-965A-E92161292140}"/>
    <cellStyle name="Normal 4 6 3 13" xfId="9882" xr:uid="{29A50EB2-36C1-4F71-AA2D-E706ABAFDDCB}"/>
    <cellStyle name="Normal 4 6 3 2" xfId="401" xr:uid="{00000000-0005-0000-0000-000054160000}"/>
    <cellStyle name="Normal 4 6 3 2 10" xfId="27630" xr:uid="{6B293B67-6B1A-4243-92DD-75DDBFFFDCAA}"/>
    <cellStyle name="Normal 4 6 3 2 11" xfId="36077" xr:uid="{78EF69E1-CA33-4CC9-B0E1-C6B9B8655F3B}"/>
    <cellStyle name="Normal 4 6 3 2 12" xfId="9883" xr:uid="{F19A3214-5E19-48D1-B378-B8842FF29F21}"/>
    <cellStyle name="Normal 4 6 3 2 2" xfId="875" xr:uid="{00000000-0005-0000-0000-000055160000}"/>
    <cellStyle name="Normal 4 6 3 2 2 2" xfId="3110" xr:uid="{00000000-0005-0000-0000-000056160000}"/>
    <cellStyle name="Normal 4 6 3 2 2 2 2" xfId="7332" xr:uid="{00000000-0005-0000-0000-000057160000}"/>
    <cellStyle name="Normal 4 6 3 2 2 2 2 2" xfId="25958" xr:uid="{C37A0078-A9EC-4072-A78A-83646A747C3F}"/>
    <cellStyle name="Normal 4 6 3 2 2 2 2 3" xfId="34405" xr:uid="{1FBC7E59-F808-4AE1-B5EA-D2B6640B4C98}"/>
    <cellStyle name="Normal 4 6 3 2 2 2 2 4" xfId="42852" xr:uid="{DFB5DDDA-438E-4AC7-991F-8AB3F97985BD}"/>
    <cellStyle name="Normal 4 6 3 2 2 2 2 5" xfId="16658" xr:uid="{545DB5AE-6B2C-48B4-8BF3-358CB3372B40}"/>
    <cellStyle name="Normal 4 6 3 2 2 2 3" xfId="21741" xr:uid="{8578FB6E-88D5-431D-B4EB-68413031F9AD}"/>
    <cellStyle name="Normal 4 6 3 2 2 2 4" xfId="30188" xr:uid="{61720642-E172-436F-ACC5-4E5A17B54100}"/>
    <cellStyle name="Normal 4 6 3 2 2 2 5" xfId="38635" xr:uid="{5E8FB479-69C3-4C39-8B2E-CB1C794ADD01}"/>
    <cellStyle name="Normal 4 6 3 2 2 2 6" xfId="12441" xr:uid="{4B2DF723-E4A0-4A65-B30B-C6948BE99014}"/>
    <cellStyle name="Normal 4 6 3 2 2 3" xfId="5187" xr:uid="{00000000-0005-0000-0000-000058160000}"/>
    <cellStyle name="Normal 4 6 3 2 2 3 2" xfId="23813" xr:uid="{6F4E5656-EFD6-4341-B84A-96765F5B9BA5}"/>
    <cellStyle name="Normal 4 6 3 2 2 3 3" xfId="32260" xr:uid="{00297707-4C69-4E30-87ED-ED920B8FD7C3}"/>
    <cellStyle name="Normal 4 6 3 2 2 3 4" xfId="40707" xr:uid="{390EF519-4BA8-4B9C-AF16-1388208D30F4}"/>
    <cellStyle name="Normal 4 6 3 2 2 3 5" xfId="14513" xr:uid="{0031123C-9285-4FA7-985B-B5B5CCB02D83}"/>
    <cellStyle name="Normal 4 6 3 2 2 4" xfId="9507" xr:uid="{63E4C3EA-8BE6-4CDE-9E44-1D64049D4CF5}"/>
    <cellStyle name="Normal 4 6 3 2 2 4 2" xfId="18823" xr:uid="{3694CEC4-3A52-4CA3-852B-F8F61EA504EE}"/>
    <cellStyle name="Normal 4 6 3 2 2 5" xfId="19596" xr:uid="{A48BDCC1-44F8-4B83-8DB4-4B99D37B9CF3}"/>
    <cellStyle name="Normal 4 6 3 2 2 6" xfId="28043" xr:uid="{693B41ED-B955-4DA0-94A9-FDC6FD030B19}"/>
    <cellStyle name="Normal 4 6 3 2 2 7" xfId="36490" xr:uid="{DCB7FFDB-6797-4E9A-B538-00237191B8DB}"/>
    <cellStyle name="Normal 4 6 3 2 2 8" xfId="10296" xr:uid="{68C338BE-B542-4ECB-88B0-98C5067C5665}"/>
    <cellStyle name="Normal 4 6 3 2 3" xfId="1293" xr:uid="{00000000-0005-0000-0000-000059160000}"/>
    <cellStyle name="Normal 4 6 3 2 3 2" xfId="3523" xr:uid="{00000000-0005-0000-0000-00005A160000}"/>
    <cellStyle name="Normal 4 6 3 2 3 2 2" xfId="7745" xr:uid="{00000000-0005-0000-0000-00005B160000}"/>
    <cellStyle name="Normal 4 6 3 2 3 2 2 2" xfId="26371" xr:uid="{32E462FD-7711-4FA1-A46C-B7FB69F571D5}"/>
    <cellStyle name="Normal 4 6 3 2 3 2 2 3" xfId="34818" xr:uid="{B0AB96EB-A748-4AF7-B277-FF3D1E63BEF0}"/>
    <cellStyle name="Normal 4 6 3 2 3 2 2 4" xfId="43265" xr:uid="{7E03B48B-E9C3-4F19-9C76-6E8E72D79E96}"/>
    <cellStyle name="Normal 4 6 3 2 3 2 2 5" xfId="17071" xr:uid="{A952C28D-233C-4FAB-880D-7B93363396A8}"/>
    <cellStyle name="Normal 4 6 3 2 3 2 3" xfId="22154" xr:uid="{49B9EB8D-1F11-4993-A7E4-020915B7BCCA}"/>
    <cellStyle name="Normal 4 6 3 2 3 2 4" xfId="30601" xr:uid="{590B1F7F-93D9-4F09-9186-146C7DDCFEDD}"/>
    <cellStyle name="Normal 4 6 3 2 3 2 5" xfId="39048" xr:uid="{83E661D8-E7DF-426A-8B76-CA4463C65DB1}"/>
    <cellStyle name="Normal 4 6 3 2 3 2 6" xfId="12854" xr:uid="{F8CB8468-C974-4EDE-A25D-24B4C9CEB34F}"/>
    <cellStyle name="Normal 4 6 3 2 3 3" xfId="5600" xr:uid="{00000000-0005-0000-0000-00005C160000}"/>
    <cellStyle name="Normal 4 6 3 2 3 3 2" xfId="24226" xr:uid="{63581FF6-A7C6-436B-9DC9-AE92094CB9BC}"/>
    <cellStyle name="Normal 4 6 3 2 3 3 3" xfId="32673" xr:uid="{DCCC9670-412C-4093-9624-850CDCC5C067}"/>
    <cellStyle name="Normal 4 6 3 2 3 3 4" xfId="41120" xr:uid="{3760C507-2E77-4B00-9CA3-9D1C99D10ABF}"/>
    <cellStyle name="Normal 4 6 3 2 3 3 5" xfId="14926" xr:uid="{E4680D7F-5E86-42A1-8C5B-304A190BD5D9}"/>
    <cellStyle name="Normal 4 6 3 2 3 4" xfId="20009" xr:uid="{5AEEE6DB-6370-477C-B761-F72D275208C9}"/>
    <cellStyle name="Normal 4 6 3 2 3 5" xfId="28456" xr:uid="{B7807F78-697D-4D96-8B1F-97FE505A806A}"/>
    <cellStyle name="Normal 4 6 3 2 3 6" xfId="36903" xr:uid="{18C894B8-7A18-4ABF-BB8A-A8D9C7CDC258}"/>
    <cellStyle name="Normal 4 6 3 2 3 7" xfId="10709" xr:uid="{67B777FF-DB96-4742-8599-8059400DC8B1}"/>
    <cellStyle name="Normal 4 6 3 2 4" xfId="1706" xr:uid="{00000000-0005-0000-0000-00005D160000}"/>
    <cellStyle name="Normal 4 6 3 2 4 2" xfId="3936" xr:uid="{00000000-0005-0000-0000-00005E160000}"/>
    <cellStyle name="Normal 4 6 3 2 4 2 2" xfId="8158" xr:uid="{00000000-0005-0000-0000-00005F160000}"/>
    <cellStyle name="Normal 4 6 3 2 4 2 2 2" xfId="26784" xr:uid="{67DBB1B6-FDE5-4DB6-B4A4-425D568D4956}"/>
    <cellStyle name="Normal 4 6 3 2 4 2 2 3" xfId="35231" xr:uid="{0E784425-96C1-4872-BDF8-4060C54ABA89}"/>
    <cellStyle name="Normal 4 6 3 2 4 2 2 4" xfId="43678" xr:uid="{4F30B580-7D97-474F-96DB-D3473868C04B}"/>
    <cellStyle name="Normal 4 6 3 2 4 2 2 5" xfId="17484" xr:uid="{A9DE6B41-49F0-46C2-8910-C706A4DF50B5}"/>
    <cellStyle name="Normal 4 6 3 2 4 2 3" xfId="22567" xr:uid="{908F81BF-0635-4DA2-8299-B55B30F019A9}"/>
    <cellStyle name="Normal 4 6 3 2 4 2 4" xfId="31014" xr:uid="{74A76BE5-DBCA-4684-8099-DDD2FFF846DF}"/>
    <cellStyle name="Normal 4 6 3 2 4 2 5" xfId="39461" xr:uid="{3F19A154-82E6-4F34-ACFA-F09DD993C2BC}"/>
    <cellStyle name="Normal 4 6 3 2 4 2 6" xfId="13267" xr:uid="{AF14E19D-908C-4B92-89F4-F21F2328D24A}"/>
    <cellStyle name="Normal 4 6 3 2 4 3" xfId="6013" xr:uid="{00000000-0005-0000-0000-000060160000}"/>
    <cellStyle name="Normal 4 6 3 2 4 3 2" xfId="24639" xr:uid="{0CFEAF8B-C6EE-4A74-A4D8-18537FD7FB07}"/>
    <cellStyle name="Normal 4 6 3 2 4 3 3" xfId="33086" xr:uid="{F20055E3-DEE4-4033-8A1F-B73AC84A11CE}"/>
    <cellStyle name="Normal 4 6 3 2 4 3 4" xfId="41533" xr:uid="{BC34C7CC-94DE-4823-877D-994563439C2A}"/>
    <cellStyle name="Normal 4 6 3 2 4 3 5" xfId="15339" xr:uid="{72E22001-103A-41A4-91E8-2B741BF77129}"/>
    <cellStyle name="Normal 4 6 3 2 4 4" xfId="20422" xr:uid="{B118E254-D66F-4643-B791-F241626B73BE}"/>
    <cellStyle name="Normal 4 6 3 2 4 5" xfId="28869" xr:uid="{A6B6F3A3-53C6-4C7C-ABCC-54087A55AD47}"/>
    <cellStyle name="Normal 4 6 3 2 4 6" xfId="37316" xr:uid="{4D4505CA-CFB1-4E60-8EA7-B5C5455DD52B}"/>
    <cellStyle name="Normal 4 6 3 2 4 7" xfId="11122" xr:uid="{0A5B45DE-4B16-44B2-A96A-51298277DE05}"/>
    <cellStyle name="Normal 4 6 3 2 5" xfId="2120" xr:uid="{00000000-0005-0000-0000-000061160000}"/>
    <cellStyle name="Normal 4 6 3 2 5 2" xfId="4349" xr:uid="{00000000-0005-0000-0000-000062160000}"/>
    <cellStyle name="Normal 4 6 3 2 5 2 2" xfId="8571" xr:uid="{00000000-0005-0000-0000-000063160000}"/>
    <cellStyle name="Normal 4 6 3 2 5 2 2 2" xfId="27197" xr:uid="{276F4916-4C0F-4C0B-BC49-416FDDB0FA9A}"/>
    <cellStyle name="Normal 4 6 3 2 5 2 2 3" xfId="35644" xr:uid="{0D05A2C8-1A24-4C2B-BA5F-194A87773C46}"/>
    <cellStyle name="Normal 4 6 3 2 5 2 2 4" xfId="44091" xr:uid="{C9534B0B-9621-45E6-AF7F-C4C60A43901B}"/>
    <cellStyle name="Normal 4 6 3 2 5 2 2 5" xfId="17897" xr:uid="{1BE619D8-42A4-42C3-8976-339946CBF230}"/>
    <cellStyle name="Normal 4 6 3 2 5 2 3" xfId="22980" xr:uid="{0D19E14E-1A00-4D77-B0CC-5B9651938DB8}"/>
    <cellStyle name="Normal 4 6 3 2 5 2 4" xfId="31427" xr:uid="{06AE61AB-F7E7-47CA-A7BA-9BD35D45494E}"/>
    <cellStyle name="Normal 4 6 3 2 5 2 5" xfId="39874" xr:uid="{8EC7EF25-6482-460A-9F2F-EA2F3DC51392}"/>
    <cellStyle name="Normal 4 6 3 2 5 2 6" xfId="13680" xr:uid="{FEA54173-CA7F-4FD7-9145-5B35E43A4C6A}"/>
    <cellStyle name="Normal 4 6 3 2 5 3" xfId="6426" xr:uid="{00000000-0005-0000-0000-000064160000}"/>
    <cellStyle name="Normal 4 6 3 2 5 3 2" xfId="25052" xr:uid="{553D9F86-0CB3-4E48-A7AB-374031DA90A8}"/>
    <cellStyle name="Normal 4 6 3 2 5 3 3" xfId="33499" xr:uid="{A6AB25F2-CD10-4368-8472-0DEEFB67C7FE}"/>
    <cellStyle name="Normal 4 6 3 2 5 3 4" xfId="41946" xr:uid="{1A4C048E-C43E-46D9-8244-8139198536B2}"/>
    <cellStyle name="Normal 4 6 3 2 5 3 5" xfId="15752" xr:uid="{CD855635-27D7-4E6A-8333-E85848C7DDE8}"/>
    <cellStyle name="Normal 4 6 3 2 5 4" xfId="20835" xr:uid="{E17BCF0F-D50D-49B4-8054-848C24DE7201}"/>
    <cellStyle name="Normal 4 6 3 2 5 5" xfId="29282" xr:uid="{3F75D030-24F7-4AAC-A646-0AFD7A7E6C39}"/>
    <cellStyle name="Normal 4 6 3 2 5 6" xfId="37729" xr:uid="{A113D7DD-9534-4926-BD20-F58083802EB4}"/>
    <cellStyle name="Normal 4 6 3 2 5 7" xfId="11535" xr:uid="{010D060E-2EC8-4844-A3A6-A190A5983268}"/>
    <cellStyle name="Normal 4 6 3 2 6" xfId="2556" xr:uid="{00000000-0005-0000-0000-000065160000}"/>
    <cellStyle name="Normal 4 6 3 2 6 2" xfId="6839" xr:uid="{00000000-0005-0000-0000-000066160000}"/>
    <cellStyle name="Normal 4 6 3 2 6 2 2" xfId="25465" xr:uid="{70847EA8-6FF7-4611-8CA4-6CE204D017CB}"/>
    <cellStyle name="Normal 4 6 3 2 6 2 3" xfId="33912" xr:uid="{A2988796-FF24-44F0-BFE3-BB3CD802B1FA}"/>
    <cellStyle name="Normal 4 6 3 2 6 2 4" xfId="42359" xr:uid="{D21AF29D-B46F-453A-AF15-9DEDE96C45F3}"/>
    <cellStyle name="Normal 4 6 3 2 6 2 5" xfId="16165" xr:uid="{300EA7FF-FA8E-4CF3-9140-E443D968F655}"/>
    <cellStyle name="Normal 4 6 3 2 6 3" xfId="21248" xr:uid="{1DDCD271-D778-4BB3-A77D-A4D2D833D468}"/>
    <cellStyle name="Normal 4 6 3 2 6 4" xfId="29695" xr:uid="{64E7CE15-29E3-4398-9789-B7BC7C599CBC}"/>
    <cellStyle name="Normal 4 6 3 2 6 5" xfId="38142" xr:uid="{EB1A922F-72F9-458D-B9DD-ED383878B670}"/>
    <cellStyle name="Normal 4 6 3 2 6 6" xfId="11948" xr:uid="{0BDB1B0F-0B4F-4FAC-8ADD-B5BF269E0C21}"/>
    <cellStyle name="Normal 4 6 3 2 7" xfId="4774" xr:uid="{00000000-0005-0000-0000-000067160000}"/>
    <cellStyle name="Normal 4 6 3 2 7 2" xfId="23400" xr:uid="{B97A31F2-81F8-430D-8C4B-484ED94CC927}"/>
    <cellStyle name="Normal 4 6 3 2 7 3" xfId="31847" xr:uid="{46F1C777-FE66-4326-8A30-4766018302C1}"/>
    <cellStyle name="Normal 4 6 3 2 7 4" xfId="40294" xr:uid="{9152EF45-DE5C-4132-84F5-86417623B2CB}"/>
    <cellStyle name="Normal 4 6 3 2 7 5" xfId="14100" xr:uid="{1AA07426-1A8A-4B91-B094-1AEC35660CFE}"/>
    <cellStyle name="Normal 4 6 3 2 8" xfId="9082" xr:uid="{B272D1AE-3713-4AD0-AE3F-D1A7344AD432}"/>
    <cellStyle name="Normal 4 6 3 2 8 2" xfId="18406" xr:uid="{ABCDCFAF-586F-49DF-B3E2-7765D687010D}"/>
    <cellStyle name="Normal 4 6 3 2 9" xfId="19183" xr:uid="{56B6BE9D-5A3A-4D3E-874F-0366B00839F3}"/>
    <cellStyle name="Normal 4 6 3 3" xfId="874" xr:uid="{00000000-0005-0000-0000-000068160000}"/>
    <cellStyle name="Normal 4 6 3 3 2" xfId="3109" xr:uid="{00000000-0005-0000-0000-000069160000}"/>
    <cellStyle name="Normal 4 6 3 3 2 2" xfId="7331" xr:uid="{00000000-0005-0000-0000-00006A160000}"/>
    <cellStyle name="Normal 4 6 3 3 2 2 2" xfId="25957" xr:uid="{85259587-1777-4FC9-8CA7-346A57C03AD7}"/>
    <cellStyle name="Normal 4 6 3 3 2 2 3" xfId="34404" xr:uid="{E07F5F31-BE58-4689-BE7B-D436A2A0CC19}"/>
    <cellStyle name="Normal 4 6 3 3 2 2 4" xfId="42851" xr:uid="{91056E38-62C4-4AEF-AA32-4DDDF529E6EE}"/>
    <cellStyle name="Normal 4 6 3 3 2 2 5" xfId="16657" xr:uid="{3DF2C44E-A064-46D7-9241-61561BF04ADD}"/>
    <cellStyle name="Normal 4 6 3 3 2 3" xfId="21740" xr:uid="{0944F8C9-4027-4032-BABB-08AC4FB034B3}"/>
    <cellStyle name="Normal 4 6 3 3 2 4" xfId="30187" xr:uid="{278FEC24-E3AF-454C-9F22-D51B3F41EAFA}"/>
    <cellStyle name="Normal 4 6 3 3 2 5" xfId="38634" xr:uid="{4A7C5360-F387-4A09-AA35-B598C6E6A186}"/>
    <cellStyle name="Normal 4 6 3 3 2 6" xfId="12440" xr:uid="{2C4D58C6-9C56-484E-B30C-56E4922DA136}"/>
    <cellStyle name="Normal 4 6 3 3 3" xfId="5186" xr:uid="{00000000-0005-0000-0000-00006B160000}"/>
    <cellStyle name="Normal 4 6 3 3 3 2" xfId="23812" xr:uid="{57F138F9-30B5-4E60-9514-1B781D67FCB0}"/>
    <cellStyle name="Normal 4 6 3 3 3 3" xfId="32259" xr:uid="{D6AE4DDF-6259-4B30-8AAD-89CFE8CD4640}"/>
    <cellStyle name="Normal 4 6 3 3 3 4" xfId="40706" xr:uid="{8F78D270-E959-4B02-B6AA-4FE50A314070}"/>
    <cellStyle name="Normal 4 6 3 3 3 5" xfId="14512" xr:uid="{9C2FE9D9-0693-43B5-8F62-2D113ABFE723}"/>
    <cellStyle name="Normal 4 6 3 3 4" xfId="9300" xr:uid="{955A2E97-C871-4115-A4F5-A642AE2D2C4B}"/>
    <cellStyle name="Normal 4 6 3 3 4 2" xfId="18616" xr:uid="{6B217751-340F-4048-9242-7CFD39B95D9E}"/>
    <cellStyle name="Normal 4 6 3 3 5" xfId="19595" xr:uid="{AE7F56C4-D9C4-4139-8410-4ADB7EE05308}"/>
    <cellStyle name="Normal 4 6 3 3 6" xfId="28042" xr:uid="{4C8CBC03-FA6D-41B7-BFE7-AB8CA17E4430}"/>
    <cellStyle name="Normal 4 6 3 3 7" xfId="36489" xr:uid="{2261B225-808C-478B-84EE-2C02CD8CCEA5}"/>
    <cellStyle name="Normal 4 6 3 3 8" xfId="10295" xr:uid="{EC972BDB-F910-4F78-83BE-CDE943E09928}"/>
    <cellStyle name="Normal 4 6 3 4" xfId="1292" xr:uid="{00000000-0005-0000-0000-00006C160000}"/>
    <cellStyle name="Normal 4 6 3 4 2" xfId="3522" xr:uid="{00000000-0005-0000-0000-00006D160000}"/>
    <cellStyle name="Normal 4 6 3 4 2 2" xfId="7744" xr:uid="{00000000-0005-0000-0000-00006E160000}"/>
    <cellStyle name="Normal 4 6 3 4 2 2 2" xfId="26370" xr:uid="{2BA0CB4D-4A8F-42CA-AF98-D70B1D4E81CB}"/>
    <cellStyle name="Normal 4 6 3 4 2 2 3" xfId="34817" xr:uid="{2A030F89-7FDC-4170-B1D4-4229971995E6}"/>
    <cellStyle name="Normal 4 6 3 4 2 2 4" xfId="43264" xr:uid="{3A7C466E-1058-4449-81AA-91566BE33A46}"/>
    <cellStyle name="Normal 4 6 3 4 2 2 5" xfId="17070" xr:uid="{CFECD3D0-325D-402D-B94C-AEEF390F7161}"/>
    <cellStyle name="Normal 4 6 3 4 2 3" xfId="22153" xr:uid="{662EE2DF-7E7A-4DAD-9EFB-84C77A089BA5}"/>
    <cellStyle name="Normal 4 6 3 4 2 4" xfId="30600" xr:uid="{C9FC04CC-137F-4E03-A705-41CB89665C44}"/>
    <cellStyle name="Normal 4 6 3 4 2 5" xfId="39047" xr:uid="{ED890553-FEA3-4F6F-8BA0-78B57BB97B64}"/>
    <cellStyle name="Normal 4 6 3 4 2 6" xfId="12853" xr:uid="{5134478A-0CA1-40C2-A65B-20F9470F9802}"/>
    <cellStyle name="Normal 4 6 3 4 3" xfId="5599" xr:uid="{00000000-0005-0000-0000-00006F160000}"/>
    <cellStyle name="Normal 4 6 3 4 3 2" xfId="24225" xr:uid="{27285122-BFC9-4093-9838-67D38A1BDD6F}"/>
    <cellStyle name="Normal 4 6 3 4 3 3" xfId="32672" xr:uid="{EE02F787-8481-45C5-B924-38CCD0EA7E5B}"/>
    <cellStyle name="Normal 4 6 3 4 3 4" xfId="41119" xr:uid="{F7C5566C-1F2D-40E7-BA10-610ED70B87CC}"/>
    <cellStyle name="Normal 4 6 3 4 3 5" xfId="14925" xr:uid="{2CBFFE91-E580-4D0B-89D6-4670316A7F33}"/>
    <cellStyle name="Normal 4 6 3 4 4" xfId="20008" xr:uid="{1A0E0EE2-FDF2-424F-BE6A-824A3FDF58FB}"/>
    <cellStyle name="Normal 4 6 3 4 5" xfId="28455" xr:uid="{F5A2D847-655C-4193-87E6-D1A45305BC81}"/>
    <cellStyle name="Normal 4 6 3 4 6" xfId="36902" xr:uid="{7C93F1AB-0E29-4D03-861F-41A81122A2B3}"/>
    <cellStyle name="Normal 4 6 3 4 7" xfId="10708" xr:uid="{42E241B7-02CB-44AD-B63B-DA6484AD4AEB}"/>
    <cellStyle name="Normal 4 6 3 5" xfId="1705" xr:uid="{00000000-0005-0000-0000-000070160000}"/>
    <cellStyle name="Normal 4 6 3 5 2" xfId="3935" xr:uid="{00000000-0005-0000-0000-000071160000}"/>
    <cellStyle name="Normal 4 6 3 5 2 2" xfId="8157" xr:uid="{00000000-0005-0000-0000-000072160000}"/>
    <cellStyle name="Normal 4 6 3 5 2 2 2" xfId="26783" xr:uid="{B1D281C9-8868-4434-A412-E479D6B4B480}"/>
    <cellStyle name="Normal 4 6 3 5 2 2 3" xfId="35230" xr:uid="{5A558A96-826A-4034-8D71-B216199DD17D}"/>
    <cellStyle name="Normal 4 6 3 5 2 2 4" xfId="43677" xr:uid="{813C359C-56BB-46E4-91B0-29B740E59AAE}"/>
    <cellStyle name="Normal 4 6 3 5 2 2 5" xfId="17483" xr:uid="{62BBF05D-A420-443A-A52A-74068B7EA535}"/>
    <cellStyle name="Normal 4 6 3 5 2 3" xfId="22566" xr:uid="{DFBC2209-C71C-4389-A37A-99970CC7463F}"/>
    <cellStyle name="Normal 4 6 3 5 2 4" xfId="31013" xr:uid="{02C10592-3471-4665-B80B-3CC47AC0AB90}"/>
    <cellStyle name="Normal 4 6 3 5 2 5" xfId="39460" xr:uid="{44F0F016-052F-4BEC-B390-E506D2C1D6AE}"/>
    <cellStyle name="Normal 4 6 3 5 2 6" xfId="13266" xr:uid="{044D8DF6-50C0-48F4-8FC3-15EAC6826E3B}"/>
    <cellStyle name="Normal 4 6 3 5 3" xfId="6012" xr:uid="{00000000-0005-0000-0000-000073160000}"/>
    <cellStyle name="Normal 4 6 3 5 3 2" xfId="24638" xr:uid="{7BE32210-B3C6-4558-A9C8-7E55BF22050D}"/>
    <cellStyle name="Normal 4 6 3 5 3 3" xfId="33085" xr:uid="{E945F260-C703-426E-B787-5BC8096445F1}"/>
    <cellStyle name="Normal 4 6 3 5 3 4" xfId="41532" xr:uid="{5BDC0FBD-F5F4-4384-ABD2-5E90DCEAF87F}"/>
    <cellStyle name="Normal 4 6 3 5 3 5" xfId="15338" xr:uid="{65932679-1E61-45B1-B3EE-498D925EB6C4}"/>
    <cellStyle name="Normal 4 6 3 5 4" xfId="20421" xr:uid="{A0E24F80-069B-4899-B6EF-AE1678ED1A79}"/>
    <cellStyle name="Normal 4 6 3 5 5" xfId="28868" xr:uid="{47A3D186-60CF-4BFB-891F-29F4733B79EF}"/>
    <cellStyle name="Normal 4 6 3 5 6" xfId="37315" xr:uid="{5E618661-234C-40A6-9774-E83DAC1D6958}"/>
    <cellStyle name="Normal 4 6 3 5 7" xfId="11121" xr:uid="{3189E204-4A3F-49C7-BD7B-1A81C16C9D61}"/>
    <cellStyle name="Normal 4 6 3 6" xfId="2119" xr:uid="{00000000-0005-0000-0000-000074160000}"/>
    <cellStyle name="Normal 4 6 3 6 2" xfId="4348" xr:uid="{00000000-0005-0000-0000-000075160000}"/>
    <cellStyle name="Normal 4 6 3 6 2 2" xfId="8570" xr:uid="{00000000-0005-0000-0000-000076160000}"/>
    <cellStyle name="Normal 4 6 3 6 2 2 2" xfId="27196" xr:uid="{45275DCC-2D2B-407C-86B3-B91EDE209590}"/>
    <cellStyle name="Normal 4 6 3 6 2 2 3" xfId="35643" xr:uid="{56884702-B0CB-4A25-BAD0-4413D339D35B}"/>
    <cellStyle name="Normal 4 6 3 6 2 2 4" xfId="44090" xr:uid="{B6430692-D8F3-4B1C-8221-6D3418214F34}"/>
    <cellStyle name="Normal 4 6 3 6 2 2 5" xfId="17896" xr:uid="{4323D413-9FEB-4B7F-96FB-DB5F064B81C5}"/>
    <cellStyle name="Normal 4 6 3 6 2 3" xfId="22979" xr:uid="{63183C06-9549-4745-ADBA-4559156E535A}"/>
    <cellStyle name="Normal 4 6 3 6 2 4" xfId="31426" xr:uid="{EC62543C-13CF-4F87-BA2F-2E026F7C342A}"/>
    <cellStyle name="Normal 4 6 3 6 2 5" xfId="39873" xr:uid="{BDF1CF8D-E6C0-4737-94A4-39F9A2FABC3D}"/>
    <cellStyle name="Normal 4 6 3 6 2 6" xfId="13679" xr:uid="{EDE55D08-BE61-47EC-8673-BD7D49B9CE88}"/>
    <cellStyle name="Normal 4 6 3 6 3" xfId="6425" xr:uid="{00000000-0005-0000-0000-000077160000}"/>
    <cellStyle name="Normal 4 6 3 6 3 2" xfId="25051" xr:uid="{1E9568DA-01F0-4B53-A5E5-691CC42F3576}"/>
    <cellStyle name="Normal 4 6 3 6 3 3" xfId="33498" xr:uid="{43A6353D-817D-4388-B83B-B944188ECBE5}"/>
    <cellStyle name="Normal 4 6 3 6 3 4" xfId="41945" xr:uid="{F4B0D188-4938-416E-87B1-20D1095DC27D}"/>
    <cellStyle name="Normal 4 6 3 6 3 5" xfId="15751" xr:uid="{FEA78739-6FBE-4FEB-869F-C1F832097374}"/>
    <cellStyle name="Normal 4 6 3 6 4" xfId="20834" xr:uid="{4F8AD451-6B67-46CC-A81D-B32F1FDFCF74}"/>
    <cellStyle name="Normal 4 6 3 6 5" xfId="29281" xr:uid="{3671176D-83AB-4347-95D0-BA62CF5517FA}"/>
    <cellStyle name="Normal 4 6 3 6 6" xfId="37728" xr:uid="{D1A548C0-166B-4FEB-AD77-D388F329C6B7}"/>
    <cellStyle name="Normal 4 6 3 6 7" xfId="11534" xr:uid="{A1E1B9EB-0C98-49FF-A97C-538242A6CEDF}"/>
    <cellStyle name="Normal 4 6 3 7" xfId="2555" xr:uid="{00000000-0005-0000-0000-000078160000}"/>
    <cellStyle name="Normal 4 6 3 7 2" xfId="6838" xr:uid="{00000000-0005-0000-0000-000079160000}"/>
    <cellStyle name="Normal 4 6 3 7 2 2" xfId="25464" xr:uid="{9388FA24-1DF7-4942-B428-26762AF0889B}"/>
    <cellStyle name="Normal 4 6 3 7 2 3" xfId="33911" xr:uid="{7F32CBEF-2AE9-4CFE-A35D-E112E05629FF}"/>
    <cellStyle name="Normal 4 6 3 7 2 4" xfId="42358" xr:uid="{11E82AD2-F30C-474A-B332-CC37D7F9646B}"/>
    <cellStyle name="Normal 4 6 3 7 2 5" xfId="16164" xr:uid="{0C0D33C1-1F5A-41F7-9490-093805F0A12E}"/>
    <cellStyle name="Normal 4 6 3 7 3" xfId="21247" xr:uid="{5B05F6F0-FDCB-42CA-A3D5-2C2B5994A807}"/>
    <cellStyle name="Normal 4 6 3 7 4" xfId="29694" xr:uid="{844781AE-EF50-494C-BA8D-2CD4FEFE8039}"/>
    <cellStyle name="Normal 4 6 3 7 5" xfId="38141" xr:uid="{A4F3773B-04D7-4B39-91C8-E8A5FE874477}"/>
    <cellStyle name="Normal 4 6 3 7 6" xfId="11947" xr:uid="{2EA163C6-BC9A-4ECB-8047-D09E0941B18E}"/>
    <cellStyle name="Normal 4 6 3 8" xfId="4773" xr:uid="{00000000-0005-0000-0000-00007A160000}"/>
    <cellStyle name="Normal 4 6 3 8 2" xfId="23399" xr:uid="{126A98F7-F455-41DC-AB84-196D2EA51FA0}"/>
    <cellStyle name="Normal 4 6 3 8 3" xfId="31846" xr:uid="{437C8EED-7329-48B2-893C-BC76AD4B0B5B}"/>
    <cellStyle name="Normal 4 6 3 8 4" xfId="40293" xr:uid="{ADB0D988-3C6F-49B3-BC79-D5E8DBC21D5E}"/>
    <cellStyle name="Normal 4 6 3 8 5" xfId="14099" xr:uid="{90755CD3-E0AE-4A42-919E-C7849776F10E}"/>
    <cellStyle name="Normal 4 6 3 9" xfId="8875" xr:uid="{DFD24C28-B729-444D-A0F6-B5522ED354D5}"/>
    <cellStyle name="Normal 4 6 3 9 2" xfId="18199" xr:uid="{2D81A48A-74B6-4888-85B1-CFA0E6C2955C}"/>
    <cellStyle name="Normal 4 6 4" xfId="402" xr:uid="{00000000-0005-0000-0000-00007B160000}"/>
    <cellStyle name="Normal 4 6 4 10" xfId="27631" xr:uid="{6A2828CB-1827-4F4D-97CE-DF32B3FFC00C}"/>
    <cellStyle name="Normal 4 6 4 11" xfId="36078" xr:uid="{18B1C81F-9382-44A8-98F0-BFF4C47DCD39}"/>
    <cellStyle name="Normal 4 6 4 12" xfId="9884" xr:uid="{EAB4664A-3FB8-49FC-867A-A88C50888DE0}"/>
    <cellStyle name="Normal 4 6 4 2" xfId="876" xr:uid="{00000000-0005-0000-0000-00007C160000}"/>
    <cellStyle name="Normal 4 6 4 2 2" xfId="3111" xr:uid="{00000000-0005-0000-0000-00007D160000}"/>
    <cellStyle name="Normal 4 6 4 2 2 2" xfId="7333" xr:uid="{00000000-0005-0000-0000-00007E160000}"/>
    <cellStyle name="Normal 4 6 4 2 2 2 2" xfId="25959" xr:uid="{CF5BE7D7-CA3E-410D-B54C-A6BD5EDEAFDB}"/>
    <cellStyle name="Normal 4 6 4 2 2 2 3" xfId="34406" xr:uid="{1BA0590A-5AED-48F2-BEFE-D44223D0A1DE}"/>
    <cellStyle name="Normal 4 6 4 2 2 2 4" xfId="42853" xr:uid="{14158CE2-856D-4A9F-9449-D0A882C3EEC1}"/>
    <cellStyle name="Normal 4 6 4 2 2 2 5" xfId="16659" xr:uid="{30F22CF1-94A9-4DE0-AE5B-BB113BAC4155}"/>
    <cellStyle name="Normal 4 6 4 2 2 3" xfId="21742" xr:uid="{42B8310B-EE5C-4708-8631-F7A98D6EB9DE}"/>
    <cellStyle name="Normal 4 6 4 2 2 4" xfId="30189" xr:uid="{E59E7B11-A511-420C-9F6A-C873AE431735}"/>
    <cellStyle name="Normal 4 6 4 2 2 5" xfId="38636" xr:uid="{88C9040C-9A0F-4056-B548-014835182634}"/>
    <cellStyle name="Normal 4 6 4 2 2 6" xfId="12442" xr:uid="{DBDDC31D-72CE-43E6-8FC6-B936CBF69DE2}"/>
    <cellStyle name="Normal 4 6 4 2 3" xfId="5188" xr:uid="{00000000-0005-0000-0000-00007F160000}"/>
    <cellStyle name="Normal 4 6 4 2 3 2" xfId="23814" xr:uid="{65BE1262-38CC-4765-825D-01514C50C302}"/>
    <cellStyle name="Normal 4 6 4 2 3 3" xfId="32261" xr:uid="{F056EE0B-BAF6-49CB-8B67-E5C264ABAAFE}"/>
    <cellStyle name="Normal 4 6 4 2 3 4" xfId="40708" xr:uid="{14E60281-034A-427E-931B-D3F2AA322FED}"/>
    <cellStyle name="Normal 4 6 4 2 3 5" xfId="14514" xr:uid="{845D43EC-A6D7-4F79-8256-798ECF001735}"/>
    <cellStyle name="Normal 4 6 4 2 4" xfId="9404" xr:uid="{D1BAB6D6-35EF-4C34-91EA-2EB17352CDF9}"/>
    <cellStyle name="Normal 4 6 4 2 4 2" xfId="18720" xr:uid="{C78B67ED-D5FE-4F5C-A76E-EB9E417C7F65}"/>
    <cellStyle name="Normal 4 6 4 2 5" xfId="19597" xr:uid="{512CF2DD-87C1-40B9-8386-122C096BFCC4}"/>
    <cellStyle name="Normal 4 6 4 2 6" xfId="28044" xr:uid="{076AEEE9-E2B9-46DB-BE3C-6A5F9709BB54}"/>
    <cellStyle name="Normal 4 6 4 2 7" xfId="36491" xr:uid="{F3D35AB3-C46E-4316-8E4E-3AF8AAA78F7F}"/>
    <cellStyle name="Normal 4 6 4 2 8" xfId="10297" xr:uid="{0938B520-1195-47EA-A881-32F088E2569A}"/>
    <cellStyle name="Normal 4 6 4 3" xfId="1294" xr:uid="{00000000-0005-0000-0000-000080160000}"/>
    <cellStyle name="Normal 4 6 4 3 2" xfId="3524" xr:uid="{00000000-0005-0000-0000-000081160000}"/>
    <cellStyle name="Normal 4 6 4 3 2 2" xfId="7746" xr:uid="{00000000-0005-0000-0000-000082160000}"/>
    <cellStyle name="Normal 4 6 4 3 2 2 2" xfId="26372" xr:uid="{2E8208D9-C947-47C4-B92B-8B31A7719164}"/>
    <cellStyle name="Normal 4 6 4 3 2 2 3" xfId="34819" xr:uid="{C06EE0D4-9FA7-41E5-B0A8-DACB87BAA012}"/>
    <cellStyle name="Normal 4 6 4 3 2 2 4" xfId="43266" xr:uid="{D58BAEE7-A9BA-4DA6-89B5-C7CAEB5F67C5}"/>
    <cellStyle name="Normal 4 6 4 3 2 2 5" xfId="17072" xr:uid="{15A80D91-2319-4D6C-ABCA-92BD58FB12B4}"/>
    <cellStyle name="Normal 4 6 4 3 2 3" xfId="22155" xr:uid="{BF884D9C-8FC7-414A-9C31-9CAA626C5347}"/>
    <cellStyle name="Normal 4 6 4 3 2 4" xfId="30602" xr:uid="{3D3EB6D4-3F45-470C-9CCE-EA12250D4B60}"/>
    <cellStyle name="Normal 4 6 4 3 2 5" xfId="39049" xr:uid="{2E0FBFF7-0843-4C26-92D9-43016475455B}"/>
    <cellStyle name="Normal 4 6 4 3 2 6" xfId="12855" xr:uid="{F861F3CD-8841-4654-A67D-8D56E1C2A96B}"/>
    <cellStyle name="Normal 4 6 4 3 3" xfId="5601" xr:uid="{00000000-0005-0000-0000-000083160000}"/>
    <cellStyle name="Normal 4 6 4 3 3 2" xfId="24227" xr:uid="{C846838D-2989-4451-B995-E36400F181CE}"/>
    <cellStyle name="Normal 4 6 4 3 3 3" xfId="32674" xr:uid="{4F8BDD93-D133-4A67-9828-26AD2304D66C}"/>
    <cellStyle name="Normal 4 6 4 3 3 4" xfId="41121" xr:uid="{41363015-2CBB-4EDE-8CCE-295D7FEF3F22}"/>
    <cellStyle name="Normal 4 6 4 3 3 5" xfId="14927" xr:uid="{5CA499DF-F6D9-4F99-9668-15E585306AD3}"/>
    <cellStyle name="Normal 4 6 4 3 4" xfId="20010" xr:uid="{B3AB0CEF-0066-44D4-86AC-EAB902A02FDB}"/>
    <cellStyle name="Normal 4 6 4 3 5" xfId="28457" xr:uid="{20F244D1-94D1-4861-8591-AAE519550B4F}"/>
    <cellStyle name="Normal 4 6 4 3 6" xfId="36904" xr:uid="{1332699D-F345-42CF-8667-65FA3252F8DF}"/>
    <cellStyle name="Normal 4 6 4 3 7" xfId="10710" xr:uid="{4AD9A7D9-9787-46DE-924F-A4114845B69E}"/>
    <cellStyle name="Normal 4 6 4 4" xfId="1707" xr:uid="{00000000-0005-0000-0000-000084160000}"/>
    <cellStyle name="Normal 4 6 4 4 2" xfId="3937" xr:uid="{00000000-0005-0000-0000-000085160000}"/>
    <cellStyle name="Normal 4 6 4 4 2 2" xfId="8159" xr:uid="{00000000-0005-0000-0000-000086160000}"/>
    <cellStyle name="Normal 4 6 4 4 2 2 2" xfId="26785" xr:uid="{778510E0-22ED-4F01-A096-AA1DD29DFBB7}"/>
    <cellStyle name="Normal 4 6 4 4 2 2 3" xfId="35232" xr:uid="{11DA90D7-AFEF-4AB1-BFAE-014B4B37F35A}"/>
    <cellStyle name="Normal 4 6 4 4 2 2 4" xfId="43679" xr:uid="{AB005468-6031-4B1D-90BD-92B840A130EB}"/>
    <cellStyle name="Normal 4 6 4 4 2 2 5" xfId="17485" xr:uid="{DEADF27E-6B13-4C1E-B469-A56B6AE79194}"/>
    <cellStyle name="Normal 4 6 4 4 2 3" xfId="22568" xr:uid="{F963C865-1476-40DD-BAA6-BD0FA1F89112}"/>
    <cellStyle name="Normal 4 6 4 4 2 4" xfId="31015" xr:uid="{643E6FA0-3A12-48F5-B580-301B3B81E2CF}"/>
    <cellStyle name="Normal 4 6 4 4 2 5" xfId="39462" xr:uid="{455D1EBA-A71E-488E-A3A1-95FE830D0C3C}"/>
    <cellStyle name="Normal 4 6 4 4 2 6" xfId="13268" xr:uid="{CAC38BED-BD22-40B1-8AC2-CA3FEA1152FF}"/>
    <cellStyle name="Normal 4 6 4 4 3" xfId="6014" xr:uid="{00000000-0005-0000-0000-000087160000}"/>
    <cellStyle name="Normal 4 6 4 4 3 2" xfId="24640" xr:uid="{7C572E96-4465-4DE2-A361-BC3CC1382F2A}"/>
    <cellStyle name="Normal 4 6 4 4 3 3" xfId="33087" xr:uid="{58B0D17C-6ADA-4AF0-AA9C-1113C413CC7B}"/>
    <cellStyle name="Normal 4 6 4 4 3 4" xfId="41534" xr:uid="{AB4ADD5E-01AA-427D-A50C-6DDEB2286D9F}"/>
    <cellStyle name="Normal 4 6 4 4 3 5" xfId="15340" xr:uid="{0955363A-6BE7-49AB-991D-C358D9802D4C}"/>
    <cellStyle name="Normal 4 6 4 4 4" xfId="20423" xr:uid="{2F6E11A7-709F-44B5-AB18-BCA17CF705F0}"/>
    <cellStyle name="Normal 4 6 4 4 5" xfId="28870" xr:uid="{410F6817-9CFD-4302-ACB8-A48B53F08091}"/>
    <cellStyle name="Normal 4 6 4 4 6" xfId="37317" xr:uid="{EC05ACDB-7F8A-4F62-A7A0-F1229B8D581B}"/>
    <cellStyle name="Normal 4 6 4 4 7" xfId="11123" xr:uid="{AB6B6761-1196-4549-BC71-C5891BBC8882}"/>
    <cellStyle name="Normal 4 6 4 5" xfId="2121" xr:uid="{00000000-0005-0000-0000-000088160000}"/>
    <cellStyle name="Normal 4 6 4 5 2" xfId="4350" xr:uid="{00000000-0005-0000-0000-000089160000}"/>
    <cellStyle name="Normal 4 6 4 5 2 2" xfId="8572" xr:uid="{00000000-0005-0000-0000-00008A160000}"/>
    <cellStyle name="Normal 4 6 4 5 2 2 2" xfId="27198" xr:uid="{0911FC8A-3F79-479B-A012-68088C722A3A}"/>
    <cellStyle name="Normal 4 6 4 5 2 2 3" xfId="35645" xr:uid="{815A84A0-FAA6-4877-B7D9-3B2081C945AA}"/>
    <cellStyle name="Normal 4 6 4 5 2 2 4" xfId="44092" xr:uid="{709D85AB-E0A8-4FBE-BDCD-9ED87E61A533}"/>
    <cellStyle name="Normal 4 6 4 5 2 2 5" xfId="17898" xr:uid="{F8853427-3AC4-444F-90C0-D7F099D52174}"/>
    <cellStyle name="Normal 4 6 4 5 2 3" xfId="22981" xr:uid="{23DC1BDA-4571-4C0D-AC51-C9CCF668166F}"/>
    <cellStyle name="Normal 4 6 4 5 2 4" xfId="31428" xr:uid="{4BFB68E0-D2B8-47B2-8A2E-E80E30309FA6}"/>
    <cellStyle name="Normal 4 6 4 5 2 5" xfId="39875" xr:uid="{B267D379-E0B5-473B-BF4B-DC4052B3FB8A}"/>
    <cellStyle name="Normal 4 6 4 5 2 6" xfId="13681" xr:uid="{E6CAEE61-6101-47BC-A8CE-B8268665E982}"/>
    <cellStyle name="Normal 4 6 4 5 3" xfId="6427" xr:uid="{00000000-0005-0000-0000-00008B160000}"/>
    <cellStyle name="Normal 4 6 4 5 3 2" xfId="25053" xr:uid="{03B8FC22-5090-45E4-BFE2-34F311BF0A63}"/>
    <cellStyle name="Normal 4 6 4 5 3 3" xfId="33500" xr:uid="{E1F5AC48-E49E-47F4-83EB-836DEEB8698C}"/>
    <cellStyle name="Normal 4 6 4 5 3 4" xfId="41947" xr:uid="{370DCE16-D3BD-4FB3-9960-77BFB5583A14}"/>
    <cellStyle name="Normal 4 6 4 5 3 5" xfId="15753" xr:uid="{86C06D29-5511-4D6E-8047-8D4277EBCCF0}"/>
    <cellStyle name="Normal 4 6 4 5 4" xfId="20836" xr:uid="{859F6735-ACEF-4950-BDC7-AE9826F82C45}"/>
    <cellStyle name="Normal 4 6 4 5 5" xfId="29283" xr:uid="{B2EC8D98-6613-4D2A-963E-42CFCD12C69F}"/>
    <cellStyle name="Normal 4 6 4 5 6" xfId="37730" xr:uid="{3A9B508A-9B3B-4259-8B03-A5EB802BC4D9}"/>
    <cellStyle name="Normal 4 6 4 5 7" xfId="11536" xr:uid="{9410E05F-596A-4504-AD07-846291600C05}"/>
    <cellStyle name="Normal 4 6 4 6" xfId="2557" xr:uid="{00000000-0005-0000-0000-00008C160000}"/>
    <cellStyle name="Normal 4 6 4 6 2" xfId="6840" xr:uid="{00000000-0005-0000-0000-00008D160000}"/>
    <cellStyle name="Normal 4 6 4 6 2 2" xfId="25466" xr:uid="{62EFC11E-711E-4F40-A308-3BC47909C74C}"/>
    <cellStyle name="Normal 4 6 4 6 2 3" xfId="33913" xr:uid="{717EE29E-8296-4523-B5E4-C9157AEED06D}"/>
    <cellStyle name="Normal 4 6 4 6 2 4" xfId="42360" xr:uid="{6366DA2D-127A-43CC-A97A-EC5D311F0E4A}"/>
    <cellStyle name="Normal 4 6 4 6 2 5" xfId="16166" xr:uid="{0AB0A1DC-5A5F-4D7D-AB4A-A2A1EBEEED44}"/>
    <cellStyle name="Normal 4 6 4 6 3" xfId="21249" xr:uid="{E4521BCE-B995-41A0-AF38-BDEB4612E6EC}"/>
    <cellStyle name="Normal 4 6 4 6 4" xfId="29696" xr:uid="{0B6A49D4-7FEB-4149-BDDD-7587D28962D3}"/>
    <cellStyle name="Normal 4 6 4 6 5" xfId="38143" xr:uid="{CA374337-911C-41BB-83E4-DEFF9BEE48F5}"/>
    <cellStyle name="Normal 4 6 4 6 6" xfId="11949" xr:uid="{A6B7C0EF-5D32-473C-A769-AB0A7FE6A22F}"/>
    <cellStyle name="Normal 4 6 4 7" xfId="4775" xr:uid="{00000000-0005-0000-0000-00008E160000}"/>
    <cellStyle name="Normal 4 6 4 7 2" xfId="23401" xr:uid="{13247571-CD83-432F-8612-6F426F3CA8B0}"/>
    <cellStyle name="Normal 4 6 4 7 3" xfId="31848" xr:uid="{732F56E8-76A1-4168-82F1-3F2CE8EE4EAA}"/>
    <cellStyle name="Normal 4 6 4 7 4" xfId="40295" xr:uid="{E44B63D0-9383-4F7A-A6F0-D404F3BA02B4}"/>
    <cellStyle name="Normal 4 6 4 7 5" xfId="14101" xr:uid="{5FB934F0-FD68-4910-A0CF-94A3E13A25B3}"/>
    <cellStyle name="Normal 4 6 4 8" xfId="8979" xr:uid="{358D1440-F461-4509-8416-8F78F7D13FF4}"/>
    <cellStyle name="Normal 4 6 4 8 2" xfId="18303" xr:uid="{6E62D617-5386-4BB3-8C86-1E970488C61B}"/>
    <cellStyle name="Normal 4 6 4 9" xfId="19184" xr:uid="{500B023F-CD8F-4370-AA20-97467AF8E031}"/>
    <cellStyle name="Normal 4 6 5" xfId="869" xr:uid="{00000000-0005-0000-0000-00008F160000}"/>
    <cellStyle name="Normal 4 6 5 2" xfId="3104" xr:uid="{00000000-0005-0000-0000-000090160000}"/>
    <cellStyle name="Normal 4 6 5 2 2" xfId="7326" xr:uid="{00000000-0005-0000-0000-000091160000}"/>
    <cellStyle name="Normal 4 6 5 2 2 2" xfId="25952" xr:uid="{FEB863AA-C797-410C-B505-7CD09801EAD9}"/>
    <cellStyle name="Normal 4 6 5 2 2 3" xfId="34399" xr:uid="{AE05FC01-E6B3-456B-AEBB-4200048BF6ED}"/>
    <cellStyle name="Normal 4 6 5 2 2 4" xfId="42846" xr:uid="{B7B9BD3C-0D42-470B-AD67-7819D5A1D149}"/>
    <cellStyle name="Normal 4 6 5 2 2 5" xfId="16652" xr:uid="{8B7D3130-0D51-433C-BF8E-9E07905149EB}"/>
    <cellStyle name="Normal 4 6 5 2 3" xfId="21735" xr:uid="{A246A410-F098-4DE5-9D0D-A81C2E6CCAEB}"/>
    <cellStyle name="Normal 4 6 5 2 4" xfId="30182" xr:uid="{3591F360-525B-4488-BD2B-B22C85E7DF43}"/>
    <cellStyle name="Normal 4 6 5 2 5" xfId="38629" xr:uid="{911DEDAB-C093-4B78-894D-70B7823B4A31}"/>
    <cellStyle name="Normal 4 6 5 2 6" xfId="12435" xr:uid="{974DBBE0-5B2E-4047-978D-E115B4DE5CD7}"/>
    <cellStyle name="Normal 4 6 5 3" xfId="5181" xr:uid="{00000000-0005-0000-0000-000092160000}"/>
    <cellStyle name="Normal 4 6 5 3 2" xfId="23807" xr:uid="{02C4D1DE-E9A0-49AC-BAB2-E51A55DC3541}"/>
    <cellStyle name="Normal 4 6 5 3 3" xfId="32254" xr:uid="{CF5B277F-33CD-4359-A992-72CE5C5FA693}"/>
    <cellStyle name="Normal 4 6 5 3 4" xfId="40701" xr:uid="{F5DAC5F9-AA28-4316-8C82-5E910EA9E823}"/>
    <cellStyle name="Normal 4 6 5 3 5" xfId="14507" xr:uid="{78F0F69C-15E6-44FA-913E-1C26E23E31C2}"/>
    <cellStyle name="Normal 4 6 5 4" xfId="9196" xr:uid="{8DF5D81E-BEC3-4373-A99C-2D9CDEEBBA3C}"/>
    <cellStyle name="Normal 4 6 5 4 2" xfId="18513" xr:uid="{C6265B4B-8B06-4F28-A498-AF4D487E92A5}"/>
    <cellStyle name="Normal 4 6 5 5" xfId="19590" xr:uid="{B2FD5CCC-B165-42D4-9B08-1D05C61D75AF}"/>
    <cellStyle name="Normal 4 6 5 6" xfId="28037" xr:uid="{E0C97C6B-AFF1-4DDF-BA61-35B1B3D55C92}"/>
    <cellStyle name="Normal 4 6 5 7" xfId="36484" xr:uid="{DB048AAF-D558-4CB5-99BF-259FE1FCB34E}"/>
    <cellStyle name="Normal 4 6 5 8" xfId="10290" xr:uid="{BED41420-477A-4B9E-81AC-F1126B194132}"/>
    <cellStyle name="Normal 4 6 6" xfId="1287" xr:uid="{00000000-0005-0000-0000-000093160000}"/>
    <cellStyle name="Normal 4 6 6 2" xfId="3517" xr:uid="{00000000-0005-0000-0000-000094160000}"/>
    <cellStyle name="Normal 4 6 6 2 2" xfId="7739" xr:uid="{00000000-0005-0000-0000-000095160000}"/>
    <cellStyle name="Normal 4 6 6 2 2 2" xfId="26365" xr:uid="{BF148C35-17FB-42E0-B889-CE1C375B90CE}"/>
    <cellStyle name="Normal 4 6 6 2 2 3" xfId="34812" xr:uid="{C6E4AE36-63BA-4063-8800-08D75CEE0CEA}"/>
    <cellStyle name="Normal 4 6 6 2 2 4" xfId="43259" xr:uid="{5EC63506-E5B3-4A56-8025-FE55B7E9179B}"/>
    <cellStyle name="Normal 4 6 6 2 2 5" xfId="17065" xr:uid="{98D8D153-2951-4C85-B229-1BE9C8762321}"/>
    <cellStyle name="Normal 4 6 6 2 3" xfId="22148" xr:uid="{2921D8E3-B5E6-4F39-9DE9-0ED452E1F650}"/>
    <cellStyle name="Normal 4 6 6 2 4" xfId="30595" xr:uid="{0676DD48-BEAC-43F6-BA0E-1C1F9BC88FB7}"/>
    <cellStyle name="Normal 4 6 6 2 5" xfId="39042" xr:uid="{28FC9F88-B3F8-47EC-8686-352178938768}"/>
    <cellStyle name="Normal 4 6 6 2 6" xfId="12848" xr:uid="{D63E7A43-8F93-47EE-B42E-4C203F4287CA}"/>
    <cellStyle name="Normal 4 6 6 3" xfId="5594" xr:uid="{00000000-0005-0000-0000-000096160000}"/>
    <cellStyle name="Normal 4 6 6 3 2" xfId="24220" xr:uid="{44542E5C-2294-4F6A-B71C-0DD6C6487FA9}"/>
    <cellStyle name="Normal 4 6 6 3 3" xfId="32667" xr:uid="{35E2EE52-D0A1-42FA-8EE1-14FB5431F363}"/>
    <cellStyle name="Normal 4 6 6 3 4" xfId="41114" xr:uid="{59D0D8B0-DFE6-4540-8EE3-7C75E2C2E777}"/>
    <cellStyle name="Normal 4 6 6 3 5" xfId="14920" xr:uid="{2B50B45A-56BA-42CE-A9E6-91F42CDF33BD}"/>
    <cellStyle name="Normal 4 6 6 4" xfId="20003" xr:uid="{7AC9758B-A21B-4749-B219-55EDB3F0D861}"/>
    <cellStyle name="Normal 4 6 6 5" xfId="28450" xr:uid="{FD833DF0-0818-4756-91CD-83005E5AB920}"/>
    <cellStyle name="Normal 4 6 6 6" xfId="36897" xr:uid="{E9767478-6FA8-4E8A-A6E7-D7A586B1E097}"/>
    <cellStyle name="Normal 4 6 6 7" xfId="10703" xr:uid="{4B07CBA6-6D99-4E2B-A1F2-9928660784C8}"/>
    <cellStyle name="Normal 4 6 7" xfId="1700" xr:uid="{00000000-0005-0000-0000-000097160000}"/>
    <cellStyle name="Normal 4 6 7 2" xfId="3930" xr:uid="{00000000-0005-0000-0000-000098160000}"/>
    <cellStyle name="Normal 4 6 7 2 2" xfId="8152" xr:uid="{00000000-0005-0000-0000-000099160000}"/>
    <cellStyle name="Normal 4 6 7 2 2 2" xfId="26778" xr:uid="{53980064-296D-4062-B689-52D3CBD6AA6A}"/>
    <cellStyle name="Normal 4 6 7 2 2 3" xfId="35225" xr:uid="{54FB0927-CB43-4EB7-B97F-4111D8C96E8E}"/>
    <cellStyle name="Normal 4 6 7 2 2 4" xfId="43672" xr:uid="{C9ECC2F2-E63C-4FDA-940F-F28082FF1456}"/>
    <cellStyle name="Normal 4 6 7 2 2 5" xfId="17478" xr:uid="{5BC8584F-99E7-4545-B21F-994C4E28B6BB}"/>
    <cellStyle name="Normal 4 6 7 2 3" xfId="22561" xr:uid="{69F46F74-BA78-4F55-BE9A-507F548D4A80}"/>
    <cellStyle name="Normal 4 6 7 2 4" xfId="31008" xr:uid="{1ECB8243-DC04-4DE2-A07D-B0236B34B7DA}"/>
    <cellStyle name="Normal 4 6 7 2 5" xfId="39455" xr:uid="{439036DC-67FB-4147-86D5-58717C53AE7B}"/>
    <cellStyle name="Normal 4 6 7 2 6" xfId="13261" xr:uid="{D717BC11-A9B6-4368-88D6-81ADA6BE3EB8}"/>
    <cellStyle name="Normal 4 6 7 3" xfId="6007" xr:uid="{00000000-0005-0000-0000-00009A160000}"/>
    <cellStyle name="Normal 4 6 7 3 2" xfId="24633" xr:uid="{310080B5-D572-4ED6-9A23-37DD2BDC4592}"/>
    <cellStyle name="Normal 4 6 7 3 3" xfId="33080" xr:uid="{54261706-B9D1-4954-8606-4E13E796D680}"/>
    <cellStyle name="Normal 4 6 7 3 4" xfId="41527" xr:uid="{A9B49360-2011-4A3D-93B8-0CAA1A29DE31}"/>
    <cellStyle name="Normal 4 6 7 3 5" xfId="15333" xr:uid="{5060B94C-42AC-4B20-9513-FEDB2EED85E4}"/>
    <cellStyle name="Normal 4 6 7 4" xfId="20416" xr:uid="{82071C00-A839-429B-BBA6-7F3CC40A1730}"/>
    <cellStyle name="Normal 4 6 7 5" xfId="28863" xr:uid="{1EAB05B8-AF67-47E9-B55D-492D0F22B20F}"/>
    <cellStyle name="Normal 4 6 7 6" xfId="37310" xr:uid="{3F84C307-C8D6-4FB2-A940-ED50161860F0}"/>
    <cellStyle name="Normal 4 6 7 7" xfId="11116" xr:uid="{165B472B-1D83-4605-9E2F-6FE46410CFB3}"/>
    <cellStyle name="Normal 4 6 8" xfId="2114" xr:uid="{00000000-0005-0000-0000-00009B160000}"/>
    <cellStyle name="Normal 4 6 8 2" xfId="4343" xr:uid="{00000000-0005-0000-0000-00009C160000}"/>
    <cellStyle name="Normal 4 6 8 2 2" xfId="8565" xr:uid="{00000000-0005-0000-0000-00009D160000}"/>
    <cellStyle name="Normal 4 6 8 2 2 2" xfId="27191" xr:uid="{FEE72210-578D-41A8-ACB8-A5D721001016}"/>
    <cellStyle name="Normal 4 6 8 2 2 3" xfId="35638" xr:uid="{3528CE7A-F552-42EB-8C69-29BEEE9F64FF}"/>
    <cellStyle name="Normal 4 6 8 2 2 4" xfId="44085" xr:uid="{E8D31445-2E39-4DB2-8B44-465A431EC902}"/>
    <cellStyle name="Normal 4 6 8 2 2 5" xfId="17891" xr:uid="{507216CE-EA62-4E4E-9A1B-3E0E5638F1B8}"/>
    <cellStyle name="Normal 4 6 8 2 3" xfId="22974" xr:uid="{518EB4FC-C3D5-4048-8921-4A09353C2563}"/>
    <cellStyle name="Normal 4 6 8 2 4" xfId="31421" xr:uid="{6D7DABDD-B4BA-4410-8CCB-FB2A4D8BD122}"/>
    <cellStyle name="Normal 4 6 8 2 5" xfId="39868" xr:uid="{104ED683-DBF9-4959-835E-1CD1C0FDF0ED}"/>
    <cellStyle name="Normal 4 6 8 2 6" xfId="13674" xr:uid="{72272632-5CF2-46B6-8131-DFC436354A53}"/>
    <cellStyle name="Normal 4 6 8 3" xfId="6420" xr:uid="{00000000-0005-0000-0000-00009E160000}"/>
    <cellStyle name="Normal 4 6 8 3 2" xfId="25046" xr:uid="{CCCFF9DE-4CF9-4DCD-9DFD-A5225F766D2B}"/>
    <cellStyle name="Normal 4 6 8 3 3" xfId="33493" xr:uid="{9AD34AED-7623-4C26-8F71-AEAF80EE328C}"/>
    <cellStyle name="Normal 4 6 8 3 4" xfId="41940" xr:uid="{34BAB39E-8C38-467E-8BE1-6745C08A1E41}"/>
    <cellStyle name="Normal 4 6 8 3 5" xfId="15746" xr:uid="{98EEFDB4-F962-4D04-B03D-E6195AB64FC1}"/>
    <cellStyle name="Normal 4 6 8 4" xfId="20829" xr:uid="{700F6DEA-9784-460F-9D03-972D0C768021}"/>
    <cellStyle name="Normal 4 6 8 5" xfId="29276" xr:uid="{162707C0-DD7E-4D22-905E-8BA103DCBA49}"/>
    <cellStyle name="Normal 4 6 8 6" xfId="37723" xr:uid="{3DD5988A-87C8-4F61-985B-013E141D4B2A}"/>
    <cellStyle name="Normal 4 6 8 7" xfId="11529" xr:uid="{718F2BE0-57ED-44F8-99F1-90D4585E8F2C}"/>
    <cellStyle name="Normal 4 6 9" xfId="2550" xr:uid="{00000000-0005-0000-0000-00009F160000}"/>
    <cellStyle name="Normal 4 6 9 2" xfId="6833" xr:uid="{00000000-0005-0000-0000-0000A0160000}"/>
    <cellStyle name="Normal 4 6 9 2 2" xfId="25459" xr:uid="{7C013B12-1EF3-44C5-8671-F82FD171AC28}"/>
    <cellStyle name="Normal 4 6 9 2 3" xfId="33906" xr:uid="{ADC5BE6D-9A66-4C68-AD2E-94E0A3107E68}"/>
    <cellStyle name="Normal 4 6 9 2 4" xfId="42353" xr:uid="{13C41A63-4B21-4B2A-A0C5-DB71D14AEFEC}"/>
    <cellStyle name="Normal 4 6 9 2 5" xfId="16159" xr:uid="{ABFB3F58-1B89-4409-834D-5ACB1F36F25A}"/>
    <cellStyle name="Normal 4 6 9 3" xfId="21242" xr:uid="{9CBCAE49-62C9-4906-9DC9-2F0DD262ADB8}"/>
    <cellStyle name="Normal 4 6 9 4" xfId="29689" xr:uid="{88AE547B-258E-490C-A911-00626019B11B}"/>
    <cellStyle name="Normal 4 6 9 5" xfId="38136" xr:uid="{DF8816B6-3FA9-4DFD-83B8-6033A32B30BA}"/>
    <cellStyle name="Normal 4 6 9 6" xfId="11942" xr:uid="{9F9804B6-7C11-45E4-B2B8-01979B18333A}"/>
    <cellStyle name="Normal 4 7" xfId="403" xr:uid="{00000000-0005-0000-0000-0000A1160000}"/>
    <cellStyle name="Normal 4 7 10" xfId="19185" xr:uid="{D309EEA8-2933-4F00-9188-C49FDE159995}"/>
    <cellStyle name="Normal 4 7 11" xfId="27632" xr:uid="{69D841C5-2A5A-4EAA-880B-A5A8EFE4E777}"/>
    <cellStyle name="Normal 4 7 12" xfId="36079" xr:uid="{EEB882F4-DDE1-4F6D-8576-C4312F99DEBD}"/>
    <cellStyle name="Normal 4 7 13" xfId="9885" xr:uid="{B8D47B34-6D42-4C74-8C0B-6D87D9D3060D}"/>
    <cellStyle name="Normal 4 7 2" xfId="404" xr:uid="{00000000-0005-0000-0000-0000A2160000}"/>
    <cellStyle name="Normal 4 7 2 10" xfId="27633" xr:uid="{03895CE6-260C-48D9-9CD0-E700653E8407}"/>
    <cellStyle name="Normal 4 7 2 11" xfId="36080" xr:uid="{769CDBA3-E180-4A1A-B98F-29AFF5CFEA73}"/>
    <cellStyle name="Normal 4 7 2 12" xfId="9886" xr:uid="{FD3720AB-48AB-4575-A586-AFE0C3E2E69A}"/>
    <cellStyle name="Normal 4 7 2 2" xfId="878" xr:uid="{00000000-0005-0000-0000-0000A3160000}"/>
    <cellStyle name="Normal 4 7 2 2 2" xfId="3113" xr:uid="{00000000-0005-0000-0000-0000A4160000}"/>
    <cellStyle name="Normal 4 7 2 2 2 2" xfId="7335" xr:uid="{00000000-0005-0000-0000-0000A5160000}"/>
    <cellStyle name="Normal 4 7 2 2 2 2 2" xfId="25961" xr:uid="{9C31931C-0AE5-4985-A7F0-1EAC5900996D}"/>
    <cellStyle name="Normal 4 7 2 2 2 2 3" xfId="34408" xr:uid="{76E190AA-40A3-4CF8-A340-83FE307F7CBE}"/>
    <cellStyle name="Normal 4 7 2 2 2 2 4" xfId="42855" xr:uid="{FEFBF7D1-DF45-4CE9-AB28-AB7E92BE24A7}"/>
    <cellStyle name="Normal 4 7 2 2 2 2 5" xfId="16661" xr:uid="{AE289837-BF3A-494F-8759-95A29851E8E4}"/>
    <cellStyle name="Normal 4 7 2 2 2 3" xfId="21744" xr:uid="{2D78B3A9-B974-4FED-B99F-484D867F8C85}"/>
    <cellStyle name="Normal 4 7 2 2 2 4" xfId="30191" xr:uid="{CB35B08A-B0C9-4AA1-A503-F50BDDC51432}"/>
    <cellStyle name="Normal 4 7 2 2 2 5" xfId="38638" xr:uid="{71E8160C-89AF-4616-87EC-0DCC04810966}"/>
    <cellStyle name="Normal 4 7 2 2 2 6" xfId="12444" xr:uid="{86FC61FF-0945-4E68-9368-BEC790FD7771}"/>
    <cellStyle name="Normal 4 7 2 2 3" xfId="5190" xr:uid="{00000000-0005-0000-0000-0000A6160000}"/>
    <cellStyle name="Normal 4 7 2 2 3 2" xfId="23816" xr:uid="{3A93E81E-9B46-416D-927C-A023A2BFBA07}"/>
    <cellStyle name="Normal 4 7 2 2 3 3" xfId="32263" xr:uid="{CA141DB3-86A0-4A3E-A467-790EFF383FB6}"/>
    <cellStyle name="Normal 4 7 2 2 3 4" xfId="40710" xr:uid="{CE2B649D-FC89-4BBC-8823-A96B2DD730FB}"/>
    <cellStyle name="Normal 4 7 2 2 3 5" xfId="14516" xr:uid="{C2468A00-14DD-46C7-8245-642795A7C473}"/>
    <cellStyle name="Normal 4 7 2 2 4" xfId="9475" xr:uid="{1E309EF6-7D7C-4A4D-B2F1-E00D0CF6E167}"/>
    <cellStyle name="Normal 4 7 2 2 4 2" xfId="18791" xr:uid="{B8789829-2C55-4981-9E0D-DCE0C7A1D282}"/>
    <cellStyle name="Normal 4 7 2 2 5" xfId="19599" xr:uid="{67957879-E901-4A09-9738-BCF69F46E630}"/>
    <cellStyle name="Normal 4 7 2 2 6" xfId="28046" xr:uid="{327565D7-9A6A-4F9F-8541-E12F8979A384}"/>
    <cellStyle name="Normal 4 7 2 2 7" xfId="36493" xr:uid="{091E738B-F8E6-4CC2-84E5-F89B9598F928}"/>
    <cellStyle name="Normal 4 7 2 2 8" xfId="10299" xr:uid="{5B4D275D-306E-4770-B461-B4A09CD4EA72}"/>
    <cellStyle name="Normal 4 7 2 3" xfId="1296" xr:uid="{00000000-0005-0000-0000-0000A7160000}"/>
    <cellStyle name="Normal 4 7 2 3 2" xfId="3526" xr:uid="{00000000-0005-0000-0000-0000A8160000}"/>
    <cellStyle name="Normal 4 7 2 3 2 2" xfId="7748" xr:uid="{00000000-0005-0000-0000-0000A9160000}"/>
    <cellStyle name="Normal 4 7 2 3 2 2 2" xfId="26374" xr:uid="{A856E6CC-48B6-474D-AB6C-DB9ACF0AE4E2}"/>
    <cellStyle name="Normal 4 7 2 3 2 2 3" xfId="34821" xr:uid="{FBD7B948-B84B-47FF-B5AF-9A996C8B00F1}"/>
    <cellStyle name="Normal 4 7 2 3 2 2 4" xfId="43268" xr:uid="{F7A4E697-1A82-4EAA-9D14-5A544543ED7C}"/>
    <cellStyle name="Normal 4 7 2 3 2 2 5" xfId="17074" xr:uid="{072A081A-DEF3-48A6-9A4A-E606B02371D7}"/>
    <cellStyle name="Normal 4 7 2 3 2 3" xfId="22157" xr:uid="{7718B516-77F7-4FC2-9C06-3E69A289C062}"/>
    <cellStyle name="Normal 4 7 2 3 2 4" xfId="30604" xr:uid="{91DCFD91-821A-455A-8AAE-952E9C9C82E9}"/>
    <cellStyle name="Normal 4 7 2 3 2 5" xfId="39051" xr:uid="{F6E75748-D3A6-4B79-9960-659E5806C897}"/>
    <cellStyle name="Normal 4 7 2 3 2 6" xfId="12857" xr:uid="{5AA91862-C48F-468D-8CFB-046BBFC78581}"/>
    <cellStyle name="Normal 4 7 2 3 3" xfId="5603" xr:uid="{00000000-0005-0000-0000-0000AA160000}"/>
    <cellStyle name="Normal 4 7 2 3 3 2" xfId="24229" xr:uid="{92C4FA3F-93A0-48C1-AB15-4E83F9B7C3C0}"/>
    <cellStyle name="Normal 4 7 2 3 3 3" xfId="32676" xr:uid="{6EB2009C-BF58-49CE-937A-00A8857834D0}"/>
    <cellStyle name="Normal 4 7 2 3 3 4" xfId="41123" xr:uid="{887C2428-36FD-4289-A29F-5370761D1471}"/>
    <cellStyle name="Normal 4 7 2 3 3 5" xfId="14929" xr:uid="{D38D826D-A486-4DEB-B281-5AD2FA787F12}"/>
    <cellStyle name="Normal 4 7 2 3 4" xfId="20012" xr:uid="{B871075A-DE2E-4087-AE2A-11D938D39677}"/>
    <cellStyle name="Normal 4 7 2 3 5" xfId="28459" xr:uid="{14096D00-CCA6-417F-BA15-B6607EF07C4D}"/>
    <cellStyle name="Normal 4 7 2 3 6" xfId="36906" xr:uid="{F148FA41-F661-42A9-9EEA-7A34414BCB17}"/>
    <cellStyle name="Normal 4 7 2 3 7" xfId="10712" xr:uid="{48AA517F-180A-4F36-871F-4ED76461A905}"/>
    <cellStyle name="Normal 4 7 2 4" xfId="1709" xr:uid="{00000000-0005-0000-0000-0000AB160000}"/>
    <cellStyle name="Normal 4 7 2 4 2" xfId="3939" xr:uid="{00000000-0005-0000-0000-0000AC160000}"/>
    <cellStyle name="Normal 4 7 2 4 2 2" xfId="8161" xr:uid="{00000000-0005-0000-0000-0000AD160000}"/>
    <cellStyle name="Normal 4 7 2 4 2 2 2" xfId="26787" xr:uid="{6D732E6C-5716-4289-8E3A-CC183C67D349}"/>
    <cellStyle name="Normal 4 7 2 4 2 2 3" xfId="35234" xr:uid="{7E4CD26A-DC14-4282-A09E-41419432C1F8}"/>
    <cellStyle name="Normal 4 7 2 4 2 2 4" xfId="43681" xr:uid="{BD4CB536-50F2-492B-9EB9-39289A986405}"/>
    <cellStyle name="Normal 4 7 2 4 2 2 5" xfId="17487" xr:uid="{4C52C761-DAB5-49D3-A980-C43819ED1BBB}"/>
    <cellStyle name="Normal 4 7 2 4 2 3" xfId="22570" xr:uid="{D5BAA20D-60A0-41AD-B346-92D8B3E5C9CE}"/>
    <cellStyle name="Normal 4 7 2 4 2 4" xfId="31017" xr:uid="{82DAA9FB-D373-42D3-AF2F-62CBB2A7DFF4}"/>
    <cellStyle name="Normal 4 7 2 4 2 5" xfId="39464" xr:uid="{982E623A-D3F2-40FC-ACA1-A8E1FB87FD2C}"/>
    <cellStyle name="Normal 4 7 2 4 2 6" xfId="13270" xr:uid="{251A8370-8885-4769-8791-A5193AB34765}"/>
    <cellStyle name="Normal 4 7 2 4 3" xfId="6016" xr:uid="{00000000-0005-0000-0000-0000AE160000}"/>
    <cellStyle name="Normal 4 7 2 4 3 2" xfId="24642" xr:uid="{D48479E7-0A26-4944-8DCC-70387ED4BFCA}"/>
    <cellStyle name="Normal 4 7 2 4 3 3" xfId="33089" xr:uid="{C2CD70C7-A95D-4A27-8237-A7CB7E577A52}"/>
    <cellStyle name="Normal 4 7 2 4 3 4" xfId="41536" xr:uid="{3C6EB5E7-2BE0-40CD-9B14-347FCEE900AF}"/>
    <cellStyle name="Normal 4 7 2 4 3 5" xfId="15342" xr:uid="{45DFEF34-0D32-4B92-A1D0-822A3AE8F2CA}"/>
    <cellStyle name="Normal 4 7 2 4 4" xfId="20425" xr:uid="{3CE53A5F-12B7-4563-8379-2DE844FCBE91}"/>
    <cellStyle name="Normal 4 7 2 4 5" xfId="28872" xr:uid="{DD7045E3-84CD-4866-9AB7-DE922E2CB32F}"/>
    <cellStyle name="Normal 4 7 2 4 6" xfId="37319" xr:uid="{FEB4740D-2E0D-44C3-BD06-09DCD69F218C}"/>
    <cellStyle name="Normal 4 7 2 4 7" xfId="11125" xr:uid="{2A329002-55FE-4866-98D6-EDC0A91A405F}"/>
    <cellStyle name="Normal 4 7 2 5" xfId="2123" xr:uid="{00000000-0005-0000-0000-0000AF160000}"/>
    <cellStyle name="Normal 4 7 2 5 2" xfId="4352" xr:uid="{00000000-0005-0000-0000-0000B0160000}"/>
    <cellStyle name="Normal 4 7 2 5 2 2" xfId="8574" xr:uid="{00000000-0005-0000-0000-0000B1160000}"/>
    <cellStyle name="Normal 4 7 2 5 2 2 2" xfId="27200" xr:uid="{95A818BD-4176-4FF9-90FC-B264A7052E36}"/>
    <cellStyle name="Normal 4 7 2 5 2 2 3" xfId="35647" xr:uid="{DD831B82-32CA-4A3D-9DBF-6830560EC260}"/>
    <cellStyle name="Normal 4 7 2 5 2 2 4" xfId="44094" xr:uid="{3F1C0EF0-E934-4A05-87ED-38B0372284C2}"/>
    <cellStyle name="Normal 4 7 2 5 2 2 5" xfId="17900" xr:uid="{03E48FC5-7119-4874-8DBC-66D5B90B6D8E}"/>
    <cellStyle name="Normal 4 7 2 5 2 3" xfId="22983" xr:uid="{E96483D4-331E-483C-8F95-F72D7B286A25}"/>
    <cellStyle name="Normal 4 7 2 5 2 4" xfId="31430" xr:uid="{525ADB66-EFF4-43B9-AFB4-13487DF56270}"/>
    <cellStyle name="Normal 4 7 2 5 2 5" xfId="39877" xr:uid="{CC91DD83-A91E-4B8B-A836-6BAF00732DD9}"/>
    <cellStyle name="Normal 4 7 2 5 2 6" xfId="13683" xr:uid="{2959DF77-E55C-48C6-880F-6429D3101900}"/>
    <cellStyle name="Normal 4 7 2 5 3" xfId="6429" xr:uid="{00000000-0005-0000-0000-0000B2160000}"/>
    <cellStyle name="Normal 4 7 2 5 3 2" xfId="25055" xr:uid="{436C8B88-BEF0-4499-90B0-8A6299CF1176}"/>
    <cellStyle name="Normal 4 7 2 5 3 3" xfId="33502" xr:uid="{8DD137D8-601E-4B58-8F90-63B1B808A67A}"/>
    <cellStyle name="Normal 4 7 2 5 3 4" xfId="41949" xr:uid="{CCF34F3E-F9E9-45B3-8C83-C6C1D73DD769}"/>
    <cellStyle name="Normal 4 7 2 5 3 5" xfId="15755" xr:uid="{5E76A058-3B70-4CE6-9E0D-210D34A233F4}"/>
    <cellStyle name="Normal 4 7 2 5 4" xfId="20838" xr:uid="{7A9BD744-C765-4E30-B2FE-8CCAD418557C}"/>
    <cellStyle name="Normal 4 7 2 5 5" xfId="29285" xr:uid="{A6900D8A-375F-4701-B830-DE1D2FBC8CF2}"/>
    <cellStyle name="Normal 4 7 2 5 6" xfId="37732" xr:uid="{7476E4CE-550A-428F-9299-B20BF59D6406}"/>
    <cellStyle name="Normal 4 7 2 5 7" xfId="11538" xr:uid="{775FFDBB-8E1E-4EAD-9956-72B59E25DDFE}"/>
    <cellStyle name="Normal 4 7 2 6" xfId="2559" xr:uid="{00000000-0005-0000-0000-0000B3160000}"/>
    <cellStyle name="Normal 4 7 2 6 2" xfId="6842" xr:uid="{00000000-0005-0000-0000-0000B4160000}"/>
    <cellStyle name="Normal 4 7 2 6 2 2" xfId="25468" xr:uid="{0D61EE1A-7EA1-482F-BA38-4FC86AD65566}"/>
    <cellStyle name="Normal 4 7 2 6 2 3" xfId="33915" xr:uid="{05655F61-73F0-4D81-A0D3-5F9160BE8F68}"/>
    <cellStyle name="Normal 4 7 2 6 2 4" xfId="42362" xr:uid="{EA28FF84-E2EB-4A8D-B8FF-752096D67D04}"/>
    <cellStyle name="Normal 4 7 2 6 2 5" xfId="16168" xr:uid="{E0954EBB-EFDF-407A-BCDA-5A5A9D86B2D3}"/>
    <cellStyle name="Normal 4 7 2 6 3" xfId="21251" xr:uid="{98BE66D4-BB74-4009-A03F-91CC2AD4FB46}"/>
    <cellStyle name="Normal 4 7 2 6 4" xfId="29698" xr:uid="{10BC9805-4EBB-4005-AA83-DF2267B4A386}"/>
    <cellStyle name="Normal 4 7 2 6 5" xfId="38145" xr:uid="{48C425DC-2B56-45D1-9C1E-96415C7C413A}"/>
    <cellStyle name="Normal 4 7 2 6 6" xfId="11951" xr:uid="{C8054D02-765C-4986-9D75-C5C542E84607}"/>
    <cellStyle name="Normal 4 7 2 7" xfId="4777" xr:uid="{00000000-0005-0000-0000-0000B5160000}"/>
    <cellStyle name="Normal 4 7 2 7 2" xfId="23403" xr:uid="{05EDFFE9-C147-4DB6-AB4E-86C392BF6A36}"/>
    <cellStyle name="Normal 4 7 2 7 3" xfId="31850" xr:uid="{64A21AB1-F4C0-4AC0-A2C8-F0F03EE1318E}"/>
    <cellStyle name="Normal 4 7 2 7 4" xfId="40297" xr:uid="{512A3FBE-1C38-4248-A1C6-65314B1359E8}"/>
    <cellStyle name="Normal 4 7 2 7 5" xfId="14103" xr:uid="{D0089828-56F2-43C1-BE63-3B71988C370F}"/>
    <cellStyle name="Normal 4 7 2 8" xfId="9050" xr:uid="{C18A0BCD-6C40-47C4-AC72-E06914F008F6}"/>
    <cellStyle name="Normal 4 7 2 8 2" xfId="18374" xr:uid="{C4D71BB8-9326-44E7-A353-17FA57BF3AF9}"/>
    <cellStyle name="Normal 4 7 2 9" xfId="19186" xr:uid="{DFDB4BE9-BBBB-4A15-BB93-549C48643803}"/>
    <cellStyle name="Normal 4 7 3" xfId="877" xr:uid="{00000000-0005-0000-0000-0000B6160000}"/>
    <cellStyle name="Normal 4 7 3 2" xfId="3112" xr:uid="{00000000-0005-0000-0000-0000B7160000}"/>
    <cellStyle name="Normal 4 7 3 2 2" xfId="7334" xr:uid="{00000000-0005-0000-0000-0000B8160000}"/>
    <cellStyle name="Normal 4 7 3 2 2 2" xfId="25960" xr:uid="{0236CB23-ADC8-412F-A8B0-06CBAF99BABD}"/>
    <cellStyle name="Normal 4 7 3 2 2 3" xfId="34407" xr:uid="{C80BF92E-5A86-4CA5-A4FA-754C46091A01}"/>
    <cellStyle name="Normal 4 7 3 2 2 4" xfId="42854" xr:uid="{0AA15589-0F7B-450F-9CA2-B5827268DBE6}"/>
    <cellStyle name="Normal 4 7 3 2 2 5" xfId="16660" xr:uid="{DABA5634-D57A-4DF3-B629-DB49BC70E4B1}"/>
    <cellStyle name="Normal 4 7 3 2 3" xfId="21743" xr:uid="{00906FC6-C4DD-433F-ABF9-9281C6B4D995}"/>
    <cellStyle name="Normal 4 7 3 2 4" xfId="30190" xr:uid="{72BE8EC0-400C-4647-B887-3B471B571634}"/>
    <cellStyle name="Normal 4 7 3 2 5" xfId="38637" xr:uid="{852853E3-79BA-4D3F-9CE9-D108C25ABC3B}"/>
    <cellStyle name="Normal 4 7 3 2 6" xfId="12443" xr:uid="{0E26D681-EB0E-4981-AE5E-24F34FA4AC16}"/>
    <cellStyle name="Normal 4 7 3 3" xfId="5189" xr:uid="{00000000-0005-0000-0000-0000B9160000}"/>
    <cellStyle name="Normal 4 7 3 3 2" xfId="23815" xr:uid="{B188BE68-7B95-45B1-A048-A3D7AED1DAC7}"/>
    <cellStyle name="Normal 4 7 3 3 3" xfId="32262" xr:uid="{AE8642A7-B794-4FFF-B38C-ADBD14969F3D}"/>
    <cellStyle name="Normal 4 7 3 3 4" xfId="40709" xr:uid="{CBE49A4C-AFEC-4E0D-8363-6F6C6D7DF269}"/>
    <cellStyle name="Normal 4 7 3 3 5" xfId="14515" xr:uid="{726233AE-9A09-4410-A042-8551C13F0DD0}"/>
    <cellStyle name="Normal 4 7 3 4" xfId="9268" xr:uid="{83DA99B2-5D77-4110-AEB9-304D3ECEF3EB}"/>
    <cellStyle name="Normal 4 7 3 4 2" xfId="18584" xr:uid="{EC3570FD-3765-4F8E-B39D-78EA88BCA6F9}"/>
    <cellStyle name="Normal 4 7 3 5" xfId="19598" xr:uid="{2D0810E4-9F80-4B24-84AF-9396BECFFD93}"/>
    <cellStyle name="Normal 4 7 3 6" xfId="28045" xr:uid="{1BDAAFAF-2097-474F-A9F3-3D413DE73BFE}"/>
    <cellStyle name="Normal 4 7 3 7" xfId="36492" xr:uid="{1A44B201-D8FB-4A8C-A612-A549FCC98CB3}"/>
    <cellStyle name="Normal 4 7 3 8" xfId="10298" xr:uid="{D1C95E2D-78B1-4516-BC30-471CB13C1A92}"/>
    <cellStyle name="Normal 4 7 4" xfId="1295" xr:uid="{00000000-0005-0000-0000-0000BA160000}"/>
    <cellStyle name="Normal 4 7 4 2" xfId="3525" xr:uid="{00000000-0005-0000-0000-0000BB160000}"/>
    <cellStyle name="Normal 4 7 4 2 2" xfId="7747" xr:uid="{00000000-0005-0000-0000-0000BC160000}"/>
    <cellStyle name="Normal 4 7 4 2 2 2" xfId="26373" xr:uid="{C5C56828-0946-4BB1-9B10-B801F017BE8B}"/>
    <cellStyle name="Normal 4 7 4 2 2 3" xfId="34820" xr:uid="{AEA3E987-E275-4235-BC7B-29C0903013DE}"/>
    <cellStyle name="Normal 4 7 4 2 2 4" xfId="43267" xr:uid="{00DCAE10-62DF-4051-9EAD-5DD9C44596E3}"/>
    <cellStyle name="Normal 4 7 4 2 2 5" xfId="17073" xr:uid="{7EB7C37F-4C21-450D-8A0F-47D498342410}"/>
    <cellStyle name="Normal 4 7 4 2 3" xfId="22156" xr:uid="{A46E3363-3F7B-4363-BF5A-9655C1C517A8}"/>
    <cellStyle name="Normal 4 7 4 2 4" xfId="30603" xr:uid="{30F41823-08E9-4167-A775-08C2718D8ED5}"/>
    <cellStyle name="Normal 4 7 4 2 5" xfId="39050" xr:uid="{D79D70F2-107C-42A1-8EA3-92033AC08DB0}"/>
    <cellStyle name="Normal 4 7 4 2 6" xfId="12856" xr:uid="{21772627-6FE2-49AD-9625-C46B58435141}"/>
    <cellStyle name="Normal 4 7 4 3" xfId="5602" xr:uid="{00000000-0005-0000-0000-0000BD160000}"/>
    <cellStyle name="Normal 4 7 4 3 2" xfId="24228" xr:uid="{33537E1E-9CC3-4011-824B-2671E8153E8B}"/>
    <cellStyle name="Normal 4 7 4 3 3" xfId="32675" xr:uid="{591D75E6-F681-4D9C-ADA4-E45EF0290454}"/>
    <cellStyle name="Normal 4 7 4 3 4" xfId="41122" xr:uid="{49ABCD18-B0AF-42AB-8720-7C8513AD511E}"/>
    <cellStyle name="Normal 4 7 4 3 5" xfId="14928" xr:uid="{002EEFC5-5EA8-4CFE-A857-ED114D002576}"/>
    <cellStyle name="Normal 4 7 4 4" xfId="20011" xr:uid="{FE25DC46-FB93-42ED-86B4-58EC5D44BCEC}"/>
    <cellStyle name="Normal 4 7 4 5" xfId="28458" xr:uid="{C2752031-5962-4EB2-817C-24A4CAFC7748}"/>
    <cellStyle name="Normal 4 7 4 6" xfId="36905" xr:uid="{68725FC4-94AD-468C-90B6-FB17E3172D54}"/>
    <cellStyle name="Normal 4 7 4 7" xfId="10711" xr:uid="{86DB0F1D-5005-4277-AE81-EC13FA2610DD}"/>
    <cellStyle name="Normal 4 7 5" xfId="1708" xr:uid="{00000000-0005-0000-0000-0000BE160000}"/>
    <cellStyle name="Normal 4 7 5 2" xfId="3938" xr:uid="{00000000-0005-0000-0000-0000BF160000}"/>
    <cellStyle name="Normal 4 7 5 2 2" xfId="8160" xr:uid="{00000000-0005-0000-0000-0000C0160000}"/>
    <cellStyle name="Normal 4 7 5 2 2 2" xfId="26786" xr:uid="{CC4F899C-BE43-461D-9473-ECB98AFBFC7B}"/>
    <cellStyle name="Normal 4 7 5 2 2 3" xfId="35233" xr:uid="{D0F769F9-6D53-4B76-A15A-DF81EEEC3651}"/>
    <cellStyle name="Normal 4 7 5 2 2 4" xfId="43680" xr:uid="{AC9BDC8F-5AC7-4094-BBEA-F331C0E62C6F}"/>
    <cellStyle name="Normal 4 7 5 2 2 5" xfId="17486" xr:uid="{CD68712D-8318-4C80-A507-7989A6DBA1A0}"/>
    <cellStyle name="Normal 4 7 5 2 3" xfId="22569" xr:uid="{C035EFA6-97C0-4748-8F6A-F6A658840EAB}"/>
    <cellStyle name="Normal 4 7 5 2 4" xfId="31016" xr:uid="{46BF32B0-4FE6-4FDE-A685-BE27A71187D4}"/>
    <cellStyle name="Normal 4 7 5 2 5" xfId="39463" xr:uid="{8C43944F-BAC6-4FFE-8406-9C17FAB70212}"/>
    <cellStyle name="Normal 4 7 5 2 6" xfId="13269" xr:uid="{5CE5FF05-8DD4-4911-A06E-FBDD8B79F510}"/>
    <cellStyle name="Normal 4 7 5 3" xfId="6015" xr:uid="{00000000-0005-0000-0000-0000C1160000}"/>
    <cellStyle name="Normal 4 7 5 3 2" xfId="24641" xr:uid="{C36B5157-E8F0-4C00-B1E1-116FE7CF306F}"/>
    <cellStyle name="Normal 4 7 5 3 3" xfId="33088" xr:uid="{E626E54F-616D-4078-B154-3847CCB3249B}"/>
    <cellStyle name="Normal 4 7 5 3 4" xfId="41535" xr:uid="{864830E4-A297-49B7-9DDF-AB6C2FB022D7}"/>
    <cellStyle name="Normal 4 7 5 3 5" xfId="15341" xr:uid="{B270AF42-C60E-4158-B3F6-E0037658F18A}"/>
    <cellStyle name="Normal 4 7 5 4" xfId="20424" xr:uid="{1182AE89-7597-4F3B-A4BB-9F7B46255F45}"/>
    <cellStyle name="Normal 4 7 5 5" xfId="28871" xr:uid="{B704D5E4-BE7E-4DD7-92A8-B6557E64636C}"/>
    <cellStyle name="Normal 4 7 5 6" xfId="37318" xr:uid="{88F76149-BA7C-43D0-B3D1-B6F6B19F0E9D}"/>
    <cellStyle name="Normal 4 7 5 7" xfId="11124" xr:uid="{0ADB4E61-78E4-4405-9F38-9AD09F2B6881}"/>
    <cellStyle name="Normal 4 7 6" xfId="2122" xr:uid="{00000000-0005-0000-0000-0000C2160000}"/>
    <cellStyle name="Normal 4 7 6 2" xfId="4351" xr:uid="{00000000-0005-0000-0000-0000C3160000}"/>
    <cellStyle name="Normal 4 7 6 2 2" xfId="8573" xr:uid="{00000000-0005-0000-0000-0000C4160000}"/>
    <cellStyle name="Normal 4 7 6 2 2 2" xfId="27199" xr:uid="{E0F257D3-5C4B-4D71-8624-8D19EFA69305}"/>
    <cellStyle name="Normal 4 7 6 2 2 3" xfId="35646" xr:uid="{0867ADF0-98E1-4517-BA62-8AA135D48E7E}"/>
    <cellStyle name="Normal 4 7 6 2 2 4" xfId="44093" xr:uid="{2BC5EB47-EF98-41A5-8C7A-5F30BE40AA7E}"/>
    <cellStyle name="Normal 4 7 6 2 2 5" xfId="17899" xr:uid="{FADBB287-138A-40A2-B5B9-B5FDD74F92BA}"/>
    <cellStyle name="Normal 4 7 6 2 3" xfId="22982" xr:uid="{02B94DB0-FACE-4F34-B1F7-8DD0B67FDBD1}"/>
    <cellStyle name="Normal 4 7 6 2 4" xfId="31429" xr:uid="{A140A680-4326-4044-87FD-212131B39CFE}"/>
    <cellStyle name="Normal 4 7 6 2 5" xfId="39876" xr:uid="{4D63E475-9D3D-47A0-B940-BE2E302BAF8A}"/>
    <cellStyle name="Normal 4 7 6 2 6" xfId="13682" xr:uid="{F2B3E787-D3AE-4D2D-B6A9-9F616B1AA217}"/>
    <cellStyle name="Normal 4 7 6 3" xfId="6428" xr:uid="{00000000-0005-0000-0000-0000C5160000}"/>
    <cellStyle name="Normal 4 7 6 3 2" xfId="25054" xr:uid="{B3EC1B4D-A9AF-4ED6-BE3A-BB60D847C050}"/>
    <cellStyle name="Normal 4 7 6 3 3" xfId="33501" xr:uid="{38A1535B-207D-4902-806F-31390095ADE2}"/>
    <cellStyle name="Normal 4 7 6 3 4" xfId="41948" xr:uid="{7309753A-B8EF-429A-B4A7-449E670A13B9}"/>
    <cellStyle name="Normal 4 7 6 3 5" xfId="15754" xr:uid="{A76E10C1-DC83-463F-8887-C6A1744B0157}"/>
    <cellStyle name="Normal 4 7 6 4" xfId="20837" xr:uid="{F9BC1CCD-84BD-4BA4-AB4E-106317B283BD}"/>
    <cellStyle name="Normal 4 7 6 5" xfId="29284" xr:uid="{04EBF042-182C-4A29-87B8-73C3254747B7}"/>
    <cellStyle name="Normal 4 7 6 6" xfId="37731" xr:uid="{CDE36B53-D215-4979-88BE-F0CC7F928CA2}"/>
    <cellStyle name="Normal 4 7 6 7" xfId="11537" xr:uid="{8E422D87-842C-43C0-AA09-F1FAA46B5E7F}"/>
    <cellStyle name="Normal 4 7 7" xfId="2558" xr:uid="{00000000-0005-0000-0000-0000C6160000}"/>
    <cellStyle name="Normal 4 7 7 2" xfId="6841" xr:uid="{00000000-0005-0000-0000-0000C7160000}"/>
    <cellStyle name="Normal 4 7 7 2 2" xfId="25467" xr:uid="{A400BC8F-A6D5-47D2-8FE8-CE2A076E7B7C}"/>
    <cellStyle name="Normal 4 7 7 2 3" xfId="33914" xr:uid="{23D13773-6F82-4261-9848-1B8169E06A97}"/>
    <cellStyle name="Normal 4 7 7 2 4" xfId="42361" xr:uid="{66C6CC90-047A-4FC3-88EE-2D336DD4B9E1}"/>
    <cellStyle name="Normal 4 7 7 2 5" xfId="16167" xr:uid="{F2863EE2-E316-45EE-A3B3-21A326B80877}"/>
    <cellStyle name="Normal 4 7 7 3" xfId="21250" xr:uid="{0253294A-45DC-4E39-889C-BC08D0E66B80}"/>
    <cellStyle name="Normal 4 7 7 4" xfId="29697" xr:uid="{B95D63AC-2AEC-477E-9F59-04B6BFFAA43B}"/>
    <cellStyle name="Normal 4 7 7 5" xfId="38144" xr:uid="{4628D2E0-8F96-40E6-B0DD-CC7AF9550E7B}"/>
    <cellStyle name="Normal 4 7 7 6" xfId="11950" xr:uid="{76533E09-BA9F-405F-8FBE-68A657C2E429}"/>
    <cellStyle name="Normal 4 7 8" xfId="4776" xr:uid="{00000000-0005-0000-0000-0000C8160000}"/>
    <cellStyle name="Normal 4 7 8 2" xfId="23402" xr:uid="{B200A215-5AAA-460F-8F57-11541317B902}"/>
    <cellStyle name="Normal 4 7 8 3" xfId="31849" xr:uid="{D9BF5855-72F4-4E12-8536-9FF8A9EDF8A4}"/>
    <cellStyle name="Normal 4 7 8 4" xfId="40296" xr:uid="{52BC0DCD-062E-4FFD-B057-1FB2381620F3}"/>
    <cellStyle name="Normal 4 7 8 5" xfId="14102" xr:uid="{B8035A55-EFF5-47BC-8066-3A5F0EA6FC3F}"/>
    <cellStyle name="Normal 4 7 9" xfId="8843" xr:uid="{092972D9-0015-4C5A-94A6-5AFD2026266B}"/>
    <cellStyle name="Normal 4 7 9 2" xfId="18167" xr:uid="{9B6D6EC0-884C-47E5-AC66-AA6CD1D3063C}"/>
    <cellStyle name="Normal 4 8" xfId="405" xr:uid="{00000000-0005-0000-0000-0000C9160000}"/>
    <cellStyle name="Normal 4 8 10" xfId="27634" xr:uid="{F262E775-ACD5-4E0E-A52C-29C37103167C}"/>
    <cellStyle name="Normal 4 8 11" xfId="36081" xr:uid="{C5CA59B6-C5C7-43C2-890A-9368D8E594DE}"/>
    <cellStyle name="Normal 4 8 12" xfId="9887" xr:uid="{45C1FF66-FF29-420E-A714-454EB48BCCBB}"/>
    <cellStyle name="Normal 4 8 2" xfId="879" xr:uid="{00000000-0005-0000-0000-0000CA160000}"/>
    <cellStyle name="Normal 4 8 2 2" xfId="3114" xr:uid="{00000000-0005-0000-0000-0000CB160000}"/>
    <cellStyle name="Normal 4 8 2 2 2" xfId="7336" xr:uid="{00000000-0005-0000-0000-0000CC160000}"/>
    <cellStyle name="Normal 4 8 2 2 2 2" xfId="25962" xr:uid="{DE66F385-2D0F-48F6-80CA-6013EE1E8BFD}"/>
    <cellStyle name="Normal 4 8 2 2 2 3" xfId="34409" xr:uid="{3544AB2B-25EC-4016-99ED-DE3B7A720BB4}"/>
    <cellStyle name="Normal 4 8 2 2 2 4" xfId="42856" xr:uid="{0A1ED434-F5FC-4261-B2F5-A310886EBCA9}"/>
    <cellStyle name="Normal 4 8 2 2 2 5" xfId="16662" xr:uid="{C49C8F13-6F53-4FF3-95BB-9F4ADAFEA2F9}"/>
    <cellStyle name="Normal 4 8 2 2 3" xfId="21745" xr:uid="{2B94F019-E8C3-4C72-BB6D-47BE1E90164A}"/>
    <cellStyle name="Normal 4 8 2 2 4" xfId="30192" xr:uid="{14D8452C-7A77-4842-9EC2-A9CF5CBC0373}"/>
    <cellStyle name="Normal 4 8 2 2 5" xfId="38639" xr:uid="{2F22FF65-08DA-4EB0-923D-ACEF05D9DDD1}"/>
    <cellStyle name="Normal 4 8 2 2 6" xfId="12445" xr:uid="{B5D6ABD3-DBAC-459D-B929-CED1D9FADC02}"/>
    <cellStyle name="Normal 4 8 2 3" xfId="5191" xr:uid="{00000000-0005-0000-0000-0000CD160000}"/>
    <cellStyle name="Normal 4 8 2 3 2" xfId="23817" xr:uid="{BD01E27E-76BE-48AD-8336-55B5003E0739}"/>
    <cellStyle name="Normal 4 8 2 3 3" xfId="32264" xr:uid="{A4648355-7B10-4FBA-8960-CA851CA618EB}"/>
    <cellStyle name="Normal 4 8 2 3 4" xfId="40711" xr:uid="{450B1430-380F-4749-97E3-A68C46309808}"/>
    <cellStyle name="Normal 4 8 2 3 5" xfId="14517" xr:uid="{6C40966F-ACB4-4EE5-BD6D-C1DE47634317}"/>
    <cellStyle name="Normal 4 8 2 4" xfId="9384" xr:uid="{6351F1DA-E485-4044-8429-C0AE76E79EEE}"/>
    <cellStyle name="Normal 4 8 2 4 2" xfId="18700" xr:uid="{F8569A64-0901-48E6-AFB9-E34167636810}"/>
    <cellStyle name="Normal 4 8 2 5" xfId="19600" xr:uid="{82221871-E245-4E29-8523-AD11EA9440E5}"/>
    <cellStyle name="Normal 4 8 2 6" xfId="28047" xr:uid="{DC3F9AF6-D22C-414A-AF6C-9D5523286441}"/>
    <cellStyle name="Normal 4 8 2 7" xfId="36494" xr:uid="{C303A543-9DB3-45CE-8A73-B8A2A782DF85}"/>
    <cellStyle name="Normal 4 8 2 8" xfId="10300" xr:uid="{DB989618-2764-47AE-B700-D3AAF4CF8265}"/>
    <cellStyle name="Normal 4 8 3" xfId="1297" xr:uid="{00000000-0005-0000-0000-0000CE160000}"/>
    <cellStyle name="Normal 4 8 3 2" xfId="3527" xr:uid="{00000000-0005-0000-0000-0000CF160000}"/>
    <cellStyle name="Normal 4 8 3 2 2" xfId="7749" xr:uid="{00000000-0005-0000-0000-0000D0160000}"/>
    <cellStyle name="Normal 4 8 3 2 2 2" xfId="26375" xr:uid="{C3527A3B-6D33-48E7-A276-261254BAF6DB}"/>
    <cellStyle name="Normal 4 8 3 2 2 3" xfId="34822" xr:uid="{A8AEFF75-3F90-4523-B6A5-05A13826C88D}"/>
    <cellStyle name="Normal 4 8 3 2 2 4" xfId="43269" xr:uid="{95AED79D-D2C1-4B5D-94EE-162909196084}"/>
    <cellStyle name="Normal 4 8 3 2 2 5" xfId="17075" xr:uid="{52A685B3-AA8D-4C58-B0E0-335DD310C1D5}"/>
    <cellStyle name="Normal 4 8 3 2 3" xfId="22158" xr:uid="{37E300D4-58FF-402F-B59D-3D7FC26DBE0A}"/>
    <cellStyle name="Normal 4 8 3 2 4" xfId="30605" xr:uid="{C691BB29-EA13-448C-9F02-A714050A7075}"/>
    <cellStyle name="Normal 4 8 3 2 5" xfId="39052" xr:uid="{0E1BA518-0E1B-4A36-8181-522A9A03A7C3}"/>
    <cellStyle name="Normal 4 8 3 2 6" xfId="12858" xr:uid="{64870440-7361-4293-BEEA-8F9E3733B706}"/>
    <cellStyle name="Normal 4 8 3 3" xfId="5604" xr:uid="{00000000-0005-0000-0000-0000D1160000}"/>
    <cellStyle name="Normal 4 8 3 3 2" xfId="24230" xr:uid="{F78399DF-C64B-4832-856A-C700453EA926}"/>
    <cellStyle name="Normal 4 8 3 3 3" xfId="32677" xr:uid="{213B9804-E717-452E-8176-703CB43EEAFA}"/>
    <cellStyle name="Normal 4 8 3 3 4" xfId="41124" xr:uid="{5190CBF5-1704-4822-BDE8-77458D12BFEA}"/>
    <cellStyle name="Normal 4 8 3 3 5" xfId="14930" xr:uid="{A6A8B163-B78D-4C75-AA55-FC67C55AAA78}"/>
    <cellStyle name="Normal 4 8 3 4" xfId="20013" xr:uid="{E8C58AF0-1B6E-42A6-896A-AAEDD9DF15F7}"/>
    <cellStyle name="Normal 4 8 3 5" xfId="28460" xr:uid="{A77AA04C-E2DC-4B0F-A891-8FECFACF5FDD}"/>
    <cellStyle name="Normal 4 8 3 6" xfId="36907" xr:uid="{9E5195C8-43F9-4538-A482-22A43DC378E2}"/>
    <cellStyle name="Normal 4 8 3 7" xfId="10713" xr:uid="{00D4994B-95F5-4DFD-B828-C462631FF8D4}"/>
    <cellStyle name="Normal 4 8 4" xfId="1710" xr:uid="{00000000-0005-0000-0000-0000D2160000}"/>
    <cellStyle name="Normal 4 8 4 2" xfId="3940" xr:uid="{00000000-0005-0000-0000-0000D3160000}"/>
    <cellStyle name="Normal 4 8 4 2 2" xfId="8162" xr:uid="{00000000-0005-0000-0000-0000D4160000}"/>
    <cellStyle name="Normal 4 8 4 2 2 2" xfId="26788" xr:uid="{62ED028C-4874-462D-9265-117887B6D476}"/>
    <cellStyle name="Normal 4 8 4 2 2 3" xfId="35235" xr:uid="{F0BADB18-49FA-4027-B820-E7B4B3643087}"/>
    <cellStyle name="Normal 4 8 4 2 2 4" xfId="43682" xr:uid="{161AD0EB-236D-4116-92E8-10133C168208}"/>
    <cellStyle name="Normal 4 8 4 2 2 5" xfId="17488" xr:uid="{EDA8AB38-4F42-4A61-978F-0794F8A88D67}"/>
    <cellStyle name="Normal 4 8 4 2 3" xfId="22571" xr:uid="{78493FDB-9781-4FD7-80A5-10E866E95AA2}"/>
    <cellStyle name="Normal 4 8 4 2 4" xfId="31018" xr:uid="{FCC39E48-ACE8-4963-9DA3-BAB5A79A2F35}"/>
    <cellStyle name="Normal 4 8 4 2 5" xfId="39465" xr:uid="{63B1F30E-21B4-4E82-9913-ACD9A67D1313}"/>
    <cellStyle name="Normal 4 8 4 2 6" xfId="13271" xr:uid="{5C1F113E-67E8-46B9-8455-31DC46C7E353}"/>
    <cellStyle name="Normal 4 8 4 3" xfId="6017" xr:uid="{00000000-0005-0000-0000-0000D5160000}"/>
    <cellStyle name="Normal 4 8 4 3 2" xfId="24643" xr:uid="{796CCA00-1748-4FC6-985D-6E5253CA897F}"/>
    <cellStyle name="Normal 4 8 4 3 3" xfId="33090" xr:uid="{065BF8C1-54DF-4186-BEDC-68D896F58B46}"/>
    <cellStyle name="Normal 4 8 4 3 4" xfId="41537" xr:uid="{F6A7E033-7085-45F1-8CE7-F7EEECAEF0ED}"/>
    <cellStyle name="Normal 4 8 4 3 5" xfId="15343" xr:uid="{754FCDA8-2581-4783-A069-25C5F851A406}"/>
    <cellStyle name="Normal 4 8 4 4" xfId="20426" xr:uid="{349F208E-85DC-4380-BE53-69BD7B8D95F5}"/>
    <cellStyle name="Normal 4 8 4 5" xfId="28873" xr:uid="{437B9E90-DCE7-49EF-9D6B-45EE8607AFF3}"/>
    <cellStyle name="Normal 4 8 4 6" xfId="37320" xr:uid="{A9174307-5C82-423A-88BE-88206F90D8C6}"/>
    <cellStyle name="Normal 4 8 4 7" xfId="11126" xr:uid="{491B2889-C2E7-4C41-B874-FED6C60B4B05}"/>
    <cellStyle name="Normal 4 8 5" xfId="2124" xr:uid="{00000000-0005-0000-0000-0000D6160000}"/>
    <cellStyle name="Normal 4 8 5 2" xfId="4353" xr:uid="{00000000-0005-0000-0000-0000D7160000}"/>
    <cellStyle name="Normal 4 8 5 2 2" xfId="8575" xr:uid="{00000000-0005-0000-0000-0000D8160000}"/>
    <cellStyle name="Normal 4 8 5 2 2 2" xfId="27201" xr:uid="{9D5726AE-D177-4D00-8F0D-5D7CDE9D1499}"/>
    <cellStyle name="Normal 4 8 5 2 2 3" xfId="35648" xr:uid="{6BAEC154-E37A-4DCC-9860-A09D45B1D721}"/>
    <cellStyle name="Normal 4 8 5 2 2 4" xfId="44095" xr:uid="{21760BB8-EDED-450E-A4F0-75D3636645F4}"/>
    <cellStyle name="Normal 4 8 5 2 2 5" xfId="17901" xr:uid="{7538FFCD-3688-4403-89F6-D9DC03A639E3}"/>
    <cellStyle name="Normal 4 8 5 2 3" xfId="22984" xr:uid="{064A4A64-48C5-40E7-AD28-A0314444D452}"/>
    <cellStyle name="Normal 4 8 5 2 4" xfId="31431" xr:uid="{80941B54-735B-4043-8656-2887004CE106}"/>
    <cellStyle name="Normal 4 8 5 2 5" xfId="39878" xr:uid="{473F32F7-6F93-4079-BE63-8EB3D0F602E8}"/>
    <cellStyle name="Normal 4 8 5 2 6" xfId="13684" xr:uid="{E1EE3B2B-D5C4-48DB-8EAF-F73B3BB5B21A}"/>
    <cellStyle name="Normal 4 8 5 3" xfId="6430" xr:uid="{00000000-0005-0000-0000-0000D9160000}"/>
    <cellStyle name="Normal 4 8 5 3 2" xfId="25056" xr:uid="{0DB664D3-1175-4A28-9F53-E2D5DC978218}"/>
    <cellStyle name="Normal 4 8 5 3 3" xfId="33503" xr:uid="{92D19731-239F-4D40-9655-DBFC2A9032E1}"/>
    <cellStyle name="Normal 4 8 5 3 4" xfId="41950" xr:uid="{E11C689D-822F-4639-B152-E16DE015A531}"/>
    <cellStyle name="Normal 4 8 5 3 5" xfId="15756" xr:uid="{A741431A-3BE0-4EDF-963B-ABEABA13781C}"/>
    <cellStyle name="Normal 4 8 5 4" xfId="20839" xr:uid="{197DF16E-8F4D-46BE-9234-1CBE9A784CB9}"/>
    <cellStyle name="Normal 4 8 5 5" xfId="29286" xr:uid="{76753EE1-CF67-4E4C-BC89-07073D1C0482}"/>
    <cellStyle name="Normal 4 8 5 6" xfId="37733" xr:uid="{CD6E4088-BEC2-4D32-BC9B-6405FC6CFC22}"/>
    <cellStyle name="Normal 4 8 5 7" xfId="11539" xr:uid="{C6F92C94-6EB7-4FA0-92DF-71E4DE503542}"/>
    <cellStyle name="Normal 4 8 6" xfId="2560" xr:uid="{00000000-0005-0000-0000-0000DA160000}"/>
    <cellStyle name="Normal 4 8 6 2" xfId="6843" xr:uid="{00000000-0005-0000-0000-0000DB160000}"/>
    <cellStyle name="Normal 4 8 6 2 2" xfId="25469" xr:uid="{2CCF3CE1-10D9-4528-B188-F2A03535BD9A}"/>
    <cellStyle name="Normal 4 8 6 2 3" xfId="33916" xr:uid="{E81726CE-1A9C-4E4F-9E7E-985E8F90A9EA}"/>
    <cellStyle name="Normal 4 8 6 2 4" xfId="42363" xr:uid="{62A6CA62-D4E9-4CB4-A930-C74E33F7976A}"/>
    <cellStyle name="Normal 4 8 6 2 5" xfId="16169" xr:uid="{3CB13A84-5909-44B7-A553-A0B3C5AB55B9}"/>
    <cellStyle name="Normal 4 8 6 3" xfId="21252" xr:uid="{515FFC8A-DFA8-4E3F-8626-C2A4BD4B5C53}"/>
    <cellStyle name="Normal 4 8 6 4" xfId="29699" xr:uid="{729B2625-9341-4E23-A134-72FE6FB30DA6}"/>
    <cellStyle name="Normal 4 8 6 5" xfId="38146" xr:uid="{273FA9A3-9EC3-4324-9A60-CBF222F76A3F}"/>
    <cellStyle name="Normal 4 8 6 6" xfId="11952" xr:uid="{F8AE2643-DFD8-4FE5-BC6E-B636035D458F}"/>
    <cellStyle name="Normal 4 8 7" xfId="4778" xr:uid="{00000000-0005-0000-0000-0000DC160000}"/>
    <cellStyle name="Normal 4 8 7 2" xfId="23404" xr:uid="{3536EF7C-6169-4806-B051-3F52866F961C}"/>
    <cellStyle name="Normal 4 8 7 3" xfId="31851" xr:uid="{921A14BA-C046-40B3-9338-64DDC7E8B88A}"/>
    <cellStyle name="Normal 4 8 7 4" xfId="40298" xr:uid="{A1590B55-173E-4F1F-A2D7-1615D7BD71EB}"/>
    <cellStyle name="Normal 4 8 7 5" xfId="14104" xr:uid="{EE3F1E50-894E-42C7-AC10-03A47E2ECEFB}"/>
    <cellStyle name="Normal 4 8 8" xfId="8959" xr:uid="{E3216EF3-66EB-48FF-967C-A258B3C3F4FF}"/>
    <cellStyle name="Normal 4 8 8 2" xfId="18283" xr:uid="{CB2B1F43-882C-4093-BAA2-19C9B2EB26C0}"/>
    <cellStyle name="Normal 4 8 9" xfId="19187" xr:uid="{6DFFA468-B781-47C5-9D2E-C0E5AB12766B}"/>
    <cellStyle name="Normal 4 9" xfId="4715" xr:uid="{00000000-0005-0000-0000-0000DD160000}"/>
    <cellStyle name="Normal 4 9 2" xfId="9162" xr:uid="{BC355FAB-4557-4712-A03F-EB5522B29E6A}"/>
    <cellStyle name="Normal 4 9 2 2" xfId="18481" xr:uid="{BBCAF585-5062-46ED-BB22-3E2F86F72F1C}"/>
    <cellStyle name="Normal 4 9 3" xfId="23341" xr:uid="{8A5DA8EA-9621-46AD-B26E-57B2F8B73F3F}"/>
    <cellStyle name="Normal 4 9 4" xfId="31788" xr:uid="{2312D9CB-8EDA-4A4E-BAA4-3BACB4B92245}"/>
    <cellStyle name="Normal 4 9 5" xfId="40235" xr:uid="{0FA16B2C-A941-40AE-B6E4-DCA01EF07054}"/>
    <cellStyle name="Normal 4 9 6" xfId="14041" xr:uid="{D798B6B5-E4D4-43D7-BC16-9283FFB8C8C3}"/>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2 2 2" xfId="26789" xr:uid="{62C5D59A-14E4-4DAF-87EC-7B1C8C21D7D7}"/>
    <cellStyle name="Normal 5 10 2 2 3" xfId="35236" xr:uid="{CE499AA9-C501-45BD-9942-3A90C0411D0B}"/>
    <cellStyle name="Normal 5 10 2 2 4" xfId="43683" xr:uid="{DBF2BFA3-044F-42F1-B000-3F1C189331D1}"/>
    <cellStyle name="Normal 5 10 2 2 5" xfId="17489" xr:uid="{0F96E420-724C-49E5-BF13-694C9CCBAB16}"/>
    <cellStyle name="Normal 5 10 2 3" xfId="22572" xr:uid="{D588DD8A-E2C2-4FE1-BE27-2477FF009FEB}"/>
    <cellStyle name="Normal 5 10 2 4" xfId="31019" xr:uid="{68DE7C12-FB21-444B-BA3A-7891E2C11D39}"/>
    <cellStyle name="Normal 5 10 2 5" xfId="39466" xr:uid="{A10BDE6B-D8C3-4898-99B0-4B80765A7AE2}"/>
    <cellStyle name="Normal 5 10 2 6" xfId="13272" xr:uid="{AFAE454C-6306-45D8-91EF-A37FC9709EE1}"/>
    <cellStyle name="Normal 5 10 3" xfId="6018" xr:uid="{00000000-0005-0000-0000-0000E2160000}"/>
    <cellStyle name="Normal 5 10 3 2" xfId="24644" xr:uid="{727D3F12-FDFD-47A7-8DC5-CA6B7D116329}"/>
    <cellStyle name="Normal 5 10 3 3" xfId="33091" xr:uid="{A568C69F-39CC-4005-AAD5-CAC27B0DEF6C}"/>
    <cellStyle name="Normal 5 10 3 4" xfId="41538" xr:uid="{C1354DD4-841D-478A-9CD3-041BF7DE506C}"/>
    <cellStyle name="Normal 5 10 3 5" xfId="15344" xr:uid="{6D006C0A-F9A5-4FE7-9378-AF5B346094C2}"/>
    <cellStyle name="Normal 5 10 4" xfId="20427" xr:uid="{BC1750FC-7832-40E2-B504-C1C7184AD1C3}"/>
    <cellStyle name="Normal 5 10 5" xfId="28874" xr:uid="{CC61BE34-F06E-4300-9C56-0343521C4308}"/>
    <cellStyle name="Normal 5 10 6" xfId="37321" xr:uid="{58FBBC27-F4F6-4703-A711-D1919DF61E17}"/>
    <cellStyle name="Normal 5 10 7" xfId="11127" xr:uid="{59B5AABD-27CF-4C5D-9E97-17056EF89561}"/>
    <cellStyle name="Normal 5 11" xfId="2125" xr:uid="{00000000-0005-0000-0000-0000E3160000}"/>
    <cellStyle name="Normal 5 11 2" xfId="4354" xr:uid="{00000000-0005-0000-0000-0000E4160000}"/>
    <cellStyle name="Normal 5 11 2 2" xfId="8576" xr:uid="{00000000-0005-0000-0000-0000E5160000}"/>
    <cellStyle name="Normal 5 11 2 2 2" xfId="27202" xr:uid="{C545C18C-EBDF-4CF6-8AA6-28C9C114CFF6}"/>
    <cellStyle name="Normal 5 11 2 2 3" xfId="35649" xr:uid="{B8B7A0CF-7B19-4F01-AB21-793ABC8BFE40}"/>
    <cellStyle name="Normal 5 11 2 2 4" xfId="44096" xr:uid="{5B452B8A-97B3-49C7-8009-4630E83D9393}"/>
    <cellStyle name="Normal 5 11 2 2 5" xfId="17902" xr:uid="{1E83CD8A-B01F-4122-B8C5-78DA3DDF2DEC}"/>
    <cellStyle name="Normal 5 11 2 3" xfId="22985" xr:uid="{16085D55-5482-4AF9-8E35-FCEA253C800A}"/>
    <cellStyle name="Normal 5 11 2 4" xfId="31432" xr:uid="{6EEDC41B-DAFF-4ED8-A5BF-A1B8147BCB07}"/>
    <cellStyle name="Normal 5 11 2 5" xfId="39879" xr:uid="{C6B959A9-0498-4762-ACB2-3AD5B995970E}"/>
    <cellStyle name="Normal 5 11 2 6" xfId="13685" xr:uid="{9D355D29-4B19-4AC8-A25F-F03EDA61E50F}"/>
    <cellStyle name="Normal 5 11 3" xfId="6431" xr:uid="{00000000-0005-0000-0000-0000E6160000}"/>
    <cellStyle name="Normal 5 11 3 2" xfId="25057" xr:uid="{D00E729E-5DA6-4C32-A8F0-7080363FDC63}"/>
    <cellStyle name="Normal 5 11 3 3" xfId="33504" xr:uid="{AD88A032-3A7C-4805-9CFC-AA7FF8134636}"/>
    <cellStyle name="Normal 5 11 3 4" xfId="41951" xr:uid="{204EC640-1C60-4C5B-A8D6-579307704808}"/>
    <cellStyle name="Normal 5 11 3 5" xfId="15757" xr:uid="{3820A160-0308-4F25-B526-5B62A3750031}"/>
    <cellStyle name="Normal 5 11 4" xfId="20840" xr:uid="{22C222BA-B403-413B-B632-B55A4037A2F7}"/>
    <cellStyle name="Normal 5 11 5" xfId="29287" xr:uid="{A2F3DC78-4B70-4643-97DA-BD028709E9F7}"/>
    <cellStyle name="Normal 5 11 6" xfId="37734" xr:uid="{A66084AA-DCBC-4C3A-ABF8-D884C9B25A20}"/>
    <cellStyle name="Normal 5 11 7" xfId="11540" xr:uid="{6BCE523C-3002-49EF-B788-E122B9A8CEED}"/>
    <cellStyle name="Normal 5 12" xfId="2561" xr:uid="{00000000-0005-0000-0000-0000E7160000}"/>
    <cellStyle name="Normal 5 12 2" xfId="6844" xr:uid="{00000000-0005-0000-0000-0000E8160000}"/>
    <cellStyle name="Normal 5 12 2 2" xfId="25470" xr:uid="{091DB8F0-F4CC-478B-B6FF-DB66C33ABA11}"/>
    <cellStyle name="Normal 5 12 2 3" xfId="33917" xr:uid="{29C97672-7253-4885-A125-705F64769785}"/>
    <cellStyle name="Normal 5 12 2 4" xfId="42364" xr:uid="{523150A7-79A2-4818-B5EB-B9BB63C0C85C}"/>
    <cellStyle name="Normal 5 12 2 5" xfId="16170" xr:uid="{92CDF5F6-EA65-4E72-A177-B0C52C9C2C3D}"/>
    <cellStyle name="Normal 5 12 3" xfId="21253" xr:uid="{59C9DA55-BC24-48D2-8CD9-B58FC958897A}"/>
    <cellStyle name="Normal 5 12 4" xfId="29700" xr:uid="{28574BE4-F882-41F8-B9C9-5EFC0994FD8F}"/>
    <cellStyle name="Normal 5 12 5" xfId="38147" xr:uid="{6EBDB6CD-C1E9-4147-8804-69FA66911BA3}"/>
    <cellStyle name="Normal 5 12 6" xfId="11953" xr:uid="{7C6DEFFE-CD1A-4863-91FD-EDD04C557270}"/>
    <cellStyle name="Normal 5 13" xfId="4779" xr:uid="{00000000-0005-0000-0000-0000E9160000}"/>
    <cellStyle name="Normal 5 13 2" xfId="23405" xr:uid="{0A402698-82C3-4CF2-8F3A-3C6D7976AE68}"/>
    <cellStyle name="Normal 5 13 3" xfId="31852" xr:uid="{EBE1B29A-A908-4AAA-AD12-1EAEC3CB4132}"/>
    <cellStyle name="Normal 5 13 4" xfId="40299" xr:uid="{B07C1B31-E384-4450-9EBD-02CC565D4E9D}"/>
    <cellStyle name="Normal 5 13 5" xfId="14105" xr:uid="{31D5EE04-AAB8-471A-9281-AC61CE1556E1}"/>
    <cellStyle name="Normal 5 14" xfId="8741" xr:uid="{6467398C-BC57-47BF-AF01-9B3356F8431F}"/>
    <cellStyle name="Normal 5 14 2" xfId="18065" xr:uid="{07BC5396-4B56-4B91-8866-8CCD7A30B44F}"/>
    <cellStyle name="Normal 5 15" xfId="19188" xr:uid="{552DED98-A899-49BF-B2F2-ACFDDC82709C}"/>
    <cellStyle name="Normal 5 16" xfId="27635" xr:uid="{B7423252-09CD-49F0-9AA0-63E6E9189229}"/>
    <cellStyle name="Normal 5 17" xfId="36082" xr:uid="{17E26F9E-2013-4F85-A777-4A041C604C86}"/>
    <cellStyle name="Normal 5 18" xfId="9888" xr:uid="{4833A211-3DFC-4968-9D95-D8603B67A756}"/>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2 2 2" xfId="27203" xr:uid="{F9346BAD-57D6-4F07-B954-FCDAB0046A6D}"/>
    <cellStyle name="Normal 5 2 10 2 2 3" xfId="35650" xr:uid="{6B926835-C819-4084-9ED8-40F9BE9C1263}"/>
    <cellStyle name="Normal 5 2 10 2 2 4" xfId="44097" xr:uid="{20FD5B39-C68A-4E00-9A45-5CDFE6B5984A}"/>
    <cellStyle name="Normal 5 2 10 2 2 5" xfId="17903" xr:uid="{2259F422-28BF-49DA-AC60-723369D0A280}"/>
    <cellStyle name="Normal 5 2 10 2 3" xfId="22986" xr:uid="{95551537-8869-4A67-9B98-5AEA677E8EBD}"/>
    <cellStyle name="Normal 5 2 10 2 4" xfId="31433" xr:uid="{2E148FC3-3A27-4301-ABFC-DA36F03679AF}"/>
    <cellStyle name="Normal 5 2 10 2 5" xfId="39880" xr:uid="{20D160A1-244D-48C6-953A-3DBA33D4EA03}"/>
    <cellStyle name="Normal 5 2 10 2 6" xfId="13686" xr:uid="{71D7C2F8-E3D6-4C8D-A6E3-F978CAB2D60F}"/>
    <cellStyle name="Normal 5 2 10 3" xfId="6432" xr:uid="{00000000-0005-0000-0000-0000EE160000}"/>
    <cellStyle name="Normal 5 2 10 3 2" xfId="25058" xr:uid="{0275E74C-A56A-4239-AC0D-015B6871FFE3}"/>
    <cellStyle name="Normal 5 2 10 3 3" xfId="33505" xr:uid="{C89785C8-42FB-483B-8D70-4F47E8E52EEB}"/>
    <cellStyle name="Normal 5 2 10 3 4" xfId="41952" xr:uid="{FF43C637-85D0-46E0-9EBD-8F62DC46FA82}"/>
    <cellStyle name="Normal 5 2 10 3 5" xfId="15758" xr:uid="{E4892FFB-1BA4-4E1E-B7CA-4DF5DE152DE1}"/>
    <cellStyle name="Normal 5 2 10 4" xfId="20841" xr:uid="{A9743BD0-1F89-4E84-8834-57123243AD21}"/>
    <cellStyle name="Normal 5 2 10 5" xfId="29288" xr:uid="{494622E3-2A1A-456E-93E8-19B7BF578961}"/>
    <cellStyle name="Normal 5 2 10 6" xfId="37735" xr:uid="{8E76B143-9EB7-4C03-AF0D-BBE73E9CB61F}"/>
    <cellStyle name="Normal 5 2 10 7" xfId="11541" xr:uid="{D4D2D030-3AB7-4777-A875-6BD8223C8D4D}"/>
    <cellStyle name="Normal 5 2 11" xfId="2562" xr:uid="{00000000-0005-0000-0000-0000EF160000}"/>
    <cellStyle name="Normal 5 2 11 2" xfId="6845" xr:uid="{00000000-0005-0000-0000-0000F0160000}"/>
    <cellStyle name="Normal 5 2 11 2 2" xfId="25471" xr:uid="{2E5DC46B-E23B-45B2-95A1-EC29CFECBB0E}"/>
    <cellStyle name="Normal 5 2 11 2 3" xfId="33918" xr:uid="{CA10BE54-4599-4104-A435-8DD2F72456D6}"/>
    <cellStyle name="Normal 5 2 11 2 4" xfId="42365" xr:uid="{FECD1FE2-96B1-4BC9-A469-9CD381DF2F67}"/>
    <cellStyle name="Normal 5 2 11 2 5" xfId="16171" xr:uid="{C3228F7E-364D-4643-A090-3F54A8F39748}"/>
    <cellStyle name="Normal 5 2 11 3" xfId="21254" xr:uid="{2307D1A8-BB16-4AE9-BC3B-109BE9180748}"/>
    <cellStyle name="Normal 5 2 11 4" xfId="29701" xr:uid="{C031AED3-9117-4C92-8F0B-3A90A27A5243}"/>
    <cellStyle name="Normal 5 2 11 5" xfId="38148" xr:uid="{40BE788E-727E-4396-AB81-E382FBB39516}"/>
    <cellStyle name="Normal 5 2 11 6" xfId="11954" xr:uid="{18CB823F-6CCF-4B25-A435-22CEB785EDCE}"/>
    <cellStyle name="Normal 5 2 12" xfId="4780" xr:uid="{00000000-0005-0000-0000-0000F1160000}"/>
    <cellStyle name="Normal 5 2 12 2" xfId="23406" xr:uid="{70BC77B7-17AE-4FE5-95F6-3DE76CE37B05}"/>
    <cellStyle name="Normal 5 2 12 3" xfId="31853" xr:uid="{165889AF-3A8E-4D47-B19C-F05BBE797308}"/>
    <cellStyle name="Normal 5 2 12 4" xfId="40300" xr:uid="{DAB519D6-B3B1-4E51-9512-1094C1789BED}"/>
    <cellStyle name="Normal 5 2 12 5" xfId="14106" xr:uid="{02787187-ABA1-4E15-8396-009A10E5D6DB}"/>
    <cellStyle name="Normal 5 2 13" xfId="8744" xr:uid="{40D5DF2B-E9DF-4D52-AAE0-3E5A94050B59}"/>
    <cellStyle name="Normal 5 2 13 2" xfId="18068" xr:uid="{D08DFEB7-2E64-49E4-AED4-C9191FB028F4}"/>
    <cellStyle name="Normal 5 2 14" xfId="19189" xr:uid="{9BFECA80-E8AD-405C-8500-A8BF638E1769}"/>
    <cellStyle name="Normal 5 2 15" xfId="27636" xr:uid="{129F9463-095A-4C33-8CA8-252E813B957D}"/>
    <cellStyle name="Normal 5 2 16" xfId="36083" xr:uid="{48D51EFA-248A-4B29-BFA0-FF4E079CDA84}"/>
    <cellStyle name="Normal 5 2 17" xfId="9889" xr:uid="{4CEE4520-E3C7-4A22-9C1A-B4D4B30A1F48}"/>
    <cellStyle name="Normal 5 2 2" xfId="408" xr:uid="{00000000-0005-0000-0000-0000F2160000}"/>
    <cellStyle name="Normal 5 2 2 10" xfId="2563" xr:uid="{00000000-0005-0000-0000-0000F3160000}"/>
    <cellStyle name="Normal 5 2 2 10 2" xfId="6846" xr:uid="{00000000-0005-0000-0000-0000F4160000}"/>
    <cellStyle name="Normal 5 2 2 10 2 2" xfId="25472" xr:uid="{860DD295-B827-45AE-99CD-E147A643CC78}"/>
    <cellStyle name="Normal 5 2 2 10 2 3" xfId="33919" xr:uid="{790BE440-D4E8-4692-8D93-19C3BEBBC4DA}"/>
    <cellStyle name="Normal 5 2 2 10 2 4" xfId="42366" xr:uid="{B514576E-C2F3-4863-80C9-43F2C2B8F63D}"/>
    <cellStyle name="Normal 5 2 2 10 2 5" xfId="16172" xr:uid="{87D0C625-CB93-4380-923A-084AAB303107}"/>
    <cellStyle name="Normal 5 2 2 10 3" xfId="21255" xr:uid="{C1816F01-9B1A-4E72-B278-B59BED0CF66A}"/>
    <cellStyle name="Normal 5 2 2 10 4" xfId="29702" xr:uid="{1E9796FB-CE37-4934-B16A-8174FE969E77}"/>
    <cellStyle name="Normal 5 2 2 10 5" xfId="38149" xr:uid="{28868946-2AAB-4FF6-A8DB-AA185883A89A}"/>
    <cellStyle name="Normal 5 2 2 10 6" xfId="11955" xr:uid="{E6537BFB-A6ED-4BCE-A8C8-E1983C832FC6}"/>
    <cellStyle name="Normal 5 2 2 11" xfId="4781" xr:uid="{00000000-0005-0000-0000-0000F5160000}"/>
    <cellStyle name="Normal 5 2 2 11 2" xfId="23407" xr:uid="{F8238293-BA31-4F7C-9EC5-3454AF5AD79C}"/>
    <cellStyle name="Normal 5 2 2 11 3" xfId="31854" xr:uid="{1505A2F9-A7AD-4B7E-8031-F12C942AE0EE}"/>
    <cellStyle name="Normal 5 2 2 11 4" xfId="40301" xr:uid="{AB00B989-D143-41EA-BF54-7AF0C402A58C}"/>
    <cellStyle name="Normal 5 2 2 11 5" xfId="14107" xr:uid="{ACD90B04-CF22-461C-9BD0-D21D63A204B8}"/>
    <cellStyle name="Normal 5 2 2 12" xfId="8753" xr:uid="{96D04E2F-D92F-448D-9FDA-8261D8BEE094}"/>
    <cellStyle name="Normal 5 2 2 12 2" xfId="18077" xr:uid="{0A4F6403-7745-46C3-AB1F-9BC79E58DA1D}"/>
    <cellStyle name="Normal 5 2 2 13" xfId="19190" xr:uid="{448BB28E-B919-431F-A941-06CDEB031147}"/>
    <cellStyle name="Normal 5 2 2 14" xfId="27637" xr:uid="{7F224F3D-3938-4252-9D0B-A0B32A9060FF}"/>
    <cellStyle name="Normal 5 2 2 15" xfId="36084" xr:uid="{7A9660C5-428B-4C04-94EF-F5A3E3FF2F60}"/>
    <cellStyle name="Normal 5 2 2 16" xfId="9890" xr:uid="{6A596A40-28EC-408F-A249-15479541B3F9}"/>
    <cellStyle name="Normal 5 2 2 2" xfId="409" xr:uid="{00000000-0005-0000-0000-0000F6160000}"/>
    <cellStyle name="Normal 5 2 2 2 10" xfId="4782" xr:uid="{00000000-0005-0000-0000-0000F7160000}"/>
    <cellStyle name="Normal 5 2 2 2 10 2" xfId="23408" xr:uid="{96D124DB-7E31-4B25-BD00-884A39F0FB80}"/>
    <cellStyle name="Normal 5 2 2 2 10 3" xfId="31855" xr:uid="{B393D2D7-5980-40F1-8236-BD6A359C723C}"/>
    <cellStyle name="Normal 5 2 2 2 10 4" xfId="40302" xr:uid="{C449C2DE-A2C3-443D-ABA4-985EF1E646FF}"/>
    <cellStyle name="Normal 5 2 2 2 10 5" xfId="14108" xr:uid="{0D604AA1-A090-4914-BA3D-27C77AD7F432}"/>
    <cellStyle name="Normal 5 2 2 2 11" xfId="8771" xr:uid="{0E58ED1C-12F1-4692-801F-170CA6F7CBDB}"/>
    <cellStyle name="Normal 5 2 2 2 11 2" xfId="18095" xr:uid="{3EFE0E17-8FB2-4259-AB47-8560FF7CC6BD}"/>
    <cellStyle name="Normal 5 2 2 2 12" xfId="19191" xr:uid="{E3F7F3A5-7558-434E-A8D2-FD067FFE2577}"/>
    <cellStyle name="Normal 5 2 2 2 13" xfId="27638" xr:uid="{9C5E2CF6-E68C-42A7-9C48-937F44A27EAC}"/>
    <cellStyle name="Normal 5 2 2 2 14" xfId="36085" xr:uid="{EC77977D-E48F-45D5-B143-F4E5F7934E23}"/>
    <cellStyle name="Normal 5 2 2 2 15" xfId="9891" xr:uid="{69A6059F-1A64-49EC-9368-730643D34644}"/>
    <cellStyle name="Normal 5 2 2 2 2" xfId="410" xr:uid="{00000000-0005-0000-0000-0000F8160000}"/>
    <cellStyle name="Normal 5 2 2 2 2 10" xfId="8829" xr:uid="{AC161972-21E9-4E03-8D2E-9F95632CB08D}"/>
    <cellStyle name="Normal 5 2 2 2 2 10 2" xfId="18153" xr:uid="{EC195B66-0DF4-4706-811D-EF504BF9DA67}"/>
    <cellStyle name="Normal 5 2 2 2 2 11" xfId="19192" xr:uid="{8E4B5983-B63B-464E-AE86-CE06CD4052FA}"/>
    <cellStyle name="Normal 5 2 2 2 2 12" xfId="27639" xr:uid="{453A5C30-8E44-42B1-B0AD-4CBF50F271A2}"/>
    <cellStyle name="Normal 5 2 2 2 2 13" xfId="36086" xr:uid="{B2260E12-E35C-4BD1-A2B2-EC54F0566788}"/>
    <cellStyle name="Normal 5 2 2 2 2 14" xfId="9892" xr:uid="{07304985-08D3-40AC-B1BF-0B1103F3265C}"/>
    <cellStyle name="Normal 5 2 2 2 2 2" xfId="411" xr:uid="{00000000-0005-0000-0000-0000F9160000}"/>
    <cellStyle name="Normal 5 2 2 2 2 2 10" xfId="19193" xr:uid="{4DF15727-2839-4825-99A9-87B4D5852664}"/>
    <cellStyle name="Normal 5 2 2 2 2 2 11" xfId="27640" xr:uid="{F9525730-D29F-474A-9DE0-3B019DA2149C}"/>
    <cellStyle name="Normal 5 2 2 2 2 2 12" xfId="36087" xr:uid="{80E3ABF7-40D6-4D07-A1BE-FDED3D4B2385}"/>
    <cellStyle name="Normal 5 2 2 2 2 2 13" xfId="9893" xr:uid="{2E917E1F-6CBA-46D8-A376-9352B35CA0CC}"/>
    <cellStyle name="Normal 5 2 2 2 2 2 2" xfId="412" xr:uid="{00000000-0005-0000-0000-0000FA160000}"/>
    <cellStyle name="Normal 5 2 2 2 2 2 2 10" xfId="27641" xr:uid="{594939E6-2EAB-4FB7-A554-EE73CFB9D5EF}"/>
    <cellStyle name="Normal 5 2 2 2 2 2 2 11" xfId="36088" xr:uid="{A1135FFE-DEDF-4885-88C9-B761792E5028}"/>
    <cellStyle name="Normal 5 2 2 2 2 2 2 12" xfId="9894" xr:uid="{758ED070-5C49-4D10-A2FE-69EE15EC22F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2 2 2" xfId="25969" xr:uid="{FB7DAFFB-C7F8-43E9-B35E-FA5EE6AC45EC}"/>
    <cellStyle name="Normal 5 2 2 2 2 2 2 2 2 2 3" xfId="34416" xr:uid="{5DAFE635-1246-4365-B245-8BC2721FAE72}"/>
    <cellStyle name="Normal 5 2 2 2 2 2 2 2 2 2 4" xfId="42863" xr:uid="{191AAFE5-A8B9-437F-B18E-C9EE95C10643}"/>
    <cellStyle name="Normal 5 2 2 2 2 2 2 2 2 2 5" xfId="16669" xr:uid="{ED287CF9-135B-4092-867C-84AE5301049F}"/>
    <cellStyle name="Normal 5 2 2 2 2 2 2 2 2 3" xfId="21752" xr:uid="{8EFAA764-B98E-4E24-A42D-6F8022E96097}"/>
    <cellStyle name="Normal 5 2 2 2 2 2 2 2 2 4" xfId="30199" xr:uid="{9CD27A98-4D7A-4DB0-9C91-771356EC19EC}"/>
    <cellStyle name="Normal 5 2 2 2 2 2 2 2 2 5" xfId="38646" xr:uid="{1DDFF5A6-8E94-4849-944D-5ECFE3BCE79B}"/>
    <cellStyle name="Normal 5 2 2 2 2 2 2 2 2 6" xfId="12452" xr:uid="{EE3A171F-26C7-47F3-BC7A-AAC1B9D4B86C}"/>
    <cellStyle name="Normal 5 2 2 2 2 2 2 2 3" xfId="5198" xr:uid="{00000000-0005-0000-0000-0000FE160000}"/>
    <cellStyle name="Normal 5 2 2 2 2 2 2 2 3 2" xfId="23824" xr:uid="{1C436FCF-F419-4289-9272-934CF3FF2D73}"/>
    <cellStyle name="Normal 5 2 2 2 2 2 2 2 3 3" xfId="32271" xr:uid="{70FFEED9-80D7-4689-9616-F1B1BA62A407}"/>
    <cellStyle name="Normal 5 2 2 2 2 2 2 2 3 4" xfId="40718" xr:uid="{3D22BD94-84C6-4C4F-883F-EA56CF709309}"/>
    <cellStyle name="Normal 5 2 2 2 2 2 2 2 3 5" xfId="14524" xr:uid="{CF1E74DA-94F2-42DF-B779-1CE60652C9D3}"/>
    <cellStyle name="Normal 5 2 2 2 2 2 2 2 4" xfId="9564" xr:uid="{15884BE4-44C0-46E7-A184-FC102AAADEB4}"/>
    <cellStyle name="Normal 5 2 2 2 2 2 2 2 4 2" xfId="18880" xr:uid="{99E8193A-EA49-4367-8F90-7F80DBEDE17F}"/>
    <cellStyle name="Normal 5 2 2 2 2 2 2 2 5" xfId="19607" xr:uid="{DB224BF1-F662-4471-8B79-2407A57D168C}"/>
    <cellStyle name="Normal 5 2 2 2 2 2 2 2 6" xfId="28054" xr:uid="{C8A70D00-70AB-4DB9-9FA4-885FA9501281}"/>
    <cellStyle name="Normal 5 2 2 2 2 2 2 2 7" xfId="36501" xr:uid="{3F3EBE52-B1C2-4E65-9AF5-A3467A766F7D}"/>
    <cellStyle name="Normal 5 2 2 2 2 2 2 2 8" xfId="10307" xr:uid="{3B511237-D0C8-44FE-969E-70F75021DAF8}"/>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2 2 2" xfId="26382" xr:uid="{9ED94BEC-E700-4AB0-8504-58C9DC74992E}"/>
    <cellStyle name="Normal 5 2 2 2 2 2 2 3 2 2 3" xfId="34829" xr:uid="{70DA5A6B-3347-4781-967A-2D1D4D0D49AC}"/>
    <cellStyle name="Normal 5 2 2 2 2 2 2 3 2 2 4" xfId="43276" xr:uid="{F32D20FB-B33D-4E84-A55F-5F0030491606}"/>
    <cellStyle name="Normal 5 2 2 2 2 2 2 3 2 2 5" xfId="17082" xr:uid="{DA5600DF-0857-4242-83F0-402FBAEDAE2D}"/>
    <cellStyle name="Normal 5 2 2 2 2 2 2 3 2 3" xfId="22165" xr:uid="{07A92580-A1F1-4434-872B-8B154D3F7FF5}"/>
    <cellStyle name="Normal 5 2 2 2 2 2 2 3 2 4" xfId="30612" xr:uid="{64C94FD0-D8CA-4467-A985-CDF9FD29F050}"/>
    <cellStyle name="Normal 5 2 2 2 2 2 2 3 2 5" xfId="39059" xr:uid="{17AA4C5B-1344-46F1-863D-6474A9C5D518}"/>
    <cellStyle name="Normal 5 2 2 2 2 2 2 3 2 6" xfId="12865" xr:uid="{14346DCC-62BF-4289-82C3-A2C5149AF986}"/>
    <cellStyle name="Normal 5 2 2 2 2 2 2 3 3" xfId="5611" xr:uid="{00000000-0005-0000-0000-000002170000}"/>
    <cellStyle name="Normal 5 2 2 2 2 2 2 3 3 2" xfId="24237" xr:uid="{7B9DFCE0-502A-4AF5-ACC6-77234A13F443}"/>
    <cellStyle name="Normal 5 2 2 2 2 2 2 3 3 3" xfId="32684" xr:uid="{533F981D-6A09-4F9D-A958-476377892ACD}"/>
    <cellStyle name="Normal 5 2 2 2 2 2 2 3 3 4" xfId="41131" xr:uid="{1CB7619A-426F-4D8F-B738-15B513525F43}"/>
    <cellStyle name="Normal 5 2 2 2 2 2 2 3 3 5" xfId="14937" xr:uid="{6F7EF285-5E99-4085-9FC6-B2D536CD1077}"/>
    <cellStyle name="Normal 5 2 2 2 2 2 2 3 4" xfId="20020" xr:uid="{720566E8-6114-4508-9CBC-B2E73B7D22E9}"/>
    <cellStyle name="Normal 5 2 2 2 2 2 2 3 5" xfId="28467" xr:uid="{5D24561A-6FFF-43D0-A4CE-7BBE0CAA2C11}"/>
    <cellStyle name="Normal 5 2 2 2 2 2 2 3 6" xfId="36914" xr:uid="{5AD8E389-F7A3-4E61-B69C-DF2954D3356E}"/>
    <cellStyle name="Normal 5 2 2 2 2 2 2 3 7" xfId="10720" xr:uid="{71C2447E-3CF6-47AB-8B8A-4026A2E1ABB5}"/>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2 2 2" xfId="26795" xr:uid="{456410D9-526A-41AD-912C-C2D5006F128A}"/>
    <cellStyle name="Normal 5 2 2 2 2 2 2 4 2 2 3" xfId="35242" xr:uid="{AC7A07E7-3FC6-4824-9872-EBF00AA68430}"/>
    <cellStyle name="Normal 5 2 2 2 2 2 2 4 2 2 4" xfId="43689" xr:uid="{A7AE0CFB-0535-4048-B1C4-7394C2F69E47}"/>
    <cellStyle name="Normal 5 2 2 2 2 2 2 4 2 2 5" xfId="17495" xr:uid="{3BE0DAE5-ED1D-4031-A40F-62366916D9A6}"/>
    <cellStyle name="Normal 5 2 2 2 2 2 2 4 2 3" xfId="22578" xr:uid="{01ACDA94-5A5C-44E9-A2A7-4EF94D7D0A14}"/>
    <cellStyle name="Normal 5 2 2 2 2 2 2 4 2 4" xfId="31025" xr:uid="{E974186B-8CAF-49DC-875B-19213E60BDCB}"/>
    <cellStyle name="Normal 5 2 2 2 2 2 2 4 2 5" xfId="39472" xr:uid="{A648618F-372B-4228-9F0D-D64E94BA8F94}"/>
    <cellStyle name="Normal 5 2 2 2 2 2 2 4 2 6" xfId="13278" xr:uid="{62428324-AE44-427C-8141-B9570B260EC5}"/>
    <cellStyle name="Normal 5 2 2 2 2 2 2 4 3" xfId="6024" xr:uid="{00000000-0005-0000-0000-000006170000}"/>
    <cellStyle name="Normal 5 2 2 2 2 2 2 4 3 2" xfId="24650" xr:uid="{597B29DC-BB7E-4677-9351-521FBF6746F4}"/>
    <cellStyle name="Normal 5 2 2 2 2 2 2 4 3 3" xfId="33097" xr:uid="{D5DE5AA0-860B-4187-8720-9C983DFD1ED3}"/>
    <cellStyle name="Normal 5 2 2 2 2 2 2 4 3 4" xfId="41544" xr:uid="{D35F8512-BEF0-4FE3-93A9-6D6C9A4BF2E3}"/>
    <cellStyle name="Normal 5 2 2 2 2 2 2 4 3 5" xfId="15350" xr:uid="{7CBDDE95-2EE1-4356-874C-CDA8378F0CF3}"/>
    <cellStyle name="Normal 5 2 2 2 2 2 2 4 4" xfId="20433" xr:uid="{18F9031D-AC30-417C-939E-6D388FDA351A}"/>
    <cellStyle name="Normal 5 2 2 2 2 2 2 4 5" xfId="28880" xr:uid="{1DA5155C-A8AA-442B-87F6-5C9D7AC55B54}"/>
    <cellStyle name="Normal 5 2 2 2 2 2 2 4 6" xfId="37327" xr:uid="{745520DB-AE07-4F5C-8A63-17076940FD5A}"/>
    <cellStyle name="Normal 5 2 2 2 2 2 2 4 7" xfId="11133" xr:uid="{0196B631-0B46-4A5A-A405-5E3B3E45EF2D}"/>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2 2 2" xfId="27208" xr:uid="{ECF1B9A7-93DF-4495-A827-012FD24AE4CB}"/>
    <cellStyle name="Normal 5 2 2 2 2 2 2 5 2 2 3" xfId="35655" xr:uid="{BAAC801D-8747-45BD-85B5-E6674FD0BED3}"/>
    <cellStyle name="Normal 5 2 2 2 2 2 2 5 2 2 4" xfId="44102" xr:uid="{627ECB01-9A9F-4341-9261-F04A7AE2A155}"/>
    <cellStyle name="Normal 5 2 2 2 2 2 2 5 2 2 5" xfId="17908" xr:uid="{A3A23C07-ADE9-43D8-A154-1D4CF6AB1E7E}"/>
    <cellStyle name="Normal 5 2 2 2 2 2 2 5 2 3" xfId="22991" xr:uid="{ED08CA99-DC8E-40A0-8886-83F2F965151F}"/>
    <cellStyle name="Normal 5 2 2 2 2 2 2 5 2 4" xfId="31438" xr:uid="{F1CF4745-12AE-4000-BA6E-FE67E8A336BC}"/>
    <cellStyle name="Normal 5 2 2 2 2 2 2 5 2 5" xfId="39885" xr:uid="{502552E5-5C3F-4886-BE76-585DE0FF6E57}"/>
    <cellStyle name="Normal 5 2 2 2 2 2 2 5 2 6" xfId="13691" xr:uid="{90287AEB-9AEA-4ED0-B6BE-27192A4357C5}"/>
    <cellStyle name="Normal 5 2 2 2 2 2 2 5 3" xfId="6437" xr:uid="{00000000-0005-0000-0000-00000A170000}"/>
    <cellStyle name="Normal 5 2 2 2 2 2 2 5 3 2" xfId="25063" xr:uid="{7551A2F3-1CBB-47C5-AA60-942CCEFC7E69}"/>
    <cellStyle name="Normal 5 2 2 2 2 2 2 5 3 3" xfId="33510" xr:uid="{AD30A988-7F39-4AA1-A0F8-AC75C0C22659}"/>
    <cellStyle name="Normal 5 2 2 2 2 2 2 5 3 4" xfId="41957" xr:uid="{9C0FDCFC-1070-4F6E-9CF2-73FE5EED9B30}"/>
    <cellStyle name="Normal 5 2 2 2 2 2 2 5 3 5" xfId="15763" xr:uid="{920839E0-7CD8-472F-9934-08BF09DF0D2F}"/>
    <cellStyle name="Normal 5 2 2 2 2 2 2 5 4" xfId="20846" xr:uid="{A9AE24BB-7B5D-4D7A-86AA-FB95E840B5C2}"/>
    <cellStyle name="Normal 5 2 2 2 2 2 2 5 5" xfId="29293" xr:uid="{B60A426D-3360-4528-95FC-44B50AC86611}"/>
    <cellStyle name="Normal 5 2 2 2 2 2 2 5 6" xfId="37740" xr:uid="{EEA925F1-2A25-4E0A-87D8-C2CC0984CAEB}"/>
    <cellStyle name="Normal 5 2 2 2 2 2 2 5 7" xfId="11546" xr:uid="{59784E06-EC18-4C8B-8E6D-F297C22FD0AF}"/>
    <cellStyle name="Normal 5 2 2 2 2 2 2 6" xfId="2567" xr:uid="{00000000-0005-0000-0000-00000B170000}"/>
    <cellStyle name="Normal 5 2 2 2 2 2 2 6 2" xfId="6850" xr:uid="{00000000-0005-0000-0000-00000C170000}"/>
    <cellStyle name="Normal 5 2 2 2 2 2 2 6 2 2" xfId="25476" xr:uid="{F59BC93F-8ED2-40F9-A0D1-1A0FA42F1D14}"/>
    <cellStyle name="Normal 5 2 2 2 2 2 2 6 2 3" xfId="33923" xr:uid="{C196417E-476E-4A10-885E-0E95BE8BFAF0}"/>
    <cellStyle name="Normal 5 2 2 2 2 2 2 6 2 4" xfId="42370" xr:uid="{1AF18193-DE1F-4F2B-977F-3386F4C0E879}"/>
    <cellStyle name="Normal 5 2 2 2 2 2 2 6 2 5" xfId="16176" xr:uid="{ECD71C45-60A3-4B68-B068-C820DE127E8E}"/>
    <cellStyle name="Normal 5 2 2 2 2 2 2 6 3" xfId="21259" xr:uid="{C125E4C2-CA7E-4622-AEE4-82C931D32F4E}"/>
    <cellStyle name="Normal 5 2 2 2 2 2 2 6 4" xfId="29706" xr:uid="{3716EDED-0169-4353-8FC1-89206DB5E50C}"/>
    <cellStyle name="Normal 5 2 2 2 2 2 2 6 5" xfId="38153" xr:uid="{D8A3EDA6-FD00-43C1-A79D-DA3C2B19FC97}"/>
    <cellStyle name="Normal 5 2 2 2 2 2 2 6 6" xfId="11959" xr:uid="{5DA19FA5-9D79-49F5-AE17-4180E827E6EA}"/>
    <cellStyle name="Normal 5 2 2 2 2 2 2 7" xfId="4785" xr:uid="{00000000-0005-0000-0000-00000D170000}"/>
    <cellStyle name="Normal 5 2 2 2 2 2 2 7 2" xfId="23411" xr:uid="{B7811093-E7F8-40C8-BFF9-FC5B22353790}"/>
    <cellStyle name="Normal 5 2 2 2 2 2 2 7 3" xfId="31858" xr:uid="{48D0579B-7E79-4A25-B0A4-A982A1A1E91A}"/>
    <cellStyle name="Normal 5 2 2 2 2 2 2 7 4" xfId="40305" xr:uid="{A496D3C3-E980-4AB1-98AD-728880AF828A}"/>
    <cellStyle name="Normal 5 2 2 2 2 2 2 7 5" xfId="14111" xr:uid="{CE958F44-C82D-4B4E-A9FA-8E129449B4EA}"/>
    <cellStyle name="Normal 5 2 2 2 2 2 2 8" xfId="9139" xr:uid="{CFCC7179-F81D-4929-81F2-C6E64655A093}"/>
    <cellStyle name="Normal 5 2 2 2 2 2 2 8 2" xfId="18463" xr:uid="{19CD0760-4626-449B-9878-E78EBD6F58F9}"/>
    <cellStyle name="Normal 5 2 2 2 2 2 2 9" xfId="19194" xr:uid="{5B071F5E-061C-40E1-A0D7-FD6AA5311908}"/>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2 2 2" xfId="25968" xr:uid="{B1C60E31-7162-4077-8A8C-48EBB436A085}"/>
    <cellStyle name="Normal 5 2 2 2 2 2 3 2 2 3" xfId="34415" xr:uid="{CE0590B1-6033-48BE-9124-D2D084B158AA}"/>
    <cellStyle name="Normal 5 2 2 2 2 2 3 2 2 4" xfId="42862" xr:uid="{F33849BD-D702-4B02-AE42-0E72EEFEB182}"/>
    <cellStyle name="Normal 5 2 2 2 2 2 3 2 2 5" xfId="16668" xr:uid="{2687C2BF-C639-42DA-8DE7-D833F18101B7}"/>
    <cellStyle name="Normal 5 2 2 2 2 2 3 2 3" xfId="21751" xr:uid="{29B4D1C5-7BA3-43AF-8C7D-1DBB87E7009E}"/>
    <cellStyle name="Normal 5 2 2 2 2 2 3 2 4" xfId="30198" xr:uid="{2CE735A6-4CE9-4E03-AC49-7685A22554B4}"/>
    <cellStyle name="Normal 5 2 2 2 2 2 3 2 5" xfId="38645" xr:uid="{E4F70B6A-3645-414C-8BA6-399CE270C00F}"/>
    <cellStyle name="Normal 5 2 2 2 2 2 3 2 6" xfId="12451" xr:uid="{B66EFED0-D9D8-4495-96B4-E5ED7B5751FB}"/>
    <cellStyle name="Normal 5 2 2 2 2 2 3 3" xfId="5197" xr:uid="{00000000-0005-0000-0000-000011170000}"/>
    <cellStyle name="Normal 5 2 2 2 2 2 3 3 2" xfId="23823" xr:uid="{68CB3E22-EA90-4FAC-B98C-04D8D61FAC2C}"/>
    <cellStyle name="Normal 5 2 2 2 2 2 3 3 3" xfId="32270" xr:uid="{063429F4-210D-40BF-8ECB-DA9466BC1213}"/>
    <cellStyle name="Normal 5 2 2 2 2 2 3 3 4" xfId="40717" xr:uid="{41C67EE7-4809-45DE-A804-C1CA06FF10B6}"/>
    <cellStyle name="Normal 5 2 2 2 2 2 3 3 5" xfId="14523" xr:uid="{3452CDB4-93B2-44D4-BA26-4B6F74FC9BCB}"/>
    <cellStyle name="Normal 5 2 2 2 2 2 3 4" xfId="9357" xr:uid="{1809EB60-9E69-4954-99A5-643CD830C5FB}"/>
    <cellStyle name="Normal 5 2 2 2 2 2 3 4 2" xfId="18673" xr:uid="{C0EF2B26-2FF8-4D20-9C9A-13E1168717C9}"/>
    <cellStyle name="Normal 5 2 2 2 2 2 3 5" xfId="19606" xr:uid="{CF13A208-C780-4518-9EB0-7F7905E262F0}"/>
    <cellStyle name="Normal 5 2 2 2 2 2 3 6" xfId="28053" xr:uid="{6542548B-E0F1-4986-906D-487F0920EDFB}"/>
    <cellStyle name="Normal 5 2 2 2 2 2 3 7" xfId="36500" xr:uid="{E6834EE1-8791-4CC2-9E98-70D624F12A99}"/>
    <cellStyle name="Normal 5 2 2 2 2 2 3 8" xfId="10306" xr:uid="{F5C9D994-3DB0-4FC6-8916-8C443E7424F6}"/>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2 2 2" xfId="26381" xr:uid="{23A6C4C3-8F11-435B-AEFE-A811409034BB}"/>
    <cellStyle name="Normal 5 2 2 2 2 2 4 2 2 3" xfId="34828" xr:uid="{FDA6302F-D23B-4289-8B93-AA2CCE0593B6}"/>
    <cellStyle name="Normal 5 2 2 2 2 2 4 2 2 4" xfId="43275" xr:uid="{FDB248D4-EC8F-4137-9497-55FD641E2FDE}"/>
    <cellStyle name="Normal 5 2 2 2 2 2 4 2 2 5" xfId="17081" xr:uid="{00F1A4F6-8DEE-4146-949A-6353EC71A638}"/>
    <cellStyle name="Normal 5 2 2 2 2 2 4 2 3" xfId="22164" xr:uid="{6F9C8307-3BCE-4ACE-B63C-A819C413BA5F}"/>
    <cellStyle name="Normal 5 2 2 2 2 2 4 2 4" xfId="30611" xr:uid="{447D52C5-2676-4C3F-929D-3238CCD02ACA}"/>
    <cellStyle name="Normal 5 2 2 2 2 2 4 2 5" xfId="39058" xr:uid="{7B7C976F-E701-4EBB-BB2A-4A9DA1E37738}"/>
    <cellStyle name="Normal 5 2 2 2 2 2 4 2 6" xfId="12864" xr:uid="{91F8228C-7997-4DA3-AB63-7D69BC0FD0EA}"/>
    <cellStyle name="Normal 5 2 2 2 2 2 4 3" xfId="5610" xr:uid="{00000000-0005-0000-0000-000015170000}"/>
    <cellStyle name="Normal 5 2 2 2 2 2 4 3 2" xfId="24236" xr:uid="{C9F0763D-C776-45E9-B83A-2B3CE77F86EC}"/>
    <cellStyle name="Normal 5 2 2 2 2 2 4 3 3" xfId="32683" xr:uid="{E2ADB448-A4AD-4B27-9CAB-3BC766DF0291}"/>
    <cellStyle name="Normal 5 2 2 2 2 2 4 3 4" xfId="41130" xr:uid="{C68BB80F-2085-44FD-9FC9-60DD58D4160E}"/>
    <cellStyle name="Normal 5 2 2 2 2 2 4 3 5" xfId="14936" xr:uid="{E5D672CB-0311-427E-A224-9A4B1480D502}"/>
    <cellStyle name="Normal 5 2 2 2 2 2 4 4" xfId="20019" xr:uid="{01E3A4A0-6382-4638-B4DA-C6942D1934DE}"/>
    <cellStyle name="Normal 5 2 2 2 2 2 4 5" xfId="28466" xr:uid="{B4CB5177-EDC6-475C-94FF-AAC0E829065E}"/>
    <cellStyle name="Normal 5 2 2 2 2 2 4 6" xfId="36913" xr:uid="{B03C024A-1CA2-4395-9834-F9D63E835AC6}"/>
    <cellStyle name="Normal 5 2 2 2 2 2 4 7" xfId="10719" xr:uid="{216EEDE0-AEBB-4AC5-BC4D-2CEA8ECB3137}"/>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2 2 2" xfId="26794" xr:uid="{D813442B-50DA-49D7-BDF4-069FEF516EF6}"/>
    <cellStyle name="Normal 5 2 2 2 2 2 5 2 2 3" xfId="35241" xr:uid="{B4D67A61-0E0F-4504-B4C5-F6B3BE6688E6}"/>
    <cellStyle name="Normal 5 2 2 2 2 2 5 2 2 4" xfId="43688" xr:uid="{A7E49029-050E-40F5-9FC9-178458E89D80}"/>
    <cellStyle name="Normal 5 2 2 2 2 2 5 2 2 5" xfId="17494" xr:uid="{59EC72E6-5DAF-439C-B626-774CB8C3E239}"/>
    <cellStyle name="Normal 5 2 2 2 2 2 5 2 3" xfId="22577" xr:uid="{5C36456C-6EA2-4985-AF1F-5787DA081EA2}"/>
    <cellStyle name="Normal 5 2 2 2 2 2 5 2 4" xfId="31024" xr:uid="{0A27EFDA-C433-4ACA-9613-9AC59299AFC9}"/>
    <cellStyle name="Normal 5 2 2 2 2 2 5 2 5" xfId="39471" xr:uid="{0B3A9262-86CB-45A6-A5AF-BB23EBD09E22}"/>
    <cellStyle name="Normal 5 2 2 2 2 2 5 2 6" xfId="13277" xr:uid="{735CE6E3-B01F-4BD6-9CBB-C9B3EC540A51}"/>
    <cellStyle name="Normal 5 2 2 2 2 2 5 3" xfId="6023" xr:uid="{00000000-0005-0000-0000-000019170000}"/>
    <cellStyle name="Normal 5 2 2 2 2 2 5 3 2" xfId="24649" xr:uid="{03B75471-0150-4311-98CA-58DBA17C4123}"/>
    <cellStyle name="Normal 5 2 2 2 2 2 5 3 3" xfId="33096" xr:uid="{4E276C26-449A-4635-9619-6CB2795FDADD}"/>
    <cellStyle name="Normal 5 2 2 2 2 2 5 3 4" xfId="41543" xr:uid="{A61D82D9-92AC-4D74-9232-8D4308148DC5}"/>
    <cellStyle name="Normal 5 2 2 2 2 2 5 3 5" xfId="15349" xr:uid="{CBB2C26E-59D0-4FE3-B519-130ED59B10D4}"/>
    <cellStyle name="Normal 5 2 2 2 2 2 5 4" xfId="20432" xr:uid="{D91A1452-E5BA-43B8-BBC6-8F67BE8D20C5}"/>
    <cellStyle name="Normal 5 2 2 2 2 2 5 5" xfId="28879" xr:uid="{E037EE65-57DE-41F7-8D54-89576CA153FA}"/>
    <cellStyle name="Normal 5 2 2 2 2 2 5 6" xfId="37326" xr:uid="{E9F0C384-24E7-4ED3-870F-A32A2CECECA8}"/>
    <cellStyle name="Normal 5 2 2 2 2 2 5 7" xfId="11132" xr:uid="{2EE678AA-4EA3-4726-9694-180EF3109EE6}"/>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2 2 2" xfId="27207" xr:uid="{B9847E72-0F11-4DFF-B860-AB362B1300D7}"/>
    <cellStyle name="Normal 5 2 2 2 2 2 6 2 2 3" xfId="35654" xr:uid="{A160FA74-8A98-48FE-A88A-6E26D4877FFC}"/>
    <cellStyle name="Normal 5 2 2 2 2 2 6 2 2 4" xfId="44101" xr:uid="{A2E9299D-F0D4-489D-9814-3E0B4B3BC31D}"/>
    <cellStyle name="Normal 5 2 2 2 2 2 6 2 2 5" xfId="17907" xr:uid="{A874D98F-1EFB-49D3-B84A-38C427E821F2}"/>
    <cellStyle name="Normal 5 2 2 2 2 2 6 2 3" xfId="22990" xr:uid="{55B25F22-DC67-43C9-8878-BFEB0418FBF9}"/>
    <cellStyle name="Normal 5 2 2 2 2 2 6 2 4" xfId="31437" xr:uid="{166CE9D2-62C0-4B3D-8B8B-F2E7908B7484}"/>
    <cellStyle name="Normal 5 2 2 2 2 2 6 2 5" xfId="39884" xr:uid="{9F6C8A62-0C49-4B4F-8B82-75194B627D1D}"/>
    <cellStyle name="Normal 5 2 2 2 2 2 6 2 6" xfId="13690" xr:uid="{1F5BEE58-4DEA-4A52-8E45-1A883CB9C2D7}"/>
    <cellStyle name="Normal 5 2 2 2 2 2 6 3" xfId="6436" xr:uid="{00000000-0005-0000-0000-00001D170000}"/>
    <cellStyle name="Normal 5 2 2 2 2 2 6 3 2" xfId="25062" xr:uid="{C20EB13A-9194-4981-96A8-DFB3876E76A3}"/>
    <cellStyle name="Normal 5 2 2 2 2 2 6 3 3" xfId="33509" xr:uid="{B007AF0C-0E7B-48D2-99F7-374BE29CADF0}"/>
    <cellStyle name="Normal 5 2 2 2 2 2 6 3 4" xfId="41956" xr:uid="{38E8A582-7D7C-40E5-9482-A61FD13F66A7}"/>
    <cellStyle name="Normal 5 2 2 2 2 2 6 3 5" xfId="15762" xr:uid="{C21D8F46-45E5-4106-A825-240F6807309E}"/>
    <cellStyle name="Normal 5 2 2 2 2 2 6 4" xfId="20845" xr:uid="{A5C9F470-067C-4FAC-8B99-A4F4F1DFB2A3}"/>
    <cellStyle name="Normal 5 2 2 2 2 2 6 5" xfId="29292" xr:uid="{056C0569-789A-454B-BCF4-254D38DD5451}"/>
    <cellStyle name="Normal 5 2 2 2 2 2 6 6" xfId="37739" xr:uid="{B15EAC40-E95D-45D3-84C2-0E2477BE4E06}"/>
    <cellStyle name="Normal 5 2 2 2 2 2 6 7" xfId="11545" xr:uid="{F09A7F92-BEAB-4113-BDB9-39939BC97EA4}"/>
    <cellStyle name="Normal 5 2 2 2 2 2 7" xfId="2566" xr:uid="{00000000-0005-0000-0000-00001E170000}"/>
    <cellStyle name="Normal 5 2 2 2 2 2 7 2" xfId="6849" xr:uid="{00000000-0005-0000-0000-00001F170000}"/>
    <cellStyle name="Normal 5 2 2 2 2 2 7 2 2" xfId="25475" xr:uid="{09D290E4-C0E3-4D4A-ADED-7DC2FAC3A1ED}"/>
    <cellStyle name="Normal 5 2 2 2 2 2 7 2 3" xfId="33922" xr:uid="{2C0D6FAA-9296-4565-91D1-5A2FE0376A82}"/>
    <cellStyle name="Normal 5 2 2 2 2 2 7 2 4" xfId="42369" xr:uid="{6BF0490B-C598-4471-A060-3206A5CABED8}"/>
    <cellStyle name="Normal 5 2 2 2 2 2 7 2 5" xfId="16175" xr:uid="{4CAFA29A-8710-4538-9915-4F6D34C4C704}"/>
    <cellStyle name="Normal 5 2 2 2 2 2 7 3" xfId="21258" xr:uid="{50276383-57B9-4DB4-A975-44792EABB1ED}"/>
    <cellStyle name="Normal 5 2 2 2 2 2 7 4" xfId="29705" xr:uid="{E2635CAA-52FF-49A4-BD2D-15C3BE56F9F7}"/>
    <cellStyle name="Normal 5 2 2 2 2 2 7 5" xfId="38152" xr:uid="{CF5CA986-69A6-426E-8E0C-06BCD22934E3}"/>
    <cellStyle name="Normal 5 2 2 2 2 2 7 6" xfId="11958" xr:uid="{B82E3683-8E57-4D95-A43F-38551E71594E}"/>
    <cellStyle name="Normal 5 2 2 2 2 2 8" xfId="4784" xr:uid="{00000000-0005-0000-0000-000020170000}"/>
    <cellStyle name="Normal 5 2 2 2 2 2 8 2" xfId="23410" xr:uid="{E668219B-71B7-4F91-8568-B3E389D5AB89}"/>
    <cellStyle name="Normal 5 2 2 2 2 2 8 3" xfId="31857" xr:uid="{E77E1C5E-BA9E-4D32-88C7-E6945C077E5E}"/>
    <cellStyle name="Normal 5 2 2 2 2 2 8 4" xfId="40304" xr:uid="{25DF95DD-174D-414E-B6F8-F8D4D6F3CF1B}"/>
    <cellStyle name="Normal 5 2 2 2 2 2 8 5" xfId="14110" xr:uid="{D3A32D08-EDA5-425F-A4FB-05C141E8F9A7}"/>
    <cellStyle name="Normal 5 2 2 2 2 2 9" xfId="8932" xr:uid="{8A89D9DD-5FCE-4028-8D52-F4758EFA866E}"/>
    <cellStyle name="Normal 5 2 2 2 2 2 9 2" xfId="18256" xr:uid="{51001F0A-144B-4071-8D27-BE6D599DD377}"/>
    <cellStyle name="Normal 5 2 2 2 2 3" xfId="413" xr:uid="{00000000-0005-0000-0000-000021170000}"/>
    <cellStyle name="Normal 5 2 2 2 2 3 10" xfId="27642" xr:uid="{A72172E4-D6C4-4865-A03D-99A99059E199}"/>
    <cellStyle name="Normal 5 2 2 2 2 3 11" xfId="36089" xr:uid="{559D11EE-4FD8-4E4A-A922-D35615550580}"/>
    <cellStyle name="Normal 5 2 2 2 2 3 12" xfId="9895" xr:uid="{79CD2A6A-56C7-435D-91A7-A5F603264577}"/>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2 2 2" xfId="25970" xr:uid="{22E2B7BF-9084-41FA-A04E-A2FA815F7C22}"/>
    <cellStyle name="Normal 5 2 2 2 2 3 2 2 2 3" xfId="34417" xr:uid="{D622788F-FF9D-4A42-B795-AF2FD35DD6D7}"/>
    <cellStyle name="Normal 5 2 2 2 2 3 2 2 2 4" xfId="42864" xr:uid="{979F9BEC-70CD-4B29-B442-1D0399DA815B}"/>
    <cellStyle name="Normal 5 2 2 2 2 3 2 2 2 5" xfId="16670" xr:uid="{93250DCD-FA67-493D-B664-A7653D0B189C}"/>
    <cellStyle name="Normal 5 2 2 2 2 3 2 2 3" xfId="21753" xr:uid="{B30F8B30-1750-4A83-9D2F-240A6F100F28}"/>
    <cellStyle name="Normal 5 2 2 2 2 3 2 2 4" xfId="30200" xr:uid="{BCAFECF2-80C8-4ABE-8C88-8059B033E0F7}"/>
    <cellStyle name="Normal 5 2 2 2 2 3 2 2 5" xfId="38647" xr:uid="{33150443-84D7-4124-A01F-53A8FF59D30A}"/>
    <cellStyle name="Normal 5 2 2 2 2 3 2 2 6" xfId="12453" xr:uid="{A31C9223-E8CB-400F-9815-339D48C9D760}"/>
    <cellStyle name="Normal 5 2 2 2 2 3 2 3" xfId="5199" xr:uid="{00000000-0005-0000-0000-000025170000}"/>
    <cellStyle name="Normal 5 2 2 2 2 3 2 3 2" xfId="23825" xr:uid="{B8CFF078-DDED-4232-8822-82A80CE6DB6F}"/>
    <cellStyle name="Normal 5 2 2 2 2 3 2 3 3" xfId="32272" xr:uid="{3E0125E6-FBE1-4B97-B7C9-1F01590CECD2}"/>
    <cellStyle name="Normal 5 2 2 2 2 3 2 3 4" xfId="40719" xr:uid="{214D39BE-350B-4D10-B604-7CB1D6AEB019}"/>
    <cellStyle name="Normal 5 2 2 2 2 3 2 3 5" xfId="14525" xr:uid="{8AD717D8-6383-4606-A98E-7500EF37DDB4}"/>
    <cellStyle name="Normal 5 2 2 2 2 3 2 4" xfId="9461" xr:uid="{815E4D9A-ED64-4B6C-A17A-F6D83CC40A47}"/>
    <cellStyle name="Normal 5 2 2 2 2 3 2 4 2" xfId="18777" xr:uid="{9236D0E1-5C0C-4856-92C1-810377BC33A3}"/>
    <cellStyle name="Normal 5 2 2 2 2 3 2 5" xfId="19608" xr:uid="{021D9618-7CB8-4C55-AE8E-AF265F096F20}"/>
    <cellStyle name="Normal 5 2 2 2 2 3 2 6" xfId="28055" xr:uid="{1264291F-8B58-4CB9-BD2A-18D40E7DC969}"/>
    <cellStyle name="Normal 5 2 2 2 2 3 2 7" xfId="36502" xr:uid="{B656815E-F290-4964-BE65-FAD74998B661}"/>
    <cellStyle name="Normal 5 2 2 2 2 3 2 8" xfId="10308" xr:uid="{97BBB3E4-30BC-4A09-B4AA-CF9FC8AF2C50}"/>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2 2 2" xfId="26383" xr:uid="{499A9A3E-1534-42B4-979C-1F04DA12F67F}"/>
    <cellStyle name="Normal 5 2 2 2 2 3 3 2 2 3" xfId="34830" xr:uid="{8F3174D4-02C1-4AE5-982E-C6A17E1E06D9}"/>
    <cellStyle name="Normal 5 2 2 2 2 3 3 2 2 4" xfId="43277" xr:uid="{537C114C-C6F3-4F8F-9080-CF3ACB96DC0D}"/>
    <cellStyle name="Normal 5 2 2 2 2 3 3 2 2 5" xfId="17083" xr:uid="{11092DAD-D681-4299-9936-BE3963436963}"/>
    <cellStyle name="Normal 5 2 2 2 2 3 3 2 3" xfId="22166" xr:uid="{AC554BF4-4BDD-4C7C-BAF0-46E2CBA6726A}"/>
    <cellStyle name="Normal 5 2 2 2 2 3 3 2 4" xfId="30613" xr:uid="{0D64D298-A8ED-4A38-A2E8-CBCA91D070D4}"/>
    <cellStyle name="Normal 5 2 2 2 2 3 3 2 5" xfId="39060" xr:uid="{20CFE51A-B242-47BF-BACF-4C34E017E813}"/>
    <cellStyle name="Normal 5 2 2 2 2 3 3 2 6" xfId="12866" xr:uid="{7E813EF1-1021-4CDE-A75E-10F7C758DF54}"/>
    <cellStyle name="Normal 5 2 2 2 2 3 3 3" xfId="5612" xr:uid="{00000000-0005-0000-0000-000029170000}"/>
    <cellStyle name="Normal 5 2 2 2 2 3 3 3 2" xfId="24238" xr:uid="{98AF5CDD-C8B8-40DE-A695-1F1B938013C5}"/>
    <cellStyle name="Normal 5 2 2 2 2 3 3 3 3" xfId="32685" xr:uid="{2E479790-F484-45F4-A628-5ED1D074DD86}"/>
    <cellStyle name="Normal 5 2 2 2 2 3 3 3 4" xfId="41132" xr:uid="{A5692B85-A488-4E06-A746-48372B8EBCD9}"/>
    <cellStyle name="Normal 5 2 2 2 2 3 3 3 5" xfId="14938" xr:uid="{D1102BC1-174F-47DA-B9F9-21005CD95000}"/>
    <cellStyle name="Normal 5 2 2 2 2 3 3 4" xfId="20021" xr:uid="{FE17CBC9-8505-4C09-A691-0C4CC9E6AD65}"/>
    <cellStyle name="Normal 5 2 2 2 2 3 3 5" xfId="28468" xr:uid="{E261E713-87A2-4BD1-928C-CCA944750286}"/>
    <cellStyle name="Normal 5 2 2 2 2 3 3 6" xfId="36915" xr:uid="{521133F6-9281-4558-9BDA-971F81C0E503}"/>
    <cellStyle name="Normal 5 2 2 2 2 3 3 7" xfId="10721" xr:uid="{C4B5873E-5B61-49A4-AB6A-7EE24EE8C449}"/>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2 2 2" xfId="26796" xr:uid="{5D64261C-83A8-4655-AC06-9CCE4C5ECC0D}"/>
    <cellStyle name="Normal 5 2 2 2 2 3 4 2 2 3" xfId="35243" xr:uid="{E4F3B879-2F5C-4CF9-A26F-9EC350D1B09E}"/>
    <cellStyle name="Normal 5 2 2 2 2 3 4 2 2 4" xfId="43690" xr:uid="{8C845214-9949-4F02-A9BC-C4A26FF0DAC3}"/>
    <cellStyle name="Normal 5 2 2 2 2 3 4 2 2 5" xfId="17496" xr:uid="{0E62A6FD-7CE8-4C5B-89C5-A1C70E31B188}"/>
    <cellStyle name="Normal 5 2 2 2 2 3 4 2 3" xfId="22579" xr:uid="{17514BE1-4F0C-46AB-BA05-7B0D9251C496}"/>
    <cellStyle name="Normal 5 2 2 2 2 3 4 2 4" xfId="31026" xr:uid="{FFB67F49-9E03-4AA8-8E02-6F80F1CD1E5E}"/>
    <cellStyle name="Normal 5 2 2 2 2 3 4 2 5" xfId="39473" xr:uid="{ADF22FA6-6168-42B8-A446-10BF03F1E88C}"/>
    <cellStyle name="Normal 5 2 2 2 2 3 4 2 6" xfId="13279" xr:uid="{AF847315-B6D8-4E6A-B2BF-304936E9C45A}"/>
    <cellStyle name="Normal 5 2 2 2 2 3 4 3" xfId="6025" xr:uid="{00000000-0005-0000-0000-00002D170000}"/>
    <cellStyle name="Normal 5 2 2 2 2 3 4 3 2" xfId="24651" xr:uid="{B86C762E-2D08-4854-84FB-1F081AF35242}"/>
    <cellStyle name="Normal 5 2 2 2 2 3 4 3 3" xfId="33098" xr:uid="{727903CA-41EB-4C18-82BF-67430577A0E4}"/>
    <cellStyle name="Normal 5 2 2 2 2 3 4 3 4" xfId="41545" xr:uid="{CD4F97E0-836D-4CF7-A2F2-F7337C705424}"/>
    <cellStyle name="Normal 5 2 2 2 2 3 4 3 5" xfId="15351" xr:uid="{D989826D-DFFC-4156-A20D-AEAEDE20A6F1}"/>
    <cellStyle name="Normal 5 2 2 2 2 3 4 4" xfId="20434" xr:uid="{69AAEAE7-EBC5-489E-AAD2-F7A994E3DB12}"/>
    <cellStyle name="Normal 5 2 2 2 2 3 4 5" xfId="28881" xr:uid="{C918ED12-D420-4310-84F6-6D7121CAF9AA}"/>
    <cellStyle name="Normal 5 2 2 2 2 3 4 6" xfId="37328" xr:uid="{E59EEDDA-8D65-4CBE-9D13-4F8173846DCB}"/>
    <cellStyle name="Normal 5 2 2 2 2 3 4 7" xfId="11134" xr:uid="{81396AF6-5104-4899-A3EC-FFE131F7ED0E}"/>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2 2 2" xfId="27209" xr:uid="{FBEC21D3-2456-46AC-8868-06BB5B567B4B}"/>
    <cellStyle name="Normal 5 2 2 2 2 3 5 2 2 3" xfId="35656" xr:uid="{8A85B17B-FE0A-4CAE-9D5F-B4BD546DC1C3}"/>
    <cellStyle name="Normal 5 2 2 2 2 3 5 2 2 4" xfId="44103" xr:uid="{559447E8-00DF-4AA4-B3FC-2DFBA7640C43}"/>
    <cellStyle name="Normal 5 2 2 2 2 3 5 2 2 5" xfId="17909" xr:uid="{91571338-2B18-4267-97A0-683D0236504C}"/>
    <cellStyle name="Normal 5 2 2 2 2 3 5 2 3" xfId="22992" xr:uid="{7EE52C17-2C43-4098-9D43-65459ACC3CDE}"/>
    <cellStyle name="Normal 5 2 2 2 2 3 5 2 4" xfId="31439" xr:uid="{7179B3B9-738C-465C-AE59-5D8CEA40C663}"/>
    <cellStyle name="Normal 5 2 2 2 2 3 5 2 5" xfId="39886" xr:uid="{D9DC4305-6432-4313-95DA-57F7339B6713}"/>
    <cellStyle name="Normal 5 2 2 2 2 3 5 2 6" xfId="13692" xr:uid="{B250E3D3-80CF-474E-A5E5-0B8099944688}"/>
    <cellStyle name="Normal 5 2 2 2 2 3 5 3" xfId="6438" xr:uid="{00000000-0005-0000-0000-000031170000}"/>
    <cellStyle name="Normal 5 2 2 2 2 3 5 3 2" xfId="25064" xr:uid="{3D924006-BE8B-4089-8715-89E27A338F07}"/>
    <cellStyle name="Normal 5 2 2 2 2 3 5 3 3" xfId="33511" xr:uid="{07503076-B8F6-4268-A5CC-005B3CB3E5FB}"/>
    <cellStyle name="Normal 5 2 2 2 2 3 5 3 4" xfId="41958" xr:uid="{FAF07B34-A2CD-4168-AB44-108C9AB419AF}"/>
    <cellStyle name="Normal 5 2 2 2 2 3 5 3 5" xfId="15764" xr:uid="{FE37B55F-70A9-437C-AC31-D697E708826D}"/>
    <cellStyle name="Normal 5 2 2 2 2 3 5 4" xfId="20847" xr:uid="{6CF8DC2E-7B9D-41ED-B075-78DDB955201F}"/>
    <cellStyle name="Normal 5 2 2 2 2 3 5 5" xfId="29294" xr:uid="{B423E5E4-B49D-4FB9-87FE-098CB4E72ACF}"/>
    <cellStyle name="Normal 5 2 2 2 2 3 5 6" xfId="37741" xr:uid="{4CB1FEB0-E04D-4130-B49B-DBAA2C0EBC2C}"/>
    <cellStyle name="Normal 5 2 2 2 2 3 5 7" xfId="11547" xr:uid="{F91A4F87-D7DE-4150-AB8E-24D32C4BE213}"/>
    <cellStyle name="Normal 5 2 2 2 2 3 6" xfId="2568" xr:uid="{00000000-0005-0000-0000-000032170000}"/>
    <cellStyle name="Normal 5 2 2 2 2 3 6 2" xfId="6851" xr:uid="{00000000-0005-0000-0000-000033170000}"/>
    <cellStyle name="Normal 5 2 2 2 2 3 6 2 2" xfId="25477" xr:uid="{DB966FD2-2C93-4F55-823C-0916772B07AF}"/>
    <cellStyle name="Normal 5 2 2 2 2 3 6 2 3" xfId="33924" xr:uid="{BADC9155-736C-45BA-973A-487928BC4B40}"/>
    <cellStyle name="Normal 5 2 2 2 2 3 6 2 4" xfId="42371" xr:uid="{D752A667-2ADA-4EE4-924F-799B9DF95EF9}"/>
    <cellStyle name="Normal 5 2 2 2 2 3 6 2 5" xfId="16177" xr:uid="{9C3CA337-8E6F-4E30-91E5-D77D54779898}"/>
    <cellStyle name="Normal 5 2 2 2 2 3 6 3" xfId="21260" xr:uid="{5624E746-53E8-4C5B-832C-F9E09116A870}"/>
    <cellStyle name="Normal 5 2 2 2 2 3 6 4" xfId="29707" xr:uid="{38A1CB32-BFE3-4E71-BCD4-123E6DF781C4}"/>
    <cellStyle name="Normal 5 2 2 2 2 3 6 5" xfId="38154" xr:uid="{E035FAA7-8466-4744-BB7C-61863FD5854D}"/>
    <cellStyle name="Normal 5 2 2 2 2 3 6 6" xfId="11960" xr:uid="{F7EE7AB0-430F-4997-9AB6-436CB35F2C78}"/>
    <cellStyle name="Normal 5 2 2 2 2 3 7" xfId="4786" xr:uid="{00000000-0005-0000-0000-000034170000}"/>
    <cellStyle name="Normal 5 2 2 2 2 3 7 2" xfId="23412" xr:uid="{0E8E6D83-667D-43E4-92EB-F2530AE104FC}"/>
    <cellStyle name="Normal 5 2 2 2 2 3 7 3" xfId="31859" xr:uid="{47E55881-0A0A-4D79-BA89-65AF24C1338C}"/>
    <cellStyle name="Normal 5 2 2 2 2 3 7 4" xfId="40306" xr:uid="{5505BC7C-0E85-4268-88B7-D4F6D23FB3CA}"/>
    <cellStyle name="Normal 5 2 2 2 2 3 7 5" xfId="14112" xr:uid="{FBF58DD4-1790-44EB-8DDF-142019BA63EB}"/>
    <cellStyle name="Normal 5 2 2 2 2 3 8" xfId="9036" xr:uid="{2B9BC3AC-900A-42EE-A23F-E5574B6E75BC}"/>
    <cellStyle name="Normal 5 2 2 2 2 3 8 2" xfId="18360" xr:uid="{B358A069-BDB7-4812-A9A6-4E3DC7DEEC52}"/>
    <cellStyle name="Normal 5 2 2 2 2 3 9" xfId="19195" xr:uid="{41E19F06-2859-4389-BC52-D34A49B7C672}"/>
    <cellStyle name="Normal 5 2 2 2 2 4" xfId="884" xr:uid="{00000000-0005-0000-0000-000035170000}"/>
    <cellStyle name="Normal 5 2 2 2 2 4 2" xfId="3119" xr:uid="{00000000-0005-0000-0000-000036170000}"/>
    <cellStyle name="Normal 5 2 2 2 2 4 2 2" xfId="7341" xr:uid="{00000000-0005-0000-0000-000037170000}"/>
    <cellStyle name="Normal 5 2 2 2 2 4 2 2 2" xfId="25967" xr:uid="{69919985-3D5A-4736-837C-0CF6182AFB99}"/>
    <cellStyle name="Normal 5 2 2 2 2 4 2 2 3" xfId="34414" xr:uid="{75B8F3D3-A403-4821-A975-CC6761EF0460}"/>
    <cellStyle name="Normal 5 2 2 2 2 4 2 2 4" xfId="42861" xr:uid="{E894A177-B926-44B6-A861-00B352D7CAE7}"/>
    <cellStyle name="Normal 5 2 2 2 2 4 2 2 5" xfId="16667" xr:uid="{3A3A2F93-6298-4C82-AF3F-3BC8B6A20653}"/>
    <cellStyle name="Normal 5 2 2 2 2 4 2 3" xfId="21750" xr:uid="{E850EF21-9C0C-481C-A071-48A41B66A59E}"/>
    <cellStyle name="Normal 5 2 2 2 2 4 2 4" xfId="30197" xr:uid="{CB8FDE83-9A4D-4A8E-A3CC-16B091955E4B}"/>
    <cellStyle name="Normal 5 2 2 2 2 4 2 5" xfId="38644" xr:uid="{952A9D6B-60DF-408B-A338-20115A6893B0}"/>
    <cellStyle name="Normal 5 2 2 2 2 4 2 6" xfId="12450" xr:uid="{9A4F181B-CBAD-4148-800D-1DFE64328B2C}"/>
    <cellStyle name="Normal 5 2 2 2 2 4 3" xfId="5196" xr:uid="{00000000-0005-0000-0000-000038170000}"/>
    <cellStyle name="Normal 5 2 2 2 2 4 3 2" xfId="23822" xr:uid="{F1B3CD4A-640A-4DAC-98F7-EF9BCE0912DF}"/>
    <cellStyle name="Normal 5 2 2 2 2 4 3 3" xfId="32269" xr:uid="{B5E8C9C4-7877-4467-AFEF-E655A0682076}"/>
    <cellStyle name="Normal 5 2 2 2 2 4 3 4" xfId="40716" xr:uid="{9D943EF5-3427-406D-8670-3B77D19E5114}"/>
    <cellStyle name="Normal 5 2 2 2 2 4 3 5" xfId="14522" xr:uid="{A18B9BD0-01D3-4D45-8925-D6C7EB4ECD27}"/>
    <cellStyle name="Normal 5 2 2 2 2 4 4" xfId="9254" xr:uid="{B0B4DA0D-4C0F-4712-8BF0-280C2A85D575}"/>
    <cellStyle name="Normal 5 2 2 2 2 4 4 2" xfId="18570" xr:uid="{D62B5AB7-D122-4D62-97EC-9DEAA2FAFF57}"/>
    <cellStyle name="Normal 5 2 2 2 2 4 5" xfId="19605" xr:uid="{186124E5-66D3-427A-A6EE-E36169258D04}"/>
    <cellStyle name="Normal 5 2 2 2 2 4 6" xfId="28052" xr:uid="{63C35703-F199-42AE-AA87-712A777616E1}"/>
    <cellStyle name="Normal 5 2 2 2 2 4 7" xfId="36499" xr:uid="{B5756A0B-10F1-48C0-99D3-A44633776B85}"/>
    <cellStyle name="Normal 5 2 2 2 2 4 8" xfId="10305" xr:uid="{05D80431-7A05-4B74-A75C-01FB24CA5033}"/>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2 2 2" xfId="26380" xr:uid="{8D7BC814-3F0D-418F-9D71-6668AC1C622A}"/>
    <cellStyle name="Normal 5 2 2 2 2 5 2 2 3" xfId="34827" xr:uid="{B86EAFAC-DEBC-4E50-BC53-A9C88E52D6DD}"/>
    <cellStyle name="Normal 5 2 2 2 2 5 2 2 4" xfId="43274" xr:uid="{C80063CF-7B95-4652-9A62-37BD2CE768FC}"/>
    <cellStyle name="Normal 5 2 2 2 2 5 2 2 5" xfId="17080" xr:uid="{6A36B320-D43B-49F1-95CE-653DCC66B084}"/>
    <cellStyle name="Normal 5 2 2 2 2 5 2 3" xfId="22163" xr:uid="{9606E0B1-3558-4863-8112-5913EAB78A93}"/>
    <cellStyle name="Normal 5 2 2 2 2 5 2 4" xfId="30610" xr:uid="{31C9891A-7975-4AD4-8FDB-AF2245B79B0D}"/>
    <cellStyle name="Normal 5 2 2 2 2 5 2 5" xfId="39057" xr:uid="{4F72A8C6-6AC7-4785-AE04-40B26A6AF9D2}"/>
    <cellStyle name="Normal 5 2 2 2 2 5 2 6" xfId="12863" xr:uid="{0153A348-6C9A-42CC-9B4D-FF022A93B165}"/>
    <cellStyle name="Normal 5 2 2 2 2 5 3" xfId="5609" xr:uid="{00000000-0005-0000-0000-00003C170000}"/>
    <cellStyle name="Normal 5 2 2 2 2 5 3 2" xfId="24235" xr:uid="{268A007E-10FA-4894-ACDD-AE49B1109E75}"/>
    <cellStyle name="Normal 5 2 2 2 2 5 3 3" xfId="32682" xr:uid="{BDFC15E5-C785-405C-82C7-F21D478B5DD8}"/>
    <cellStyle name="Normal 5 2 2 2 2 5 3 4" xfId="41129" xr:uid="{56887A42-8EFC-4B8C-BDC3-546EA169598B}"/>
    <cellStyle name="Normal 5 2 2 2 2 5 3 5" xfId="14935" xr:uid="{DCD61E67-931B-40AD-B12A-A5E4DADEBBF0}"/>
    <cellStyle name="Normal 5 2 2 2 2 5 4" xfId="20018" xr:uid="{3A8C89E1-73AA-4C75-A60A-B383350AF45E}"/>
    <cellStyle name="Normal 5 2 2 2 2 5 5" xfId="28465" xr:uid="{0A5E6111-2CAF-4D52-9092-EAD009FFFD84}"/>
    <cellStyle name="Normal 5 2 2 2 2 5 6" xfId="36912" xr:uid="{73C7F8C2-3B70-4544-9DA8-FAAB684309AF}"/>
    <cellStyle name="Normal 5 2 2 2 2 5 7" xfId="10718" xr:uid="{0DB6C13A-24E4-475E-9BF4-EDE30D20BBFA}"/>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2 2 2" xfId="26793" xr:uid="{199F0492-1414-4F79-9335-8523699E1E79}"/>
    <cellStyle name="Normal 5 2 2 2 2 6 2 2 3" xfId="35240" xr:uid="{7AAAD624-E697-4291-9F4C-DDBAB1998058}"/>
    <cellStyle name="Normal 5 2 2 2 2 6 2 2 4" xfId="43687" xr:uid="{13352286-EFA6-4FCC-949E-D80ACD3F9735}"/>
    <cellStyle name="Normal 5 2 2 2 2 6 2 2 5" xfId="17493" xr:uid="{2D0CC6E8-8CF3-4AEC-BF6F-09A6ECA4E6B2}"/>
    <cellStyle name="Normal 5 2 2 2 2 6 2 3" xfId="22576" xr:uid="{079ADA4E-925A-412C-85EA-AF3D87BEAF94}"/>
    <cellStyle name="Normal 5 2 2 2 2 6 2 4" xfId="31023" xr:uid="{CE190C7F-FA4C-4458-B1EF-CE5EA36F0BF3}"/>
    <cellStyle name="Normal 5 2 2 2 2 6 2 5" xfId="39470" xr:uid="{28C4EE25-EE0E-4550-A398-F36DC8444F70}"/>
    <cellStyle name="Normal 5 2 2 2 2 6 2 6" xfId="13276" xr:uid="{F37D076A-771F-473A-8F71-C872DB2D01D3}"/>
    <cellStyle name="Normal 5 2 2 2 2 6 3" xfId="6022" xr:uid="{00000000-0005-0000-0000-000040170000}"/>
    <cellStyle name="Normal 5 2 2 2 2 6 3 2" xfId="24648" xr:uid="{6EAF6AE2-480B-4F5D-AD42-80163411E459}"/>
    <cellStyle name="Normal 5 2 2 2 2 6 3 3" xfId="33095" xr:uid="{D05A146E-2F5F-41CB-8339-52CD63DCCCC9}"/>
    <cellStyle name="Normal 5 2 2 2 2 6 3 4" xfId="41542" xr:uid="{4348F5E2-189F-425F-BCB9-FC0C7B6D0A35}"/>
    <cellStyle name="Normal 5 2 2 2 2 6 3 5" xfId="15348" xr:uid="{DC4BA489-26FA-4C69-BFE0-1D1E9544804D}"/>
    <cellStyle name="Normal 5 2 2 2 2 6 4" xfId="20431" xr:uid="{32280001-AB80-4247-9784-34FFE334EEBA}"/>
    <cellStyle name="Normal 5 2 2 2 2 6 5" xfId="28878" xr:uid="{0C73A27D-EE75-4921-A0DD-DEFFD28FB1FC}"/>
    <cellStyle name="Normal 5 2 2 2 2 6 6" xfId="37325" xr:uid="{1759571D-1A3C-4642-88E5-0A080AAFA981}"/>
    <cellStyle name="Normal 5 2 2 2 2 6 7" xfId="11131" xr:uid="{E38CFAC3-D564-4FAD-AE36-F4815C2D5C7F}"/>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2 2 2" xfId="27206" xr:uid="{048642A3-563D-4663-A4F5-8E45F02E22FE}"/>
    <cellStyle name="Normal 5 2 2 2 2 7 2 2 3" xfId="35653" xr:uid="{8461B5B5-5364-40E9-B7C5-D6335AC9E94E}"/>
    <cellStyle name="Normal 5 2 2 2 2 7 2 2 4" xfId="44100" xr:uid="{2A13AD20-8D4B-4C6F-81BE-0D56575C2D3D}"/>
    <cellStyle name="Normal 5 2 2 2 2 7 2 2 5" xfId="17906" xr:uid="{7D02F241-0F01-4590-B17F-D8AE43555AE4}"/>
    <cellStyle name="Normal 5 2 2 2 2 7 2 3" xfId="22989" xr:uid="{0590A940-DACB-4FAE-8885-512116DDD585}"/>
    <cellStyle name="Normal 5 2 2 2 2 7 2 4" xfId="31436" xr:uid="{38ABF9AF-A6B6-4A5E-AB5A-5F53E301921C}"/>
    <cellStyle name="Normal 5 2 2 2 2 7 2 5" xfId="39883" xr:uid="{80BA0503-4B5E-491A-85DD-A5B986713EFB}"/>
    <cellStyle name="Normal 5 2 2 2 2 7 2 6" xfId="13689" xr:uid="{65667EBA-7003-40F2-9616-273530BB6B71}"/>
    <cellStyle name="Normal 5 2 2 2 2 7 3" xfId="6435" xr:uid="{00000000-0005-0000-0000-000044170000}"/>
    <cellStyle name="Normal 5 2 2 2 2 7 3 2" xfId="25061" xr:uid="{B87316C3-5284-4093-8E14-8328623B0BD0}"/>
    <cellStyle name="Normal 5 2 2 2 2 7 3 3" xfId="33508" xr:uid="{4DC15A0B-8FFC-478F-B06D-A4C7EF397BFB}"/>
    <cellStyle name="Normal 5 2 2 2 2 7 3 4" xfId="41955" xr:uid="{9046D99D-F109-441C-9C25-7C20FF6B97E4}"/>
    <cellStyle name="Normal 5 2 2 2 2 7 3 5" xfId="15761" xr:uid="{D3C756BA-C2DB-422F-8C15-BF1F35B70A4E}"/>
    <cellStyle name="Normal 5 2 2 2 2 7 4" xfId="20844" xr:uid="{C80A5124-6468-4260-B3FD-4505614066D4}"/>
    <cellStyle name="Normal 5 2 2 2 2 7 5" xfId="29291" xr:uid="{9BD69046-E523-4167-872E-1A072446DF56}"/>
    <cellStyle name="Normal 5 2 2 2 2 7 6" xfId="37738" xr:uid="{9EF09F62-6FD5-4425-920C-37170EED18B9}"/>
    <cellStyle name="Normal 5 2 2 2 2 7 7" xfId="11544" xr:uid="{F8D14B9C-240B-4C9B-A6BD-C92CF8FBB7C6}"/>
    <cellStyle name="Normal 5 2 2 2 2 8" xfId="2565" xr:uid="{00000000-0005-0000-0000-000045170000}"/>
    <cellStyle name="Normal 5 2 2 2 2 8 2" xfId="6848" xr:uid="{00000000-0005-0000-0000-000046170000}"/>
    <cellStyle name="Normal 5 2 2 2 2 8 2 2" xfId="25474" xr:uid="{5016E1FB-5F1D-4822-861A-D1D40D099E16}"/>
    <cellStyle name="Normal 5 2 2 2 2 8 2 3" xfId="33921" xr:uid="{BE9B77CC-FABD-4EC4-B753-885F7416BFC1}"/>
    <cellStyle name="Normal 5 2 2 2 2 8 2 4" xfId="42368" xr:uid="{4DA694F3-A8B1-4033-8A44-CB6CF1630341}"/>
    <cellStyle name="Normal 5 2 2 2 2 8 2 5" xfId="16174" xr:uid="{8DA95A63-3BE4-49AB-B8AD-54442F8E8DB1}"/>
    <cellStyle name="Normal 5 2 2 2 2 8 3" xfId="21257" xr:uid="{18E0EBAC-3EAE-4AFF-A9D9-D9A071C36A12}"/>
    <cellStyle name="Normal 5 2 2 2 2 8 4" xfId="29704" xr:uid="{383BD155-4CD4-48E6-AE80-BEBE3DABBAC3}"/>
    <cellStyle name="Normal 5 2 2 2 2 8 5" xfId="38151" xr:uid="{D848CEB4-389B-49E9-BC0B-4EF2FB9108C2}"/>
    <cellStyle name="Normal 5 2 2 2 2 8 6" xfId="11957" xr:uid="{1BB423D3-5299-40AA-B861-9953F01F6A89}"/>
    <cellStyle name="Normal 5 2 2 2 2 9" xfId="4783" xr:uid="{00000000-0005-0000-0000-000047170000}"/>
    <cellStyle name="Normal 5 2 2 2 2 9 2" xfId="23409" xr:uid="{9002378F-A01E-406E-8E02-7BBC0F3EDB9A}"/>
    <cellStyle name="Normal 5 2 2 2 2 9 3" xfId="31856" xr:uid="{C9BF656E-0C7B-4B46-850D-3D3474B3895C}"/>
    <cellStyle name="Normal 5 2 2 2 2 9 4" xfId="40303" xr:uid="{7210745E-BEA5-4BA6-8BF6-9855DEAA5119}"/>
    <cellStyle name="Normal 5 2 2 2 2 9 5" xfId="14109" xr:uid="{439D099B-4D19-4E69-B4D4-F83237262643}"/>
    <cellStyle name="Normal 5 2 2 2 3" xfId="414" xr:uid="{00000000-0005-0000-0000-000048170000}"/>
    <cellStyle name="Normal 5 2 2 2 3 10" xfId="19196" xr:uid="{4E3A5E4D-C040-4BC3-AE3A-597326EC3245}"/>
    <cellStyle name="Normal 5 2 2 2 3 11" xfId="27643" xr:uid="{4F2BE818-9289-4B63-8040-4B76DF2C4983}"/>
    <cellStyle name="Normal 5 2 2 2 3 12" xfId="36090" xr:uid="{A2CBE108-D389-4F22-97C9-6358F34365DB}"/>
    <cellStyle name="Normal 5 2 2 2 3 13" xfId="9896" xr:uid="{DB2AB95A-1DF7-4F68-9F8A-51487E44AA44}"/>
    <cellStyle name="Normal 5 2 2 2 3 2" xfId="415" xr:uid="{00000000-0005-0000-0000-000049170000}"/>
    <cellStyle name="Normal 5 2 2 2 3 2 10" xfId="27644" xr:uid="{F96A0CA2-C120-44E9-9928-186FE3781073}"/>
    <cellStyle name="Normal 5 2 2 2 3 2 11" xfId="36091" xr:uid="{46900956-FB4F-4A1C-98CE-0686FA0334A8}"/>
    <cellStyle name="Normal 5 2 2 2 3 2 12" xfId="9897" xr:uid="{6241B85C-0DA6-4383-ABC7-E929DEDB0847}"/>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2 2 2" xfId="25972" xr:uid="{FB31C82D-4895-4E42-A64E-F0B0B12AB0BF}"/>
    <cellStyle name="Normal 5 2 2 2 3 2 2 2 2 3" xfId="34419" xr:uid="{6F3D0B7C-0C46-43FE-81A2-EA56407E3545}"/>
    <cellStyle name="Normal 5 2 2 2 3 2 2 2 2 4" xfId="42866" xr:uid="{F0A394D3-4730-4216-B70D-E2764B79DEFC}"/>
    <cellStyle name="Normal 5 2 2 2 3 2 2 2 2 5" xfId="16672" xr:uid="{D136DAA1-BC33-490D-8D16-274E4032A29C}"/>
    <cellStyle name="Normal 5 2 2 2 3 2 2 2 3" xfId="21755" xr:uid="{02A81988-57AD-45A1-B09F-CAB27F6DA314}"/>
    <cellStyle name="Normal 5 2 2 2 3 2 2 2 4" xfId="30202" xr:uid="{6C0BB54A-6A08-43B6-A9D1-42BFBE5CB81F}"/>
    <cellStyle name="Normal 5 2 2 2 3 2 2 2 5" xfId="38649" xr:uid="{E9B3AA4B-B63D-4109-A834-20296EAA4BC6}"/>
    <cellStyle name="Normal 5 2 2 2 3 2 2 2 6" xfId="12455" xr:uid="{8C1E810E-9466-4371-B755-63A85317B0AF}"/>
    <cellStyle name="Normal 5 2 2 2 3 2 2 3" xfId="5201" xr:uid="{00000000-0005-0000-0000-00004D170000}"/>
    <cellStyle name="Normal 5 2 2 2 3 2 2 3 2" xfId="23827" xr:uid="{1ADC1538-A07D-4A82-9D28-2742BDB9B2A3}"/>
    <cellStyle name="Normal 5 2 2 2 3 2 2 3 3" xfId="32274" xr:uid="{0B62DE9F-A43A-4088-8BA7-EED3AD9464A5}"/>
    <cellStyle name="Normal 5 2 2 2 3 2 2 3 4" xfId="40721" xr:uid="{004CFE56-8F7D-4842-B8E1-DBECB09CA96D}"/>
    <cellStyle name="Normal 5 2 2 2 3 2 2 3 5" xfId="14527" xr:uid="{CF189B78-83CF-4261-8A94-FFEA6304F475}"/>
    <cellStyle name="Normal 5 2 2 2 3 2 2 4" xfId="9506" xr:uid="{65E8E1F9-5B62-47C9-8131-412DF42F5268}"/>
    <cellStyle name="Normal 5 2 2 2 3 2 2 4 2" xfId="18822" xr:uid="{B7DC256D-1214-4083-9AFB-939E4D12D750}"/>
    <cellStyle name="Normal 5 2 2 2 3 2 2 5" xfId="19610" xr:uid="{62416086-63B5-4C4F-8FB9-7D92A897E736}"/>
    <cellStyle name="Normal 5 2 2 2 3 2 2 6" xfId="28057" xr:uid="{EC2C0D64-30E8-4922-B6EA-FABD6DDA75B9}"/>
    <cellStyle name="Normal 5 2 2 2 3 2 2 7" xfId="36504" xr:uid="{EBB7B47D-8B33-4D0E-A0FF-2FF02642043A}"/>
    <cellStyle name="Normal 5 2 2 2 3 2 2 8" xfId="10310" xr:uid="{1A76BBF4-362E-433F-9BD6-14FB863F2EAA}"/>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2 2 2" xfId="26385" xr:uid="{2EFF89A8-DB67-405E-901B-F20B80B81FF9}"/>
    <cellStyle name="Normal 5 2 2 2 3 2 3 2 2 3" xfId="34832" xr:uid="{68228D1D-CF5D-44A8-8EA4-62021A6CC398}"/>
    <cellStyle name="Normal 5 2 2 2 3 2 3 2 2 4" xfId="43279" xr:uid="{259EB099-F865-44D2-8F94-85F0F91A2679}"/>
    <cellStyle name="Normal 5 2 2 2 3 2 3 2 2 5" xfId="17085" xr:uid="{3DB016A4-FF63-478A-AB51-6C9440A9D3D3}"/>
    <cellStyle name="Normal 5 2 2 2 3 2 3 2 3" xfId="22168" xr:uid="{B650896C-C16F-40CB-928C-92C1EB98CFEE}"/>
    <cellStyle name="Normal 5 2 2 2 3 2 3 2 4" xfId="30615" xr:uid="{B490C04D-965E-4080-9143-C752FFCA8DD1}"/>
    <cellStyle name="Normal 5 2 2 2 3 2 3 2 5" xfId="39062" xr:uid="{108FD454-1AB4-4617-8E94-456CE6D468AC}"/>
    <cellStyle name="Normal 5 2 2 2 3 2 3 2 6" xfId="12868" xr:uid="{7D00AD63-D2E4-4573-A836-A304FF7BA86C}"/>
    <cellStyle name="Normal 5 2 2 2 3 2 3 3" xfId="5614" xr:uid="{00000000-0005-0000-0000-000051170000}"/>
    <cellStyle name="Normal 5 2 2 2 3 2 3 3 2" xfId="24240" xr:uid="{FECCCB38-6A5B-47B4-B9F2-5073BFFC5E35}"/>
    <cellStyle name="Normal 5 2 2 2 3 2 3 3 3" xfId="32687" xr:uid="{C891F293-F32A-42C3-BB1B-ED48299C9408}"/>
    <cellStyle name="Normal 5 2 2 2 3 2 3 3 4" xfId="41134" xr:uid="{D3A4DC6E-837E-42BB-8029-D4F6DCA24E0C}"/>
    <cellStyle name="Normal 5 2 2 2 3 2 3 3 5" xfId="14940" xr:uid="{349716C3-33C6-4858-A159-BB68FE189D8B}"/>
    <cellStyle name="Normal 5 2 2 2 3 2 3 4" xfId="20023" xr:uid="{3004FF69-9027-4C5D-A843-0BA09C3B057F}"/>
    <cellStyle name="Normal 5 2 2 2 3 2 3 5" xfId="28470" xr:uid="{DCE704AF-92F6-4B76-8028-806D6AAE8AC1}"/>
    <cellStyle name="Normal 5 2 2 2 3 2 3 6" xfId="36917" xr:uid="{D03ADA2A-6F2C-4EAD-919C-F763A5CFDED7}"/>
    <cellStyle name="Normal 5 2 2 2 3 2 3 7" xfId="10723" xr:uid="{301F0F4B-AC7A-42C6-B59B-0868E0DC2051}"/>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2 2 2" xfId="26798" xr:uid="{FEE05AAD-9B24-45D2-808E-5630A23237D0}"/>
    <cellStyle name="Normal 5 2 2 2 3 2 4 2 2 3" xfId="35245" xr:uid="{385C4065-196F-43F2-B832-F70022B6D06E}"/>
    <cellStyle name="Normal 5 2 2 2 3 2 4 2 2 4" xfId="43692" xr:uid="{7D3BB5F7-0174-4B3C-88E9-4286150E5B69}"/>
    <cellStyle name="Normal 5 2 2 2 3 2 4 2 2 5" xfId="17498" xr:uid="{2B1BE6D6-A672-4EB5-A410-1D646BF029A0}"/>
    <cellStyle name="Normal 5 2 2 2 3 2 4 2 3" xfId="22581" xr:uid="{26ADDE15-4081-4209-A10A-8C220D3BE298}"/>
    <cellStyle name="Normal 5 2 2 2 3 2 4 2 4" xfId="31028" xr:uid="{1BA0F78E-AE1E-4289-B739-D3F6794D88FC}"/>
    <cellStyle name="Normal 5 2 2 2 3 2 4 2 5" xfId="39475" xr:uid="{EEA3E8A5-5215-40E7-B511-DC54BC089D01}"/>
    <cellStyle name="Normal 5 2 2 2 3 2 4 2 6" xfId="13281" xr:uid="{1075D80C-7B1C-4533-9419-FCFAC1867E78}"/>
    <cellStyle name="Normal 5 2 2 2 3 2 4 3" xfId="6027" xr:uid="{00000000-0005-0000-0000-000055170000}"/>
    <cellStyle name="Normal 5 2 2 2 3 2 4 3 2" xfId="24653" xr:uid="{E840391C-5932-4EB0-8F55-67ADBF7F5297}"/>
    <cellStyle name="Normal 5 2 2 2 3 2 4 3 3" xfId="33100" xr:uid="{E41CF723-C53B-4688-9041-4CD4524597F5}"/>
    <cellStyle name="Normal 5 2 2 2 3 2 4 3 4" xfId="41547" xr:uid="{CA2C42C5-4689-49AA-A4D2-C8DF80D566B2}"/>
    <cellStyle name="Normal 5 2 2 2 3 2 4 3 5" xfId="15353" xr:uid="{04764656-556A-44B7-96ED-DDB1F1E21165}"/>
    <cellStyle name="Normal 5 2 2 2 3 2 4 4" xfId="20436" xr:uid="{0763DFDD-4337-4788-9894-2DDEFDAE3531}"/>
    <cellStyle name="Normal 5 2 2 2 3 2 4 5" xfId="28883" xr:uid="{0B4CCF2B-C86A-42E2-B1A8-352DFAD66D04}"/>
    <cellStyle name="Normal 5 2 2 2 3 2 4 6" xfId="37330" xr:uid="{932731A7-ED37-47E3-80B9-4B40E8352890}"/>
    <cellStyle name="Normal 5 2 2 2 3 2 4 7" xfId="11136" xr:uid="{F0072F30-5DDE-480E-AF85-B849CA1D53E1}"/>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2 2 2" xfId="27211" xr:uid="{D16CBB99-7461-4FC6-A7FC-F33442121A18}"/>
    <cellStyle name="Normal 5 2 2 2 3 2 5 2 2 3" xfId="35658" xr:uid="{0892BE66-FDFD-4895-81B2-627DF9BA682A}"/>
    <cellStyle name="Normal 5 2 2 2 3 2 5 2 2 4" xfId="44105" xr:uid="{317AA236-2C41-4235-B366-2D240AAC9AE4}"/>
    <cellStyle name="Normal 5 2 2 2 3 2 5 2 2 5" xfId="17911" xr:uid="{42703B86-9BD8-4A91-B23B-9C34FF4166FE}"/>
    <cellStyle name="Normal 5 2 2 2 3 2 5 2 3" xfId="22994" xr:uid="{042F6646-E864-4DD1-A1CE-EC0B058014E9}"/>
    <cellStyle name="Normal 5 2 2 2 3 2 5 2 4" xfId="31441" xr:uid="{3BF3A31F-4A38-4256-A959-766FF1155BEF}"/>
    <cellStyle name="Normal 5 2 2 2 3 2 5 2 5" xfId="39888" xr:uid="{E6CF8D2F-7915-4519-A30D-E15356F8F71F}"/>
    <cellStyle name="Normal 5 2 2 2 3 2 5 2 6" xfId="13694" xr:uid="{024B33C8-2AAE-486E-9E2E-03DE54D23312}"/>
    <cellStyle name="Normal 5 2 2 2 3 2 5 3" xfId="6440" xr:uid="{00000000-0005-0000-0000-000059170000}"/>
    <cellStyle name="Normal 5 2 2 2 3 2 5 3 2" xfId="25066" xr:uid="{F16F626F-6C2D-42A9-AEEE-B1A55992129B}"/>
    <cellStyle name="Normal 5 2 2 2 3 2 5 3 3" xfId="33513" xr:uid="{F47484A0-AE37-4C83-91B2-8CE4C861F5F2}"/>
    <cellStyle name="Normal 5 2 2 2 3 2 5 3 4" xfId="41960" xr:uid="{B9FAF5F6-0617-4FC4-A01D-BA979BCFB20E}"/>
    <cellStyle name="Normal 5 2 2 2 3 2 5 3 5" xfId="15766" xr:uid="{F33292BE-3152-49F7-B226-75B55AA27B92}"/>
    <cellStyle name="Normal 5 2 2 2 3 2 5 4" xfId="20849" xr:uid="{621275DF-DDFC-4C68-ADC6-42603EEB28FD}"/>
    <cellStyle name="Normal 5 2 2 2 3 2 5 5" xfId="29296" xr:uid="{40C87E7B-5D28-4A69-AA16-F797292251D2}"/>
    <cellStyle name="Normal 5 2 2 2 3 2 5 6" xfId="37743" xr:uid="{2F8141C5-0FC5-492E-A3A9-9C9BFF0BFAE0}"/>
    <cellStyle name="Normal 5 2 2 2 3 2 5 7" xfId="11549" xr:uid="{83CFB865-6AA8-44D7-9ADB-85223635BED9}"/>
    <cellStyle name="Normal 5 2 2 2 3 2 6" xfId="2570" xr:uid="{00000000-0005-0000-0000-00005A170000}"/>
    <cellStyle name="Normal 5 2 2 2 3 2 6 2" xfId="6853" xr:uid="{00000000-0005-0000-0000-00005B170000}"/>
    <cellStyle name="Normal 5 2 2 2 3 2 6 2 2" xfId="25479" xr:uid="{29658986-13D0-4D43-9AA4-5595C546BD48}"/>
    <cellStyle name="Normal 5 2 2 2 3 2 6 2 3" xfId="33926" xr:uid="{DC72387A-92FE-4521-9832-7FEDAF7A79FD}"/>
    <cellStyle name="Normal 5 2 2 2 3 2 6 2 4" xfId="42373" xr:uid="{4E6D82FA-C0C3-4B1D-88B4-4D16F5E972D6}"/>
    <cellStyle name="Normal 5 2 2 2 3 2 6 2 5" xfId="16179" xr:uid="{93049F26-A0D6-44BF-8200-A8D1C83B87F3}"/>
    <cellStyle name="Normal 5 2 2 2 3 2 6 3" xfId="21262" xr:uid="{0588F666-E5A7-4B39-8A8F-29D22F34FCB4}"/>
    <cellStyle name="Normal 5 2 2 2 3 2 6 4" xfId="29709" xr:uid="{AF565361-EE72-4774-AA83-12CBC352421E}"/>
    <cellStyle name="Normal 5 2 2 2 3 2 6 5" xfId="38156" xr:uid="{FD84860E-72A3-4C18-AD48-AA135BB18228}"/>
    <cellStyle name="Normal 5 2 2 2 3 2 6 6" xfId="11962" xr:uid="{272EAC9C-9F8A-40D2-ACD7-E36E5DD7B913}"/>
    <cellStyle name="Normal 5 2 2 2 3 2 7" xfId="4788" xr:uid="{00000000-0005-0000-0000-00005C170000}"/>
    <cellStyle name="Normal 5 2 2 2 3 2 7 2" xfId="23414" xr:uid="{69030F5B-CA2B-49D8-8294-357041CF7AE9}"/>
    <cellStyle name="Normal 5 2 2 2 3 2 7 3" xfId="31861" xr:uid="{6ED9A3E3-E457-40CF-98F1-6376FB6342AE}"/>
    <cellStyle name="Normal 5 2 2 2 3 2 7 4" xfId="40308" xr:uid="{C5420DF2-49B3-478F-8064-8B305BFC92B1}"/>
    <cellStyle name="Normal 5 2 2 2 3 2 7 5" xfId="14114" xr:uid="{FC96A6EC-4905-469A-9437-57C1B3E3E16F}"/>
    <cellStyle name="Normal 5 2 2 2 3 2 8" xfId="9081" xr:uid="{B0400C6D-4400-4F06-9092-2DCAD3324CF1}"/>
    <cellStyle name="Normal 5 2 2 2 3 2 8 2" xfId="18405" xr:uid="{5F36C4D4-7C62-40CF-A6B7-FFFA8276A223}"/>
    <cellStyle name="Normal 5 2 2 2 3 2 9" xfId="19197" xr:uid="{CEAA2152-8254-4498-B32D-58F54FEFCAD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2 2 2" xfId="25971" xr:uid="{EE61E8CB-71EB-4FD6-BD85-10C88854257E}"/>
    <cellStyle name="Normal 5 2 2 2 3 3 2 2 3" xfId="34418" xr:uid="{D6CD032D-43E2-42D1-84FC-D631266C8563}"/>
    <cellStyle name="Normal 5 2 2 2 3 3 2 2 4" xfId="42865" xr:uid="{62CC5870-8472-4981-8102-2A488E9733D7}"/>
    <cellStyle name="Normal 5 2 2 2 3 3 2 2 5" xfId="16671" xr:uid="{9DEBE893-BC12-42F7-A59D-545DF7AE4E43}"/>
    <cellStyle name="Normal 5 2 2 2 3 3 2 3" xfId="21754" xr:uid="{E6C37B8B-1E51-4430-9B49-925FB4B6A5A8}"/>
    <cellStyle name="Normal 5 2 2 2 3 3 2 4" xfId="30201" xr:uid="{E0BE6BAE-7677-48E3-9282-86C6514D7094}"/>
    <cellStyle name="Normal 5 2 2 2 3 3 2 5" xfId="38648" xr:uid="{6BF6EF40-080F-49D0-8330-906F2B5B30C2}"/>
    <cellStyle name="Normal 5 2 2 2 3 3 2 6" xfId="12454" xr:uid="{751F6D9F-16A9-433E-8CBB-A34CB39525CE}"/>
    <cellStyle name="Normal 5 2 2 2 3 3 3" xfId="5200" xr:uid="{00000000-0005-0000-0000-000060170000}"/>
    <cellStyle name="Normal 5 2 2 2 3 3 3 2" xfId="23826" xr:uid="{A82D7CEB-89D5-4621-810A-7554C976A0A0}"/>
    <cellStyle name="Normal 5 2 2 2 3 3 3 3" xfId="32273" xr:uid="{B88E06F3-F90A-439E-8254-414A841B957B}"/>
    <cellStyle name="Normal 5 2 2 2 3 3 3 4" xfId="40720" xr:uid="{35AF5DEA-11E8-49F6-A7A9-F4D7D936EC47}"/>
    <cellStyle name="Normal 5 2 2 2 3 3 3 5" xfId="14526" xr:uid="{718D0CB4-2C31-45E9-AD61-FF9B562693B4}"/>
    <cellStyle name="Normal 5 2 2 2 3 3 4" xfId="9299" xr:uid="{85780536-A38F-4D86-8846-D9FA6BB2D61D}"/>
    <cellStyle name="Normal 5 2 2 2 3 3 4 2" xfId="18615" xr:uid="{86967586-848B-4052-9906-4CDF532A9419}"/>
    <cellStyle name="Normal 5 2 2 2 3 3 5" xfId="19609" xr:uid="{FE46D742-53B5-4CFB-A4BA-D0A9DB465DA4}"/>
    <cellStyle name="Normal 5 2 2 2 3 3 6" xfId="28056" xr:uid="{90979368-84A3-4FA0-AD8D-04087EA4EF32}"/>
    <cellStyle name="Normal 5 2 2 2 3 3 7" xfId="36503" xr:uid="{387A0520-3784-48AE-83D9-183AEAD8AE60}"/>
    <cellStyle name="Normal 5 2 2 2 3 3 8" xfId="10309" xr:uid="{E46E38B6-A02F-4BDF-833A-35E379C8DC6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2 2 2" xfId="26384" xr:uid="{DE5EAE03-DF2C-461B-A09D-061E1687E69E}"/>
    <cellStyle name="Normal 5 2 2 2 3 4 2 2 3" xfId="34831" xr:uid="{734CF0CA-7451-4A9B-975D-E002B8BA1374}"/>
    <cellStyle name="Normal 5 2 2 2 3 4 2 2 4" xfId="43278" xr:uid="{3045BF2F-C9E7-4EEE-A9DF-119F0C3FDB24}"/>
    <cellStyle name="Normal 5 2 2 2 3 4 2 2 5" xfId="17084" xr:uid="{8226C679-FDE9-49BA-865C-4AFAAE103573}"/>
    <cellStyle name="Normal 5 2 2 2 3 4 2 3" xfId="22167" xr:uid="{59416C36-4D93-4CFE-A385-9B8774F84495}"/>
    <cellStyle name="Normal 5 2 2 2 3 4 2 4" xfId="30614" xr:uid="{FCDBAAC0-23E1-4C47-9035-1100EEE0EB4B}"/>
    <cellStyle name="Normal 5 2 2 2 3 4 2 5" xfId="39061" xr:uid="{1574F9D6-FB31-4E1A-BD43-4AC4E864B688}"/>
    <cellStyle name="Normal 5 2 2 2 3 4 2 6" xfId="12867" xr:uid="{89FA13B9-B5A8-45D8-AB9A-333379479278}"/>
    <cellStyle name="Normal 5 2 2 2 3 4 3" xfId="5613" xr:uid="{00000000-0005-0000-0000-000064170000}"/>
    <cellStyle name="Normal 5 2 2 2 3 4 3 2" xfId="24239" xr:uid="{E38DA7B5-93D7-40D0-A9B0-734E8D2C4695}"/>
    <cellStyle name="Normal 5 2 2 2 3 4 3 3" xfId="32686" xr:uid="{F3F31B30-7D4A-4617-B9F7-BCB3F2108221}"/>
    <cellStyle name="Normal 5 2 2 2 3 4 3 4" xfId="41133" xr:uid="{D58C4354-973F-4A2A-A0B6-E738458179B8}"/>
    <cellStyle name="Normal 5 2 2 2 3 4 3 5" xfId="14939" xr:uid="{36F062D1-5D5C-4CDB-A19C-F706ED18C39D}"/>
    <cellStyle name="Normal 5 2 2 2 3 4 4" xfId="20022" xr:uid="{DCB48922-1BB7-45D3-AF30-FD0B4D8D5FBE}"/>
    <cellStyle name="Normal 5 2 2 2 3 4 5" xfId="28469" xr:uid="{8AA7FEAC-6918-4577-BD98-0B9A6AEC4DB4}"/>
    <cellStyle name="Normal 5 2 2 2 3 4 6" xfId="36916" xr:uid="{69ACA44C-98F2-4536-9550-C33AACD596C0}"/>
    <cellStyle name="Normal 5 2 2 2 3 4 7" xfId="10722" xr:uid="{1853CAA3-BC4F-48F9-B784-DC54056758A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2 2 2" xfId="26797" xr:uid="{4EDBB768-115B-4645-8700-7EEBB64CE121}"/>
    <cellStyle name="Normal 5 2 2 2 3 5 2 2 3" xfId="35244" xr:uid="{041AEC30-4C4E-4E6C-BD04-1372877B22C9}"/>
    <cellStyle name="Normal 5 2 2 2 3 5 2 2 4" xfId="43691" xr:uid="{12642481-5A7E-4431-BB9A-9056EF2984EB}"/>
    <cellStyle name="Normal 5 2 2 2 3 5 2 2 5" xfId="17497" xr:uid="{91E52A67-1546-4B48-A1AC-87A11F75D236}"/>
    <cellStyle name="Normal 5 2 2 2 3 5 2 3" xfId="22580" xr:uid="{A4FBAD63-F8F5-463D-99F2-BC54D17E22F0}"/>
    <cellStyle name="Normal 5 2 2 2 3 5 2 4" xfId="31027" xr:uid="{05A04933-6001-42E7-9C11-8DF45653479E}"/>
    <cellStyle name="Normal 5 2 2 2 3 5 2 5" xfId="39474" xr:uid="{A3A77C45-E96C-4410-B127-ACE60386126C}"/>
    <cellStyle name="Normal 5 2 2 2 3 5 2 6" xfId="13280" xr:uid="{AB667729-147D-4F42-B3D1-369E889DD71B}"/>
    <cellStyle name="Normal 5 2 2 2 3 5 3" xfId="6026" xr:uid="{00000000-0005-0000-0000-000068170000}"/>
    <cellStyle name="Normal 5 2 2 2 3 5 3 2" xfId="24652" xr:uid="{4CAC8546-64A2-45AF-9A6F-2622CFCE4B52}"/>
    <cellStyle name="Normal 5 2 2 2 3 5 3 3" xfId="33099" xr:uid="{4ECD65F3-0A5A-4FF5-A4B3-1ECB43364489}"/>
    <cellStyle name="Normal 5 2 2 2 3 5 3 4" xfId="41546" xr:uid="{795EB653-DEE3-47E0-A068-DEB8B89EA227}"/>
    <cellStyle name="Normal 5 2 2 2 3 5 3 5" xfId="15352" xr:uid="{60F3FE4E-4E27-42AB-AF70-C0AE53521796}"/>
    <cellStyle name="Normal 5 2 2 2 3 5 4" xfId="20435" xr:uid="{06C92FC7-CA3D-4F48-A7DC-0CE7A597127D}"/>
    <cellStyle name="Normal 5 2 2 2 3 5 5" xfId="28882" xr:uid="{FCD13BE8-85C7-4A39-8364-84F00DA92427}"/>
    <cellStyle name="Normal 5 2 2 2 3 5 6" xfId="37329" xr:uid="{28C7AE1B-702F-415B-B7D3-A48EABFE48EF}"/>
    <cellStyle name="Normal 5 2 2 2 3 5 7" xfId="11135" xr:uid="{42DAE1C2-1DBA-476B-AE15-556C76DE0852}"/>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2 2 2" xfId="27210" xr:uid="{E4F3EB71-E47E-48BA-9E50-16EFE7BA2712}"/>
    <cellStyle name="Normal 5 2 2 2 3 6 2 2 3" xfId="35657" xr:uid="{F2624997-4E0B-4FFC-A3C4-26EA24575A1C}"/>
    <cellStyle name="Normal 5 2 2 2 3 6 2 2 4" xfId="44104" xr:uid="{6C24DDF0-8C01-49FE-8E74-331F57D3545D}"/>
    <cellStyle name="Normal 5 2 2 2 3 6 2 2 5" xfId="17910" xr:uid="{41FA5C47-6F71-48BA-A6F2-BAE2E7202046}"/>
    <cellStyle name="Normal 5 2 2 2 3 6 2 3" xfId="22993" xr:uid="{9E572758-0812-4EDE-ADC4-A57163FC0415}"/>
    <cellStyle name="Normal 5 2 2 2 3 6 2 4" xfId="31440" xr:uid="{EA98B124-B551-4480-B22A-E2871EB6AEC9}"/>
    <cellStyle name="Normal 5 2 2 2 3 6 2 5" xfId="39887" xr:uid="{701616D9-F814-4334-8404-F1B7AA53C360}"/>
    <cellStyle name="Normal 5 2 2 2 3 6 2 6" xfId="13693" xr:uid="{64525AEE-F842-42E5-B1ED-3F4921694BC7}"/>
    <cellStyle name="Normal 5 2 2 2 3 6 3" xfId="6439" xr:uid="{00000000-0005-0000-0000-00006C170000}"/>
    <cellStyle name="Normal 5 2 2 2 3 6 3 2" xfId="25065" xr:uid="{7065A710-B9D1-4801-98A6-34FE29C46288}"/>
    <cellStyle name="Normal 5 2 2 2 3 6 3 3" xfId="33512" xr:uid="{E0167940-31CA-40CA-87FD-C35F5161C64E}"/>
    <cellStyle name="Normal 5 2 2 2 3 6 3 4" xfId="41959" xr:uid="{2C67546A-E6CF-42AF-9980-42B78FD48061}"/>
    <cellStyle name="Normal 5 2 2 2 3 6 3 5" xfId="15765" xr:uid="{A6349FB9-931F-4B36-BF91-CA68B554BC67}"/>
    <cellStyle name="Normal 5 2 2 2 3 6 4" xfId="20848" xr:uid="{0E24CC92-185B-4696-82FD-1F554A52277D}"/>
    <cellStyle name="Normal 5 2 2 2 3 6 5" xfId="29295" xr:uid="{E4270B61-2553-4100-BBA8-6F3B7C563F56}"/>
    <cellStyle name="Normal 5 2 2 2 3 6 6" xfId="37742" xr:uid="{7B795A25-80CB-46D9-88F2-6B29475188EE}"/>
    <cellStyle name="Normal 5 2 2 2 3 6 7" xfId="11548" xr:uid="{369251AE-B359-4B9B-BA86-5B85661B3B5E}"/>
    <cellStyle name="Normal 5 2 2 2 3 7" xfId="2569" xr:uid="{00000000-0005-0000-0000-00006D170000}"/>
    <cellStyle name="Normal 5 2 2 2 3 7 2" xfId="6852" xr:uid="{00000000-0005-0000-0000-00006E170000}"/>
    <cellStyle name="Normal 5 2 2 2 3 7 2 2" xfId="25478" xr:uid="{A8EBB15A-8AB2-4129-AC72-5488C63E3A86}"/>
    <cellStyle name="Normal 5 2 2 2 3 7 2 3" xfId="33925" xr:uid="{49DA6E61-8CB9-4DA2-8577-D8986C623834}"/>
    <cellStyle name="Normal 5 2 2 2 3 7 2 4" xfId="42372" xr:uid="{9186242F-C01B-4425-BB51-D8492A94E5FE}"/>
    <cellStyle name="Normal 5 2 2 2 3 7 2 5" xfId="16178" xr:uid="{AF928C5E-C734-4FF0-B68B-3002806477D8}"/>
    <cellStyle name="Normal 5 2 2 2 3 7 3" xfId="21261" xr:uid="{3F04C0AD-F4BA-4C14-B52C-B3CFE049FAFE}"/>
    <cellStyle name="Normal 5 2 2 2 3 7 4" xfId="29708" xr:uid="{1CA76C0F-884E-410A-8CCC-B62DF7B88E07}"/>
    <cellStyle name="Normal 5 2 2 2 3 7 5" xfId="38155" xr:uid="{BC299B05-19E9-4614-9D24-382A405909CA}"/>
    <cellStyle name="Normal 5 2 2 2 3 7 6" xfId="11961" xr:uid="{5D8C76AC-5C63-41D0-B3C5-3CD4E7111C7A}"/>
    <cellStyle name="Normal 5 2 2 2 3 8" xfId="4787" xr:uid="{00000000-0005-0000-0000-00006F170000}"/>
    <cellStyle name="Normal 5 2 2 2 3 8 2" xfId="23413" xr:uid="{2C4E6AA7-D372-44BF-9D62-46EE12C0A546}"/>
    <cellStyle name="Normal 5 2 2 2 3 8 3" xfId="31860" xr:uid="{CA707EBE-55D2-4FAF-92E7-E1A6BBD50774}"/>
    <cellStyle name="Normal 5 2 2 2 3 8 4" xfId="40307" xr:uid="{AB1167C7-7D2C-470E-8E12-0FCCE0E7547D}"/>
    <cellStyle name="Normal 5 2 2 2 3 8 5" xfId="14113" xr:uid="{31A954BF-F6B8-4F83-B679-A0AB2A87588A}"/>
    <cellStyle name="Normal 5 2 2 2 3 9" xfId="8874" xr:uid="{D7CEB9F3-DFA5-483F-B08A-C4A582DD7FE8}"/>
    <cellStyle name="Normal 5 2 2 2 3 9 2" xfId="18198" xr:uid="{02C9B9B4-EC30-415A-BDDE-7BDAD863B645}"/>
    <cellStyle name="Normal 5 2 2 2 4" xfId="416" xr:uid="{00000000-0005-0000-0000-000070170000}"/>
    <cellStyle name="Normal 5 2 2 2 4 10" xfId="27645" xr:uid="{9EF57CD2-CB48-4AC9-89AD-DAA516B720DB}"/>
    <cellStyle name="Normal 5 2 2 2 4 11" xfId="36092" xr:uid="{EC2514FA-E725-4C1B-9DA8-FCD29271BF3F}"/>
    <cellStyle name="Normal 5 2 2 2 4 12" xfId="9898" xr:uid="{59DFD4D6-9A8D-4570-A185-1FC35460D979}"/>
    <cellStyle name="Normal 5 2 2 2 4 2" xfId="890" xr:uid="{00000000-0005-0000-0000-000071170000}"/>
    <cellStyle name="Normal 5 2 2 2 4 2 2" xfId="3125" xr:uid="{00000000-0005-0000-0000-000072170000}"/>
    <cellStyle name="Normal 5 2 2 2 4 2 2 2" xfId="7347" xr:uid="{00000000-0005-0000-0000-000073170000}"/>
    <cellStyle name="Normal 5 2 2 2 4 2 2 2 2" xfId="25973" xr:uid="{E8AC73F3-141E-4CB9-B1FC-D13AAEF8F197}"/>
    <cellStyle name="Normal 5 2 2 2 4 2 2 2 3" xfId="34420" xr:uid="{B4E6304F-E9DE-42D1-9A73-C62958EDBAB6}"/>
    <cellStyle name="Normal 5 2 2 2 4 2 2 2 4" xfId="42867" xr:uid="{0DA33F3E-7E80-4C12-9020-CCDFED687F00}"/>
    <cellStyle name="Normal 5 2 2 2 4 2 2 2 5" xfId="16673" xr:uid="{BC5F8862-8A10-478C-9918-927D3E116FFE}"/>
    <cellStyle name="Normal 5 2 2 2 4 2 2 3" xfId="21756" xr:uid="{905A7B16-1649-40AF-94D6-2F7772B8639D}"/>
    <cellStyle name="Normal 5 2 2 2 4 2 2 4" xfId="30203" xr:uid="{FB841CCA-0F3F-4261-A381-7457742659EA}"/>
    <cellStyle name="Normal 5 2 2 2 4 2 2 5" xfId="38650" xr:uid="{583B147F-C3AE-409A-8780-27D4EF2D55E8}"/>
    <cellStyle name="Normal 5 2 2 2 4 2 2 6" xfId="12456" xr:uid="{E7F6F160-9A2A-4867-BC48-EC1F9247EEEA}"/>
    <cellStyle name="Normal 5 2 2 2 4 2 3" xfId="5202" xr:uid="{00000000-0005-0000-0000-000074170000}"/>
    <cellStyle name="Normal 5 2 2 2 4 2 3 2" xfId="23828" xr:uid="{4DC1A80B-F50A-4FD4-B83A-59647EDC64C1}"/>
    <cellStyle name="Normal 5 2 2 2 4 2 3 3" xfId="32275" xr:uid="{A5014032-0CDC-4022-900E-918ECF07860C}"/>
    <cellStyle name="Normal 5 2 2 2 4 2 3 4" xfId="40722" xr:uid="{DE422B20-1AAC-447C-BAC8-5AB7E1000178}"/>
    <cellStyle name="Normal 5 2 2 2 4 2 3 5" xfId="14528" xr:uid="{0079C21A-B73E-4775-A558-DED548ADAF3B}"/>
    <cellStyle name="Normal 5 2 2 2 4 2 4" xfId="9403" xr:uid="{DDA7C497-662A-4A76-A324-A27E6A0A2B3D}"/>
    <cellStyle name="Normal 5 2 2 2 4 2 4 2" xfId="18719" xr:uid="{24795487-8E9A-4399-B9C4-BFBF946C6458}"/>
    <cellStyle name="Normal 5 2 2 2 4 2 5" xfId="19611" xr:uid="{33B53D41-03B0-42EB-B7FB-78D5205F5E3B}"/>
    <cellStyle name="Normal 5 2 2 2 4 2 6" xfId="28058" xr:uid="{48D3C5BE-8692-4CA7-910E-2FB4980B74DF}"/>
    <cellStyle name="Normal 5 2 2 2 4 2 7" xfId="36505" xr:uid="{DA742788-8AD0-45EA-9A8B-DFDFC6059756}"/>
    <cellStyle name="Normal 5 2 2 2 4 2 8" xfId="10311" xr:uid="{288C0CAC-C85C-4C7B-8243-92FEB20A7A65}"/>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2 2 2" xfId="26386" xr:uid="{751A85B0-F914-44B3-885D-F7CA1D7DFEAF}"/>
    <cellStyle name="Normal 5 2 2 2 4 3 2 2 3" xfId="34833" xr:uid="{0569A763-D4BA-4985-8FE0-16D2DA408C45}"/>
    <cellStyle name="Normal 5 2 2 2 4 3 2 2 4" xfId="43280" xr:uid="{856B83AC-8998-47E8-83FF-79F9435B73B0}"/>
    <cellStyle name="Normal 5 2 2 2 4 3 2 2 5" xfId="17086" xr:uid="{A175D3AB-C238-4FA1-8F9A-F6A7BE681C55}"/>
    <cellStyle name="Normal 5 2 2 2 4 3 2 3" xfId="22169" xr:uid="{E0D89114-20E5-4F95-B846-07E8E00268F9}"/>
    <cellStyle name="Normal 5 2 2 2 4 3 2 4" xfId="30616" xr:uid="{E762F1EC-D130-40EE-ADAC-7B6FB8FB7660}"/>
    <cellStyle name="Normal 5 2 2 2 4 3 2 5" xfId="39063" xr:uid="{4AC99071-A17E-4B64-B78D-22946E1C6CA6}"/>
    <cellStyle name="Normal 5 2 2 2 4 3 2 6" xfId="12869" xr:uid="{17036041-AFB5-45B2-9359-2909246AB493}"/>
    <cellStyle name="Normal 5 2 2 2 4 3 3" xfId="5615" xr:uid="{00000000-0005-0000-0000-000078170000}"/>
    <cellStyle name="Normal 5 2 2 2 4 3 3 2" xfId="24241" xr:uid="{F2E33048-E865-4FCC-BCF7-1CA216832508}"/>
    <cellStyle name="Normal 5 2 2 2 4 3 3 3" xfId="32688" xr:uid="{3947CFD8-0C89-46B6-B32D-45D739CEC794}"/>
    <cellStyle name="Normal 5 2 2 2 4 3 3 4" xfId="41135" xr:uid="{22B23D09-1CDB-446F-989B-4A9F037FCAE8}"/>
    <cellStyle name="Normal 5 2 2 2 4 3 3 5" xfId="14941" xr:uid="{B02517B3-DA0A-4537-A89E-FB7182273506}"/>
    <cellStyle name="Normal 5 2 2 2 4 3 4" xfId="20024" xr:uid="{5BB810B0-6DB9-4238-B1BC-52B2E93566A1}"/>
    <cellStyle name="Normal 5 2 2 2 4 3 5" xfId="28471" xr:uid="{E07404D5-98B8-4EA9-BD0A-A328D915928D}"/>
    <cellStyle name="Normal 5 2 2 2 4 3 6" xfId="36918" xr:uid="{D11576B3-462F-40EA-B2DD-52C127A3087A}"/>
    <cellStyle name="Normal 5 2 2 2 4 3 7" xfId="10724" xr:uid="{30582774-F376-4241-8B35-2AEE033014C8}"/>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2 2 2" xfId="26799" xr:uid="{1C27D630-6151-4BF2-A0AE-0300D2080CD3}"/>
    <cellStyle name="Normal 5 2 2 2 4 4 2 2 3" xfId="35246" xr:uid="{0FBC1E67-8F62-49A2-9AA2-E90E52C118E7}"/>
    <cellStyle name="Normal 5 2 2 2 4 4 2 2 4" xfId="43693" xr:uid="{9F5D79A5-2059-4102-8A8E-149B0D538F26}"/>
    <cellStyle name="Normal 5 2 2 2 4 4 2 2 5" xfId="17499" xr:uid="{A42D627F-80C3-46AA-A454-0ECD26A3B447}"/>
    <cellStyle name="Normal 5 2 2 2 4 4 2 3" xfId="22582" xr:uid="{2A2E992A-72BA-4ED8-A8BB-8E7CDCEBF103}"/>
    <cellStyle name="Normal 5 2 2 2 4 4 2 4" xfId="31029" xr:uid="{8DA5EFD1-41E7-45A4-97B6-3F02A6F2B468}"/>
    <cellStyle name="Normal 5 2 2 2 4 4 2 5" xfId="39476" xr:uid="{F2C40452-B0E6-4620-B37B-604FD2CD3D92}"/>
    <cellStyle name="Normal 5 2 2 2 4 4 2 6" xfId="13282" xr:uid="{CD8071F7-DDC5-4035-B471-6CE3AEBD1F59}"/>
    <cellStyle name="Normal 5 2 2 2 4 4 3" xfId="6028" xr:uid="{00000000-0005-0000-0000-00007C170000}"/>
    <cellStyle name="Normal 5 2 2 2 4 4 3 2" xfId="24654" xr:uid="{6F6446B8-E037-4E2D-B535-9AD12430250A}"/>
    <cellStyle name="Normal 5 2 2 2 4 4 3 3" xfId="33101" xr:uid="{DC3D721F-4F8C-48BD-A270-A2DD418DB493}"/>
    <cellStyle name="Normal 5 2 2 2 4 4 3 4" xfId="41548" xr:uid="{F3702E41-4B60-4256-B635-82E52F7D36F4}"/>
    <cellStyle name="Normal 5 2 2 2 4 4 3 5" xfId="15354" xr:uid="{F9D932D4-2A4E-4ECB-9C27-587825783D15}"/>
    <cellStyle name="Normal 5 2 2 2 4 4 4" xfId="20437" xr:uid="{6960B81A-D52F-4234-BBB1-9331D67461CF}"/>
    <cellStyle name="Normal 5 2 2 2 4 4 5" xfId="28884" xr:uid="{01F1A8FE-D78B-4C25-9B0B-C6ED7F17D648}"/>
    <cellStyle name="Normal 5 2 2 2 4 4 6" xfId="37331" xr:uid="{D6680615-18FF-4A59-97C6-A08BEA6D9541}"/>
    <cellStyle name="Normal 5 2 2 2 4 4 7" xfId="11137" xr:uid="{446F7863-62D7-4D9A-A27A-93BDB9EEA887}"/>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2 2 2" xfId="27212" xr:uid="{DB50F9F4-D482-45E3-8AA3-722B3860C6D0}"/>
    <cellStyle name="Normal 5 2 2 2 4 5 2 2 3" xfId="35659" xr:uid="{5ABCB12C-5A6B-4DDC-9AB4-D7F78324353D}"/>
    <cellStyle name="Normal 5 2 2 2 4 5 2 2 4" xfId="44106" xr:uid="{00D5DDA2-982D-49FF-B6E8-F926051DB1B9}"/>
    <cellStyle name="Normal 5 2 2 2 4 5 2 2 5" xfId="17912" xr:uid="{81C38A74-7832-46C1-A2F6-01A92B297B50}"/>
    <cellStyle name="Normal 5 2 2 2 4 5 2 3" xfId="22995" xr:uid="{FC34C22F-96E0-477E-96AB-46147DE27D01}"/>
    <cellStyle name="Normal 5 2 2 2 4 5 2 4" xfId="31442" xr:uid="{0921F872-A4C8-4DE2-BCDF-8525B9C54FE8}"/>
    <cellStyle name="Normal 5 2 2 2 4 5 2 5" xfId="39889" xr:uid="{C43FF6C7-FCE9-4184-B819-6E38E521738C}"/>
    <cellStyle name="Normal 5 2 2 2 4 5 2 6" xfId="13695" xr:uid="{CEBABE0C-3B8C-4739-8B7E-B88E0FDC92E5}"/>
    <cellStyle name="Normal 5 2 2 2 4 5 3" xfId="6441" xr:uid="{00000000-0005-0000-0000-000080170000}"/>
    <cellStyle name="Normal 5 2 2 2 4 5 3 2" xfId="25067" xr:uid="{8B6FB75A-A574-4676-ACB4-F323D90CF762}"/>
    <cellStyle name="Normal 5 2 2 2 4 5 3 3" xfId="33514" xr:uid="{E657D2BC-3651-4E67-9F4A-D9C140F234F0}"/>
    <cellStyle name="Normal 5 2 2 2 4 5 3 4" xfId="41961" xr:uid="{C7F8381E-8ECB-4842-8F13-BEF332384808}"/>
    <cellStyle name="Normal 5 2 2 2 4 5 3 5" xfId="15767" xr:uid="{341FEC73-9539-40CB-AA38-8905949DE88A}"/>
    <cellStyle name="Normal 5 2 2 2 4 5 4" xfId="20850" xr:uid="{0BD9A793-C5D3-4A07-A326-813558EE4213}"/>
    <cellStyle name="Normal 5 2 2 2 4 5 5" xfId="29297" xr:uid="{41DEB468-176C-4369-BEAD-12BE588FCB7F}"/>
    <cellStyle name="Normal 5 2 2 2 4 5 6" xfId="37744" xr:uid="{1706128F-4B8A-41FA-8782-6E1B15F13F5A}"/>
    <cellStyle name="Normal 5 2 2 2 4 5 7" xfId="11550" xr:uid="{92A6535A-2FB8-4D9C-832D-78079A130AF7}"/>
    <cellStyle name="Normal 5 2 2 2 4 6" xfId="2571" xr:uid="{00000000-0005-0000-0000-000081170000}"/>
    <cellStyle name="Normal 5 2 2 2 4 6 2" xfId="6854" xr:uid="{00000000-0005-0000-0000-000082170000}"/>
    <cellStyle name="Normal 5 2 2 2 4 6 2 2" xfId="25480" xr:uid="{14AF4FCC-A01E-4849-AA2C-7275719A9461}"/>
    <cellStyle name="Normal 5 2 2 2 4 6 2 3" xfId="33927" xr:uid="{0C3634B2-4382-4818-8C07-A367D38DFF04}"/>
    <cellStyle name="Normal 5 2 2 2 4 6 2 4" xfId="42374" xr:uid="{A2CBDB7C-32C8-439C-A57F-3AEA54ABFE4D}"/>
    <cellStyle name="Normal 5 2 2 2 4 6 2 5" xfId="16180" xr:uid="{32556072-EE96-444F-899E-C44D77A3509D}"/>
    <cellStyle name="Normal 5 2 2 2 4 6 3" xfId="21263" xr:uid="{EA29D32B-4214-4659-AAF3-5EE277177B6D}"/>
    <cellStyle name="Normal 5 2 2 2 4 6 4" xfId="29710" xr:uid="{D6A0F375-714F-486D-BB05-3323EC2C10D4}"/>
    <cellStyle name="Normal 5 2 2 2 4 6 5" xfId="38157" xr:uid="{4C3F09B8-2565-4A62-BA29-CA80CDE35DFD}"/>
    <cellStyle name="Normal 5 2 2 2 4 6 6" xfId="11963" xr:uid="{5A04DD0B-6943-45C3-8563-5CE9C3E8AEBD}"/>
    <cellStyle name="Normal 5 2 2 2 4 7" xfId="4789" xr:uid="{00000000-0005-0000-0000-000083170000}"/>
    <cellStyle name="Normal 5 2 2 2 4 7 2" xfId="23415" xr:uid="{24B9A6BC-8B2E-46E6-AEF2-5E31FA3F4848}"/>
    <cellStyle name="Normal 5 2 2 2 4 7 3" xfId="31862" xr:uid="{B5C78D68-5AAB-4EA3-B4F5-CB55A76FBE6C}"/>
    <cellStyle name="Normal 5 2 2 2 4 7 4" xfId="40309" xr:uid="{B5563185-9630-4CC0-8A16-334DCB7D0947}"/>
    <cellStyle name="Normal 5 2 2 2 4 7 5" xfId="14115" xr:uid="{1B01FF85-6AA0-48D1-A892-EF0CFEBA1394}"/>
    <cellStyle name="Normal 5 2 2 2 4 8" xfId="8978" xr:uid="{5B5F86B4-BA0F-43A7-920A-E466FD014739}"/>
    <cellStyle name="Normal 5 2 2 2 4 8 2" xfId="18302" xr:uid="{8D4E23C3-E13A-47D3-89EC-6170E08779EB}"/>
    <cellStyle name="Normal 5 2 2 2 4 9" xfId="19198" xr:uid="{96C20450-ADE2-49AF-9A0B-128D351E84BC}"/>
    <cellStyle name="Normal 5 2 2 2 5" xfId="883" xr:uid="{00000000-0005-0000-0000-000084170000}"/>
    <cellStyle name="Normal 5 2 2 2 5 2" xfId="3118" xr:uid="{00000000-0005-0000-0000-000085170000}"/>
    <cellStyle name="Normal 5 2 2 2 5 2 2" xfId="7340" xr:uid="{00000000-0005-0000-0000-000086170000}"/>
    <cellStyle name="Normal 5 2 2 2 5 2 2 2" xfId="25966" xr:uid="{FDAC9279-9C3B-423D-9F51-BF1C87FE3099}"/>
    <cellStyle name="Normal 5 2 2 2 5 2 2 3" xfId="34413" xr:uid="{76E75484-330B-457B-B09E-72DDD1C5AA10}"/>
    <cellStyle name="Normal 5 2 2 2 5 2 2 4" xfId="42860" xr:uid="{5163C4CE-238D-471A-9F3F-C74D7A267F33}"/>
    <cellStyle name="Normal 5 2 2 2 5 2 2 5" xfId="16666" xr:uid="{DE2327FB-98B0-4BD1-9681-D3806179F688}"/>
    <cellStyle name="Normal 5 2 2 2 5 2 3" xfId="21749" xr:uid="{D2BD9EBF-15B8-40DA-B246-DD72A9EE0164}"/>
    <cellStyle name="Normal 5 2 2 2 5 2 4" xfId="30196" xr:uid="{6A0C4EAF-16FB-4197-94D3-64283EEBE382}"/>
    <cellStyle name="Normal 5 2 2 2 5 2 5" xfId="38643" xr:uid="{E041751B-F8AE-4434-9291-63702A5F8C1F}"/>
    <cellStyle name="Normal 5 2 2 2 5 2 6" xfId="12449" xr:uid="{3CF38EDA-4BA3-4BBC-BB9C-A752F3EEB36A}"/>
    <cellStyle name="Normal 5 2 2 2 5 3" xfId="5195" xr:uid="{00000000-0005-0000-0000-000087170000}"/>
    <cellStyle name="Normal 5 2 2 2 5 3 2" xfId="23821" xr:uid="{A875549C-D626-4342-8862-07BA43933856}"/>
    <cellStyle name="Normal 5 2 2 2 5 3 3" xfId="32268" xr:uid="{02A8CFB0-175A-4762-BD13-1091983E5145}"/>
    <cellStyle name="Normal 5 2 2 2 5 3 4" xfId="40715" xr:uid="{532E0641-8409-4106-9084-9E6EF3024FCD}"/>
    <cellStyle name="Normal 5 2 2 2 5 3 5" xfId="14521" xr:uid="{AABC4DF6-B107-431C-BD91-E1090550FC49}"/>
    <cellStyle name="Normal 5 2 2 2 5 4" xfId="9195" xr:uid="{A7E71EA0-2CA4-4918-870E-A32EEF45C61A}"/>
    <cellStyle name="Normal 5 2 2 2 5 4 2" xfId="18512" xr:uid="{202E2852-AA1D-441E-8A77-E8A0A7DFFB6C}"/>
    <cellStyle name="Normal 5 2 2 2 5 5" xfId="19604" xr:uid="{1FC1CFB5-D806-4176-8486-E14145B92F4E}"/>
    <cellStyle name="Normal 5 2 2 2 5 6" xfId="28051" xr:uid="{CF82BED3-AFFA-47C1-A0C7-A47F4ACD8228}"/>
    <cellStyle name="Normal 5 2 2 2 5 7" xfId="36498" xr:uid="{837EDC13-CB84-46BB-B903-6923808B1E4B}"/>
    <cellStyle name="Normal 5 2 2 2 5 8" xfId="10304" xr:uid="{348F8AB0-4F99-4C20-8035-E14E8BB96374}"/>
    <cellStyle name="Normal 5 2 2 2 6" xfId="1301" xr:uid="{00000000-0005-0000-0000-000088170000}"/>
    <cellStyle name="Normal 5 2 2 2 6 2" xfId="3531" xr:uid="{00000000-0005-0000-0000-000089170000}"/>
    <cellStyle name="Normal 5 2 2 2 6 2 2" xfId="7753" xr:uid="{00000000-0005-0000-0000-00008A170000}"/>
    <cellStyle name="Normal 5 2 2 2 6 2 2 2" xfId="26379" xr:uid="{EA4F9EB4-1158-424B-9840-052B89800D72}"/>
    <cellStyle name="Normal 5 2 2 2 6 2 2 3" xfId="34826" xr:uid="{5F022DB1-3954-4502-8644-CF1AE8A4D492}"/>
    <cellStyle name="Normal 5 2 2 2 6 2 2 4" xfId="43273" xr:uid="{E0E434B4-0C0E-4BD9-8FB4-2011A2CF9963}"/>
    <cellStyle name="Normal 5 2 2 2 6 2 2 5" xfId="17079" xr:uid="{A516FE07-45D5-4A52-9E64-E9CF8A9EFCE1}"/>
    <cellStyle name="Normal 5 2 2 2 6 2 3" xfId="22162" xr:uid="{3D2ACFD2-D7B1-4437-9E98-B33D99BC89E8}"/>
    <cellStyle name="Normal 5 2 2 2 6 2 4" xfId="30609" xr:uid="{5B587E4D-FE5A-4EE3-8984-677E00BE052F}"/>
    <cellStyle name="Normal 5 2 2 2 6 2 5" xfId="39056" xr:uid="{7B60CBE7-BC8E-4B6F-95D5-66FE791D1DEC}"/>
    <cellStyle name="Normal 5 2 2 2 6 2 6" xfId="12862" xr:uid="{F684D01C-75DD-4C04-9076-043CF597DE68}"/>
    <cellStyle name="Normal 5 2 2 2 6 3" xfId="5608" xr:uid="{00000000-0005-0000-0000-00008B170000}"/>
    <cellStyle name="Normal 5 2 2 2 6 3 2" xfId="24234" xr:uid="{A2CB44D2-EA49-4ADB-94EC-41E3D9CD3331}"/>
    <cellStyle name="Normal 5 2 2 2 6 3 3" xfId="32681" xr:uid="{55DC2404-8D5E-44D6-B3C2-7A933458C97E}"/>
    <cellStyle name="Normal 5 2 2 2 6 3 4" xfId="41128" xr:uid="{3F10AE95-544C-483E-95B9-0DEDAF7B1718}"/>
    <cellStyle name="Normal 5 2 2 2 6 3 5" xfId="14934" xr:uid="{D21B7FD6-9D45-49EF-AF82-CCD5D59088DA}"/>
    <cellStyle name="Normal 5 2 2 2 6 4" xfId="20017" xr:uid="{54895493-43C4-4AB4-B502-6B7A2359A83A}"/>
    <cellStyle name="Normal 5 2 2 2 6 5" xfId="28464" xr:uid="{775DE633-79E7-4C60-9F70-EF5A2FC35EAA}"/>
    <cellStyle name="Normal 5 2 2 2 6 6" xfId="36911" xr:uid="{9C365292-A1BA-43C1-A90A-56F823062A9F}"/>
    <cellStyle name="Normal 5 2 2 2 6 7" xfId="10717" xr:uid="{A22F994A-DE75-48C3-946B-E94305EE0AE4}"/>
    <cellStyle name="Normal 5 2 2 2 7" xfId="1714" xr:uid="{00000000-0005-0000-0000-00008C170000}"/>
    <cellStyle name="Normal 5 2 2 2 7 2" xfId="3944" xr:uid="{00000000-0005-0000-0000-00008D170000}"/>
    <cellStyle name="Normal 5 2 2 2 7 2 2" xfId="8166" xr:uid="{00000000-0005-0000-0000-00008E170000}"/>
    <cellStyle name="Normal 5 2 2 2 7 2 2 2" xfId="26792" xr:uid="{9ADB4601-6198-41F1-BF2B-409F6B159908}"/>
    <cellStyle name="Normal 5 2 2 2 7 2 2 3" xfId="35239" xr:uid="{6EEF59AB-C93C-40C9-9C98-56CA77E9AC35}"/>
    <cellStyle name="Normal 5 2 2 2 7 2 2 4" xfId="43686" xr:uid="{BB37CF8F-1557-4660-9414-64C0BC1255DD}"/>
    <cellStyle name="Normal 5 2 2 2 7 2 2 5" xfId="17492" xr:uid="{BD20F5CB-2A0C-469F-A768-6A64E218DFF1}"/>
    <cellStyle name="Normal 5 2 2 2 7 2 3" xfId="22575" xr:uid="{C68D2E13-F812-418E-82A9-68D8EB4ED6D6}"/>
    <cellStyle name="Normal 5 2 2 2 7 2 4" xfId="31022" xr:uid="{3D8C0C62-DD21-4364-86E1-40F7A9DE374D}"/>
    <cellStyle name="Normal 5 2 2 2 7 2 5" xfId="39469" xr:uid="{DEEDA583-F89A-4502-BA34-4A8BFFAA9402}"/>
    <cellStyle name="Normal 5 2 2 2 7 2 6" xfId="13275" xr:uid="{8EE5465A-558C-4436-ABA4-1FE5D3AE874D}"/>
    <cellStyle name="Normal 5 2 2 2 7 3" xfId="6021" xr:uid="{00000000-0005-0000-0000-00008F170000}"/>
    <cellStyle name="Normal 5 2 2 2 7 3 2" xfId="24647" xr:uid="{5AABF1A3-BF68-447F-9745-106CE55C2B19}"/>
    <cellStyle name="Normal 5 2 2 2 7 3 3" xfId="33094" xr:uid="{9EF15FED-0BBE-4092-91D1-9D3F24801F81}"/>
    <cellStyle name="Normal 5 2 2 2 7 3 4" xfId="41541" xr:uid="{496938D3-952D-45D4-A3C6-004458BE8FD6}"/>
    <cellStyle name="Normal 5 2 2 2 7 3 5" xfId="15347" xr:uid="{D14BF6B2-BB7C-467D-A34A-9E21F98A38E2}"/>
    <cellStyle name="Normal 5 2 2 2 7 4" xfId="20430" xr:uid="{26E622F5-59D5-4EDC-B316-AB22BD93C36A}"/>
    <cellStyle name="Normal 5 2 2 2 7 5" xfId="28877" xr:uid="{3E6DA325-CE29-4293-A434-70FD9E52B38A}"/>
    <cellStyle name="Normal 5 2 2 2 7 6" xfId="37324" xr:uid="{BBB1BABC-2B3B-4085-8394-009394F68641}"/>
    <cellStyle name="Normal 5 2 2 2 7 7" xfId="11130" xr:uid="{4C26DDD2-3BC3-439C-AE9D-E06E577ECF31}"/>
    <cellStyle name="Normal 5 2 2 2 8" xfId="2128" xr:uid="{00000000-0005-0000-0000-000090170000}"/>
    <cellStyle name="Normal 5 2 2 2 8 2" xfId="4357" xr:uid="{00000000-0005-0000-0000-000091170000}"/>
    <cellStyle name="Normal 5 2 2 2 8 2 2" xfId="8579" xr:uid="{00000000-0005-0000-0000-000092170000}"/>
    <cellStyle name="Normal 5 2 2 2 8 2 2 2" xfId="27205" xr:uid="{63AF9659-D621-40D6-898C-ABF5C8E2E8CF}"/>
    <cellStyle name="Normal 5 2 2 2 8 2 2 3" xfId="35652" xr:uid="{DEB00DFB-FC97-437A-A3A9-88EC8A46F711}"/>
    <cellStyle name="Normal 5 2 2 2 8 2 2 4" xfId="44099" xr:uid="{C9FBFCD1-1578-4119-B9BB-65D58072C778}"/>
    <cellStyle name="Normal 5 2 2 2 8 2 2 5" xfId="17905" xr:uid="{778FFE27-F619-4B0A-93FA-7E0127A029FD}"/>
    <cellStyle name="Normal 5 2 2 2 8 2 3" xfId="22988" xr:uid="{8DA6017A-527F-4C81-937C-6C5C5525A3E2}"/>
    <cellStyle name="Normal 5 2 2 2 8 2 4" xfId="31435" xr:uid="{2B7AA945-5AB6-4B9B-B4CA-E09A34E2D58E}"/>
    <cellStyle name="Normal 5 2 2 2 8 2 5" xfId="39882" xr:uid="{72765929-E9FC-4085-848D-F47C725CADEE}"/>
    <cellStyle name="Normal 5 2 2 2 8 2 6" xfId="13688" xr:uid="{2568E191-D11E-4A40-92CB-9CC64B79754D}"/>
    <cellStyle name="Normal 5 2 2 2 8 3" xfId="6434" xr:uid="{00000000-0005-0000-0000-000093170000}"/>
    <cellStyle name="Normal 5 2 2 2 8 3 2" xfId="25060" xr:uid="{9F1DAE4C-93EF-44CB-93D2-ED438471AAA5}"/>
    <cellStyle name="Normal 5 2 2 2 8 3 3" xfId="33507" xr:uid="{D0E3D185-5C82-4C76-9009-3F348802E4D0}"/>
    <cellStyle name="Normal 5 2 2 2 8 3 4" xfId="41954" xr:uid="{AB219E82-F110-4B2B-8FB8-E2DDC7A1B7DA}"/>
    <cellStyle name="Normal 5 2 2 2 8 3 5" xfId="15760" xr:uid="{8E040ACD-6812-418D-AD10-D97E7838E008}"/>
    <cellStyle name="Normal 5 2 2 2 8 4" xfId="20843" xr:uid="{DD61B28A-1DB7-4433-BD2B-7527B7CD043C}"/>
    <cellStyle name="Normal 5 2 2 2 8 5" xfId="29290" xr:uid="{A807E659-71B3-4E59-A176-6025A3601894}"/>
    <cellStyle name="Normal 5 2 2 2 8 6" xfId="37737" xr:uid="{E7CC1248-A415-462C-A377-869D55B56554}"/>
    <cellStyle name="Normal 5 2 2 2 8 7" xfId="11543" xr:uid="{68169C49-5EB1-494E-AB42-36CCBF245745}"/>
    <cellStyle name="Normal 5 2 2 2 9" xfId="2564" xr:uid="{00000000-0005-0000-0000-000094170000}"/>
    <cellStyle name="Normal 5 2 2 2 9 2" xfId="6847" xr:uid="{00000000-0005-0000-0000-000095170000}"/>
    <cellStyle name="Normal 5 2 2 2 9 2 2" xfId="25473" xr:uid="{3C96231D-0BA3-409C-BBF1-8C9A4B80E38E}"/>
    <cellStyle name="Normal 5 2 2 2 9 2 3" xfId="33920" xr:uid="{4C29CB8F-2763-40F8-B99E-C9F2C620204B}"/>
    <cellStyle name="Normal 5 2 2 2 9 2 4" xfId="42367" xr:uid="{3091AA82-37B1-4883-BC7D-CB79BB124B8F}"/>
    <cellStyle name="Normal 5 2 2 2 9 2 5" xfId="16173" xr:uid="{25A309CB-5B51-4C3C-8F7E-E87FA2E0EFB7}"/>
    <cellStyle name="Normal 5 2 2 2 9 3" xfId="21256" xr:uid="{AE055E06-9943-4CB1-B7CC-7D6457AAAB38}"/>
    <cellStyle name="Normal 5 2 2 2 9 4" xfId="29703" xr:uid="{1315A21D-98D2-42F4-8298-9B4E1869DF50}"/>
    <cellStyle name="Normal 5 2 2 2 9 5" xfId="38150" xr:uid="{3566B4F0-DC97-47E8-B47F-6450FAB6C29D}"/>
    <cellStyle name="Normal 5 2 2 2 9 6" xfId="11956" xr:uid="{FE9C30EB-E87F-4C93-8C91-FE4C11259CC1}"/>
    <cellStyle name="Normal 5 2 2 3" xfId="417" xr:uid="{00000000-0005-0000-0000-000096170000}"/>
    <cellStyle name="Normal 5 2 2 3 10" xfId="8828" xr:uid="{5CED8211-F967-469B-812B-9DF6FC250177}"/>
    <cellStyle name="Normal 5 2 2 3 10 2" xfId="18152" xr:uid="{CCD8FEC6-749B-4D82-84DF-90962AC6BDC5}"/>
    <cellStyle name="Normal 5 2 2 3 11" xfId="19199" xr:uid="{BBE9ADA4-987E-4FFD-A11D-6A0C9A5EF723}"/>
    <cellStyle name="Normal 5 2 2 3 12" xfId="27646" xr:uid="{4535A2BF-F7DA-4172-9A9E-51FCB5A81067}"/>
    <cellStyle name="Normal 5 2 2 3 13" xfId="36093" xr:uid="{94CBF2B1-57EF-4F66-8926-C3C41C5C1F6E}"/>
    <cellStyle name="Normal 5 2 2 3 14" xfId="9899" xr:uid="{3B3B3F6C-98A4-4A3E-A3B4-D235ADF8844B}"/>
    <cellStyle name="Normal 5 2 2 3 2" xfId="418" xr:uid="{00000000-0005-0000-0000-000097170000}"/>
    <cellStyle name="Normal 5 2 2 3 2 10" xfId="19200" xr:uid="{477AB7E4-9C28-4800-A1B8-BDD8B000E8C7}"/>
    <cellStyle name="Normal 5 2 2 3 2 11" xfId="27647" xr:uid="{4740C492-75E5-4217-8691-FE86F08E56BB}"/>
    <cellStyle name="Normal 5 2 2 3 2 12" xfId="36094" xr:uid="{D3BB24FA-DB15-4F6A-9DED-097443BA24B5}"/>
    <cellStyle name="Normal 5 2 2 3 2 13" xfId="9900" xr:uid="{75A69E0B-BDA1-4E9E-9CE1-7130A34FB385}"/>
    <cellStyle name="Normal 5 2 2 3 2 2" xfId="419" xr:uid="{00000000-0005-0000-0000-000098170000}"/>
    <cellStyle name="Normal 5 2 2 3 2 2 10" xfId="27648" xr:uid="{F432685F-6513-4DF9-9223-966EE7A4F240}"/>
    <cellStyle name="Normal 5 2 2 3 2 2 11" xfId="36095" xr:uid="{7EF08385-515B-4B1F-BF4C-E15C11CC0EC1}"/>
    <cellStyle name="Normal 5 2 2 3 2 2 12" xfId="9901" xr:uid="{B6E76A40-319A-4410-9686-7D0D1CBA7934}"/>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2 2 2" xfId="25976" xr:uid="{D4AF44FC-A722-4F3C-9CFA-8B1D9A72AB18}"/>
    <cellStyle name="Normal 5 2 2 3 2 2 2 2 2 3" xfId="34423" xr:uid="{82161969-4833-4B59-B902-2BDBA5B6EC08}"/>
    <cellStyle name="Normal 5 2 2 3 2 2 2 2 2 4" xfId="42870" xr:uid="{D4112F39-751E-4C07-ADE6-78C9412B9A97}"/>
    <cellStyle name="Normal 5 2 2 3 2 2 2 2 2 5" xfId="16676" xr:uid="{12738C82-10A1-45B5-ADC8-95B06F850D75}"/>
    <cellStyle name="Normal 5 2 2 3 2 2 2 2 3" xfId="21759" xr:uid="{820ADF39-FA74-4604-998D-6613DD96EC54}"/>
    <cellStyle name="Normal 5 2 2 3 2 2 2 2 4" xfId="30206" xr:uid="{B17377C7-545D-4EC6-923F-03386E6BAD9E}"/>
    <cellStyle name="Normal 5 2 2 3 2 2 2 2 5" xfId="38653" xr:uid="{73A1CB5F-50FB-4F2E-8C50-D0F254E6638E}"/>
    <cellStyle name="Normal 5 2 2 3 2 2 2 2 6" xfId="12459" xr:uid="{C38317F5-6829-4780-ACF2-6CEB8C0A881E}"/>
    <cellStyle name="Normal 5 2 2 3 2 2 2 3" xfId="5205" xr:uid="{00000000-0005-0000-0000-00009C170000}"/>
    <cellStyle name="Normal 5 2 2 3 2 2 2 3 2" xfId="23831" xr:uid="{1CEA008F-3BFC-481A-A6DC-8B96CF9DF8D2}"/>
    <cellStyle name="Normal 5 2 2 3 2 2 2 3 3" xfId="32278" xr:uid="{02A21DC0-82A4-4637-B637-1C099F04EE93}"/>
    <cellStyle name="Normal 5 2 2 3 2 2 2 3 4" xfId="40725" xr:uid="{6D624A0A-B0D8-46A6-9921-2BC1799BA826}"/>
    <cellStyle name="Normal 5 2 2 3 2 2 2 3 5" xfId="14531" xr:uid="{9C36EFB5-19B5-496D-BAD4-542301269F68}"/>
    <cellStyle name="Normal 5 2 2 3 2 2 2 4" xfId="9563" xr:uid="{804E641C-B5FA-46A3-B805-C1D4AF390C28}"/>
    <cellStyle name="Normal 5 2 2 3 2 2 2 4 2" xfId="18879" xr:uid="{5E887F7C-04FE-4708-9D67-D3546ADB5F80}"/>
    <cellStyle name="Normal 5 2 2 3 2 2 2 5" xfId="19614" xr:uid="{3EB2FC82-EEDF-4F6F-B3E5-E9035F0B0BC4}"/>
    <cellStyle name="Normal 5 2 2 3 2 2 2 6" xfId="28061" xr:uid="{6AA19AA3-FAAD-443E-8F6A-B6CF48A35BA6}"/>
    <cellStyle name="Normal 5 2 2 3 2 2 2 7" xfId="36508" xr:uid="{3A09D4EE-7C7E-485F-873B-4D9F40B1AE71}"/>
    <cellStyle name="Normal 5 2 2 3 2 2 2 8" xfId="10314" xr:uid="{DFCE9FA8-EB56-4C58-A4DA-340EAA072E1B}"/>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2 2 2" xfId="26389" xr:uid="{0F26DFFD-45D1-4A0E-A9A0-AEB14053345A}"/>
    <cellStyle name="Normal 5 2 2 3 2 2 3 2 2 3" xfId="34836" xr:uid="{3AFC5B41-A01D-4E6C-8735-8C8D1A1BE0AA}"/>
    <cellStyle name="Normal 5 2 2 3 2 2 3 2 2 4" xfId="43283" xr:uid="{85208971-7459-4B60-AAA4-DDF0E1F00798}"/>
    <cellStyle name="Normal 5 2 2 3 2 2 3 2 2 5" xfId="17089" xr:uid="{E13C2E50-7A8A-4510-AEA3-8B87EFCEC720}"/>
    <cellStyle name="Normal 5 2 2 3 2 2 3 2 3" xfId="22172" xr:uid="{31EFBBD5-2B13-4C62-AF61-529EF0FA35B7}"/>
    <cellStyle name="Normal 5 2 2 3 2 2 3 2 4" xfId="30619" xr:uid="{65C15D29-5451-492A-AE3D-878EB567C511}"/>
    <cellStyle name="Normal 5 2 2 3 2 2 3 2 5" xfId="39066" xr:uid="{AEF9F21A-EC7D-46E7-B795-5A34B13FA5BE}"/>
    <cellStyle name="Normal 5 2 2 3 2 2 3 2 6" xfId="12872" xr:uid="{E1973C40-075B-4F88-ADCF-1B03F0B0F090}"/>
    <cellStyle name="Normal 5 2 2 3 2 2 3 3" xfId="5618" xr:uid="{00000000-0005-0000-0000-0000A0170000}"/>
    <cellStyle name="Normal 5 2 2 3 2 2 3 3 2" xfId="24244" xr:uid="{A14339CE-E2F5-4E9E-A509-D36EA8B53564}"/>
    <cellStyle name="Normal 5 2 2 3 2 2 3 3 3" xfId="32691" xr:uid="{EC96AF08-8864-4518-A540-181CE87C2D9F}"/>
    <cellStyle name="Normal 5 2 2 3 2 2 3 3 4" xfId="41138" xr:uid="{882501F3-2A2C-4A5B-8C3E-7CBC9A8C33ED}"/>
    <cellStyle name="Normal 5 2 2 3 2 2 3 3 5" xfId="14944" xr:uid="{BF2B5C77-155A-470A-AC59-FEA036E211A9}"/>
    <cellStyle name="Normal 5 2 2 3 2 2 3 4" xfId="20027" xr:uid="{54A5C29D-DFA4-497F-B984-92C673DF429D}"/>
    <cellStyle name="Normal 5 2 2 3 2 2 3 5" xfId="28474" xr:uid="{FC5468DF-B3AE-4A43-A4CF-B987A3472396}"/>
    <cellStyle name="Normal 5 2 2 3 2 2 3 6" xfId="36921" xr:uid="{B5EEA381-156C-4711-B1FB-4AC3BCA3C86A}"/>
    <cellStyle name="Normal 5 2 2 3 2 2 3 7" xfId="10727" xr:uid="{6B91B38F-0719-49B1-8D2B-B888301D800B}"/>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2 2 2" xfId="26802" xr:uid="{376EE85D-ADB1-4E39-BF51-0E47E23E2443}"/>
    <cellStyle name="Normal 5 2 2 3 2 2 4 2 2 3" xfId="35249" xr:uid="{41BF69DA-1CB3-4BB3-B45B-1562B0A89EF8}"/>
    <cellStyle name="Normal 5 2 2 3 2 2 4 2 2 4" xfId="43696" xr:uid="{2138038E-6162-415A-971F-0517A132148A}"/>
    <cellStyle name="Normal 5 2 2 3 2 2 4 2 2 5" xfId="17502" xr:uid="{18D71DB8-8E2A-434E-B903-45A5437A0AA9}"/>
    <cellStyle name="Normal 5 2 2 3 2 2 4 2 3" xfId="22585" xr:uid="{27357364-B940-43BC-938C-7128029B799D}"/>
    <cellStyle name="Normal 5 2 2 3 2 2 4 2 4" xfId="31032" xr:uid="{8B33F32D-A65A-43FD-ABA4-7CC58F5A577C}"/>
    <cellStyle name="Normal 5 2 2 3 2 2 4 2 5" xfId="39479" xr:uid="{C12F1703-F12D-4682-8D4C-1ACDBA571634}"/>
    <cellStyle name="Normal 5 2 2 3 2 2 4 2 6" xfId="13285" xr:uid="{2DB53A1A-F0C8-4F03-B261-953E6EB9EB59}"/>
    <cellStyle name="Normal 5 2 2 3 2 2 4 3" xfId="6031" xr:uid="{00000000-0005-0000-0000-0000A4170000}"/>
    <cellStyle name="Normal 5 2 2 3 2 2 4 3 2" xfId="24657" xr:uid="{FDD61726-3307-45DA-8477-511A5A4CBB78}"/>
    <cellStyle name="Normal 5 2 2 3 2 2 4 3 3" xfId="33104" xr:uid="{344E0E6F-F2B0-48F7-B018-53286FD8CEC9}"/>
    <cellStyle name="Normal 5 2 2 3 2 2 4 3 4" xfId="41551" xr:uid="{207C895F-58CD-475F-92C2-FCA6B7127D2E}"/>
    <cellStyle name="Normal 5 2 2 3 2 2 4 3 5" xfId="15357" xr:uid="{1A5086F2-5629-4BD4-9EC4-3F0056A672EC}"/>
    <cellStyle name="Normal 5 2 2 3 2 2 4 4" xfId="20440" xr:uid="{7FC32A73-9EA5-4DF5-A6F4-78CD23BC35BA}"/>
    <cellStyle name="Normal 5 2 2 3 2 2 4 5" xfId="28887" xr:uid="{40E04A8A-579C-415A-A1F6-2F20FA0B1023}"/>
    <cellStyle name="Normal 5 2 2 3 2 2 4 6" xfId="37334" xr:uid="{654391EF-83A2-4912-8C8B-F6A6063E3374}"/>
    <cellStyle name="Normal 5 2 2 3 2 2 4 7" xfId="11140" xr:uid="{545DF868-DB57-4532-83E2-38CD773E4C97}"/>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2 2 2" xfId="27215" xr:uid="{041712C8-74D6-4F29-A49A-927C487D00D5}"/>
    <cellStyle name="Normal 5 2 2 3 2 2 5 2 2 3" xfId="35662" xr:uid="{B04501FA-62B4-4932-9E49-617F7D1970E1}"/>
    <cellStyle name="Normal 5 2 2 3 2 2 5 2 2 4" xfId="44109" xr:uid="{6086C26A-E003-4576-BFDC-FB1BA8B73B2E}"/>
    <cellStyle name="Normal 5 2 2 3 2 2 5 2 2 5" xfId="17915" xr:uid="{52F80FF8-FE57-4C55-9352-1040B0E12CD9}"/>
    <cellStyle name="Normal 5 2 2 3 2 2 5 2 3" xfId="22998" xr:uid="{1A303096-B065-4E42-B8DC-8021FA6B5957}"/>
    <cellStyle name="Normal 5 2 2 3 2 2 5 2 4" xfId="31445" xr:uid="{F75D9A85-15A5-485B-9489-B8C431FD592B}"/>
    <cellStyle name="Normal 5 2 2 3 2 2 5 2 5" xfId="39892" xr:uid="{B15861B9-9A09-45B2-BDD0-72DCC8DE11FE}"/>
    <cellStyle name="Normal 5 2 2 3 2 2 5 2 6" xfId="13698" xr:uid="{9F2C57F3-45E4-4C5B-9554-D7206ED51C81}"/>
    <cellStyle name="Normal 5 2 2 3 2 2 5 3" xfId="6444" xr:uid="{00000000-0005-0000-0000-0000A8170000}"/>
    <cellStyle name="Normal 5 2 2 3 2 2 5 3 2" xfId="25070" xr:uid="{9159AF33-BD38-4935-AA6A-6582549EC2E7}"/>
    <cellStyle name="Normal 5 2 2 3 2 2 5 3 3" xfId="33517" xr:uid="{76B21974-6A90-4670-ABEB-73115D87ADAE}"/>
    <cellStyle name="Normal 5 2 2 3 2 2 5 3 4" xfId="41964" xr:uid="{0125E71E-E6E0-47FB-B405-364F8C6F4BC1}"/>
    <cellStyle name="Normal 5 2 2 3 2 2 5 3 5" xfId="15770" xr:uid="{3FD4475C-492A-4764-8E8D-0518AA67C8FF}"/>
    <cellStyle name="Normal 5 2 2 3 2 2 5 4" xfId="20853" xr:uid="{95C362CF-981B-4E4D-BBD5-23A9BF43A938}"/>
    <cellStyle name="Normal 5 2 2 3 2 2 5 5" xfId="29300" xr:uid="{6270ABD3-DD0D-4812-8DA8-24BE4D19390A}"/>
    <cellStyle name="Normal 5 2 2 3 2 2 5 6" xfId="37747" xr:uid="{8823EBA2-6ED3-483F-B213-3FD8C544ABE9}"/>
    <cellStyle name="Normal 5 2 2 3 2 2 5 7" xfId="11553" xr:uid="{342EA97B-2F4F-4A6D-BF69-B5EFA65EC62D}"/>
    <cellStyle name="Normal 5 2 2 3 2 2 6" xfId="2574" xr:uid="{00000000-0005-0000-0000-0000A9170000}"/>
    <cellStyle name="Normal 5 2 2 3 2 2 6 2" xfId="6857" xr:uid="{00000000-0005-0000-0000-0000AA170000}"/>
    <cellStyle name="Normal 5 2 2 3 2 2 6 2 2" xfId="25483" xr:uid="{667BBE85-A4F6-44AF-ABE7-8D0000C414BD}"/>
    <cellStyle name="Normal 5 2 2 3 2 2 6 2 3" xfId="33930" xr:uid="{73251E60-6BE7-4676-8B5D-2BA23D4B1F7A}"/>
    <cellStyle name="Normal 5 2 2 3 2 2 6 2 4" xfId="42377" xr:uid="{71ACEFE2-904F-4B8E-9AD4-683C773F948F}"/>
    <cellStyle name="Normal 5 2 2 3 2 2 6 2 5" xfId="16183" xr:uid="{AF688DAA-D6F0-4DC7-8AB1-AAD12A2B711F}"/>
    <cellStyle name="Normal 5 2 2 3 2 2 6 3" xfId="21266" xr:uid="{C5DB7C72-F437-4DDD-B11B-596A0E565D15}"/>
    <cellStyle name="Normal 5 2 2 3 2 2 6 4" xfId="29713" xr:uid="{0BBFAE4D-9F7E-47AF-AE92-935D9F7F30E4}"/>
    <cellStyle name="Normal 5 2 2 3 2 2 6 5" xfId="38160" xr:uid="{5845F8A3-8F18-4CFD-A2D3-56263AAA5AED}"/>
    <cellStyle name="Normal 5 2 2 3 2 2 6 6" xfId="11966" xr:uid="{FD778690-5578-4C85-8B84-880C5C62B095}"/>
    <cellStyle name="Normal 5 2 2 3 2 2 7" xfId="4792" xr:uid="{00000000-0005-0000-0000-0000AB170000}"/>
    <cellStyle name="Normal 5 2 2 3 2 2 7 2" xfId="23418" xr:uid="{0FFF5872-E004-4D86-AF79-954B62B23613}"/>
    <cellStyle name="Normal 5 2 2 3 2 2 7 3" xfId="31865" xr:uid="{2579F9DD-4DC9-4912-B631-4631A2074890}"/>
    <cellStyle name="Normal 5 2 2 3 2 2 7 4" xfId="40312" xr:uid="{9D0E190A-70A6-44B6-AC0C-85518B90347F}"/>
    <cellStyle name="Normal 5 2 2 3 2 2 7 5" xfId="14118" xr:uid="{1C0C81D7-1D84-41A9-9740-C5A47B7BAC27}"/>
    <cellStyle name="Normal 5 2 2 3 2 2 8" xfId="9138" xr:uid="{BE73D583-3CAB-48A9-8A6F-E88EE69D1D1D}"/>
    <cellStyle name="Normal 5 2 2 3 2 2 8 2" xfId="18462" xr:uid="{E608226C-E66A-4BCC-9C55-D154A211DDAA}"/>
    <cellStyle name="Normal 5 2 2 3 2 2 9" xfId="19201" xr:uid="{8AF00C00-606C-4391-BECA-0DF35FDBFB73}"/>
    <cellStyle name="Normal 5 2 2 3 2 3" xfId="892" xr:uid="{00000000-0005-0000-0000-0000AC170000}"/>
    <cellStyle name="Normal 5 2 2 3 2 3 2" xfId="3127" xr:uid="{00000000-0005-0000-0000-0000AD170000}"/>
    <cellStyle name="Normal 5 2 2 3 2 3 2 2" xfId="7349" xr:uid="{00000000-0005-0000-0000-0000AE170000}"/>
    <cellStyle name="Normal 5 2 2 3 2 3 2 2 2" xfId="25975" xr:uid="{631BF469-E28E-4CFB-8775-62E70E09DF55}"/>
    <cellStyle name="Normal 5 2 2 3 2 3 2 2 3" xfId="34422" xr:uid="{82825C9C-C21B-4070-9A36-27F375231182}"/>
    <cellStyle name="Normal 5 2 2 3 2 3 2 2 4" xfId="42869" xr:uid="{3956F089-D3DB-4EDE-9E0B-20C4B3323526}"/>
    <cellStyle name="Normal 5 2 2 3 2 3 2 2 5" xfId="16675" xr:uid="{540BF0A8-BE83-4655-BA2D-32B1E921A50D}"/>
    <cellStyle name="Normal 5 2 2 3 2 3 2 3" xfId="21758" xr:uid="{31442DB6-58C0-40BF-B4EA-9EA4C494E40D}"/>
    <cellStyle name="Normal 5 2 2 3 2 3 2 4" xfId="30205" xr:uid="{2D892575-03AB-40CC-9611-D32A322E10F0}"/>
    <cellStyle name="Normal 5 2 2 3 2 3 2 5" xfId="38652" xr:uid="{E717D3C5-2190-4A22-AA03-401B85D585C0}"/>
    <cellStyle name="Normal 5 2 2 3 2 3 2 6" xfId="12458" xr:uid="{D4CE135B-1CEA-4A4A-9E80-7F8DE7D2AD6C}"/>
    <cellStyle name="Normal 5 2 2 3 2 3 3" xfId="5204" xr:uid="{00000000-0005-0000-0000-0000AF170000}"/>
    <cellStyle name="Normal 5 2 2 3 2 3 3 2" xfId="23830" xr:uid="{75ABEA93-8275-454D-9F3D-F95B0E86FD43}"/>
    <cellStyle name="Normal 5 2 2 3 2 3 3 3" xfId="32277" xr:uid="{8755EC65-7BE2-4BB0-BF61-3BB356144A17}"/>
    <cellStyle name="Normal 5 2 2 3 2 3 3 4" xfId="40724" xr:uid="{13E60F44-05A0-47B9-8E8F-68DF34F8E0FC}"/>
    <cellStyle name="Normal 5 2 2 3 2 3 3 5" xfId="14530" xr:uid="{E627F1CB-1F46-4ABC-9D3A-2303DE89790E}"/>
    <cellStyle name="Normal 5 2 2 3 2 3 4" xfId="9356" xr:uid="{58BAA3B3-A7A2-4F6F-9929-D8BE9F0A557D}"/>
    <cellStyle name="Normal 5 2 2 3 2 3 4 2" xfId="18672" xr:uid="{B100728B-0359-4D2B-BAAD-5F0F46C0E475}"/>
    <cellStyle name="Normal 5 2 2 3 2 3 5" xfId="19613" xr:uid="{900ED511-D916-4F06-A9F9-10EB5D763E79}"/>
    <cellStyle name="Normal 5 2 2 3 2 3 6" xfId="28060" xr:uid="{BB1E1BF2-844D-4B86-8BFB-BBD171E34A6C}"/>
    <cellStyle name="Normal 5 2 2 3 2 3 7" xfId="36507" xr:uid="{772CC506-A16D-41FA-AE1A-EF6D0FFB17B7}"/>
    <cellStyle name="Normal 5 2 2 3 2 3 8" xfId="10313" xr:uid="{18B83A56-2448-4A6D-A8B9-DB48A7740859}"/>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2 2 2" xfId="26388" xr:uid="{88E3A185-7BEC-4A4B-925E-FD1D13AA56ED}"/>
    <cellStyle name="Normal 5 2 2 3 2 4 2 2 3" xfId="34835" xr:uid="{FCA8EAC5-D1CD-4145-B3E5-8B2AE4863440}"/>
    <cellStyle name="Normal 5 2 2 3 2 4 2 2 4" xfId="43282" xr:uid="{B67DAFBD-AD26-4A36-8825-626B84D074C2}"/>
    <cellStyle name="Normal 5 2 2 3 2 4 2 2 5" xfId="17088" xr:uid="{4EC94D06-8138-4DE4-BF2E-20CCF2B0440D}"/>
    <cellStyle name="Normal 5 2 2 3 2 4 2 3" xfId="22171" xr:uid="{5421F3CD-2DEA-4C7E-8B13-223312A09127}"/>
    <cellStyle name="Normal 5 2 2 3 2 4 2 4" xfId="30618" xr:uid="{DF3CD6F8-9C94-42EF-832E-9A79541E916D}"/>
    <cellStyle name="Normal 5 2 2 3 2 4 2 5" xfId="39065" xr:uid="{BB80C076-F20A-422A-9CEC-60C333D05697}"/>
    <cellStyle name="Normal 5 2 2 3 2 4 2 6" xfId="12871" xr:uid="{7F4ED941-5FF8-4E6E-B473-10AA1C2F3B75}"/>
    <cellStyle name="Normal 5 2 2 3 2 4 3" xfId="5617" xr:uid="{00000000-0005-0000-0000-0000B3170000}"/>
    <cellStyle name="Normal 5 2 2 3 2 4 3 2" xfId="24243" xr:uid="{1EF5BAA4-A3C6-4452-ACE2-063F8CECC674}"/>
    <cellStyle name="Normal 5 2 2 3 2 4 3 3" xfId="32690" xr:uid="{0A12000F-1649-41AE-A4EE-D1788C68464C}"/>
    <cellStyle name="Normal 5 2 2 3 2 4 3 4" xfId="41137" xr:uid="{4C9811EE-6474-47A9-91FD-D4F4FD2D3785}"/>
    <cellStyle name="Normal 5 2 2 3 2 4 3 5" xfId="14943" xr:uid="{B72DAC77-D58A-44FD-85F7-9929D0025DE0}"/>
    <cellStyle name="Normal 5 2 2 3 2 4 4" xfId="20026" xr:uid="{F5FBAF56-3844-47AA-A306-4627E9D72121}"/>
    <cellStyle name="Normal 5 2 2 3 2 4 5" xfId="28473" xr:uid="{29F0D4D1-D475-4A5F-AF84-9955FA5AE8EB}"/>
    <cellStyle name="Normal 5 2 2 3 2 4 6" xfId="36920" xr:uid="{C865FE93-B650-481C-B107-A46D429B0475}"/>
    <cellStyle name="Normal 5 2 2 3 2 4 7" xfId="10726" xr:uid="{A2E723D2-3807-4898-851A-66C6761A28EE}"/>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2 2 2" xfId="26801" xr:uid="{A53FCBD7-E45C-4484-9A7A-7CFEE7A47096}"/>
    <cellStyle name="Normal 5 2 2 3 2 5 2 2 3" xfId="35248" xr:uid="{BE72FF5E-6A73-4F6F-B4FF-70162231956F}"/>
    <cellStyle name="Normal 5 2 2 3 2 5 2 2 4" xfId="43695" xr:uid="{3F4AFD6A-EEE1-457F-9C69-57734B614AD9}"/>
    <cellStyle name="Normal 5 2 2 3 2 5 2 2 5" xfId="17501" xr:uid="{F17B1924-3B77-41AF-9961-B9DCDD088242}"/>
    <cellStyle name="Normal 5 2 2 3 2 5 2 3" xfId="22584" xr:uid="{B512F9BC-5B8C-49CC-B9F8-327E30823252}"/>
    <cellStyle name="Normal 5 2 2 3 2 5 2 4" xfId="31031" xr:uid="{6886EE83-E309-40AE-8DDD-962F63E76882}"/>
    <cellStyle name="Normal 5 2 2 3 2 5 2 5" xfId="39478" xr:uid="{5ED19363-6B4E-4C72-85F9-C5BB6DF47F43}"/>
    <cellStyle name="Normal 5 2 2 3 2 5 2 6" xfId="13284" xr:uid="{771E6814-B850-4C32-BBC6-8D3BBD8B2FD3}"/>
    <cellStyle name="Normal 5 2 2 3 2 5 3" xfId="6030" xr:uid="{00000000-0005-0000-0000-0000B7170000}"/>
    <cellStyle name="Normal 5 2 2 3 2 5 3 2" xfId="24656" xr:uid="{00BCB6D2-E379-4E20-AF59-AF37715C4601}"/>
    <cellStyle name="Normal 5 2 2 3 2 5 3 3" xfId="33103" xr:uid="{84AE5192-5819-4AB1-94EE-DD8AA344EA1B}"/>
    <cellStyle name="Normal 5 2 2 3 2 5 3 4" xfId="41550" xr:uid="{1852D5C9-9D26-41A3-85C4-B4BF336519C7}"/>
    <cellStyle name="Normal 5 2 2 3 2 5 3 5" xfId="15356" xr:uid="{563FA5CE-8D4A-4ADC-9F63-35E5EFADBCAF}"/>
    <cellStyle name="Normal 5 2 2 3 2 5 4" xfId="20439" xr:uid="{ED9DA901-F514-48F3-A8B4-ADADF8C125D1}"/>
    <cellStyle name="Normal 5 2 2 3 2 5 5" xfId="28886" xr:uid="{D02C4B66-34AD-4501-985B-A354ED57FDAC}"/>
    <cellStyle name="Normal 5 2 2 3 2 5 6" xfId="37333" xr:uid="{04281174-7B78-43FA-8033-27E08DB1582D}"/>
    <cellStyle name="Normal 5 2 2 3 2 5 7" xfId="11139" xr:uid="{8CD69E11-AC5A-4C4A-896B-F4C61FDEB6EB}"/>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2 2 2" xfId="27214" xr:uid="{7AD0E61F-BD90-43B3-9D8C-75CF29AF8BF4}"/>
    <cellStyle name="Normal 5 2 2 3 2 6 2 2 3" xfId="35661" xr:uid="{5A9C206F-9288-416F-B826-72CE01F808FC}"/>
    <cellStyle name="Normal 5 2 2 3 2 6 2 2 4" xfId="44108" xr:uid="{0EBBCCE4-7A4A-46B3-B37C-40EE6497B6D3}"/>
    <cellStyle name="Normal 5 2 2 3 2 6 2 2 5" xfId="17914" xr:uid="{4CEC4779-59EC-4DA9-8F37-0CCD17C37FDE}"/>
    <cellStyle name="Normal 5 2 2 3 2 6 2 3" xfId="22997" xr:uid="{5F40D25D-C4F6-491A-8D7B-513D88DA8E98}"/>
    <cellStyle name="Normal 5 2 2 3 2 6 2 4" xfId="31444" xr:uid="{38E70813-AF36-45E9-A5A1-689A4A6D6114}"/>
    <cellStyle name="Normal 5 2 2 3 2 6 2 5" xfId="39891" xr:uid="{DB252828-BFBA-4778-AB1F-73BA42438A8A}"/>
    <cellStyle name="Normal 5 2 2 3 2 6 2 6" xfId="13697" xr:uid="{C94D65C4-5658-4307-A88D-53415D1B7265}"/>
    <cellStyle name="Normal 5 2 2 3 2 6 3" xfId="6443" xr:uid="{00000000-0005-0000-0000-0000BB170000}"/>
    <cellStyle name="Normal 5 2 2 3 2 6 3 2" xfId="25069" xr:uid="{12EB6C41-4D8B-44F9-899C-E74DC4DAB411}"/>
    <cellStyle name="Normal 5 2 2 3 2 6 3 3" xfId="33516" xr:uid="{213E5321-2414-477C-8E8B-9D8677B02F84}"/>
    <cellStyle name="Normal 5 2 2 3 2 6 3 4" xfId="41963" xr:uid="{F1686463-3635-4D2B-B4FF-7A3D70FB718A}"/>
    <cellStyle name="Normal 5 2 2 3 2 6 3 5" xfId="15769" xr:uid="{19455720-0010-49C3-8E84-48B73C0FA08B}"/>
    <cellStyle name="Normal 5 2 2 3 2 6 4" xfId="20852" xr:uid="{D3EF10A2-51FD-4F8A-A9EE-CEA7F9F69B95}"/>
    <cellStyle name="Normal 5 2 2 3 2 6 5" xfId="29299" xr:uid="{18A31BBD-E9D0-436A-8C6F-C02F911F9A04}"/>
    <cellStyle name="Normal 5 2 2 3 2 6 6" xfId="37746" xr:uid="{7BAE24BE-B8B8-46D5-9469-222F6F50BFD6}"/>
    <cellStyle name="Normal 5 2 2 3 2 6 7" xfId="11552" xr:uid="{3F2FF8B6-D005-40BD-BC9E-C8AD28E362FD}"/>
    <cellStyle name="Normal 5 2 2 3 2 7" xfId="2573" xr:uid="{00000000-0005-0000-0000-0000BC170000}"/>
    <cellStyle name="Normal 5 2 2 3 2 7 2" xfId="6856" xr:uid="{00000000-0005-0000-0000-0000BD170000}"/>
    <cellStyle name="Normal 5 2 2 3 2 7 2 2" xfId="25482" xr:uid="{BB7D7F31-0DC7-45F3-A084-45B5070EED19}"/>
    <cellStyle name="Normal 5 2 2 3 2 7 2 3" xfId="33929" xr:uid="{36D455ED-4658-425B-8C82-08A089740EEB}"/>
    <cellStyle name="Normal 5 2 2 3 2 7 2 4" xfId="42376" xr:uid="{C1C8164D-FB39-4B3E-A90A-5C1FADE2680E}"/>
    <cellStyle name="Normal 5 2 2 3 2 7 2 5" xfId="16182" xr:uid="{A73376C2-58A9-4FB3-B2AE-5A8312C4EE25}"/>
    <cellStyle name="Normal 5 2 2 3 2 7 3" xfId="21265" xr:uid="{BECEB6DC-A643-4BFE-8DD3-BB9E71FC7B6F}"/>
    <cellStyle name="Normal 5 2 2 3 2 7 4" xfId="29712" xr:uid="{F13600EA-FD10-418B-B090-0F59FAC87037}"/>
    <cellStyle name="Normal 5 2 2 3 2 7 5" xfId="38159" xr:uid="{33A412F9-56CB-4163-89EA-175D59F822BA}"/>
    <cellStyle name="Normal 5 2 2 3 2 7 6" xfId="11965" xr:uid="{165AC905-4AAB-4B86-AA62-A1760A460160}"/>
    <cellStyle name="Normal 5 2 2 3 2 8" xfId="4791" xr:uid="{00000000-0005-0000-0000-0000BE170000}"/>
    <cellStyle name="Normal 5 2 2 3 2 8 2" xfId="23417" xr:uid="{14D75ADC-C1D0-4D1A-823B-B0C43EAAFF2D}"/>
    <cellStyle name="Normal 5 2 2 3 2 8 3" xfId="31864" xr:uid="{F659E46B-7A94-4A30-8A70-9CE352D87772}"/>
    <cellStyle name="Normal 5 2 2 3 2 8 4" xfId="40311" xr:uid="{3A9F5F3F-626E-43D2-B3FE-BF1F062F1D70}"/>
    <cellStyle name="Normal 5 2 2 3 2 8 5" xfId="14117" xr:uid="{F5EAD1F6-921F-4C6A-9BE0-DC30EE6C624B}"/>
    <cellStyle name="Normal 5 2 2 3 2 9" xfId="8931" xr:uid="{E27E09D3-2564-4B82-8EA4-A27330B6B436}"/>
    <cellStyle name="Normal 5 2 2 3 2 9 2" xfId="18255" xr:uid="{AA3E3F29-D1C2-42DA-9E63-D4F4CAADB768}"/>
    <cellStyle name="Normal 5 2 2 3 3" xfId="420" xr:uid="{00000000-0005-0000-0000-0000BF170000}"/>
    <cellStyle name="Normal 5 2 2 3 3 10" xfId="27649" xr:uid="{55E2C283-4FBC-4222-8694-25216A6592E9}"/>
    <cellStyle name="Normal 5 2 2 3 3 11" xfId="36096" xr:uid="{DFAA74D2-D97B-4F4B-A1EC-EFCFC357A854}"/>
    <cellStyle name="Normal 5 2 2 3 3 12" xfId="9902" xr:uid="{C12BECEB-C621-4AD8-AE9A-A8540FF5DE01}"/>
    <cellStyle name="Normal 5 2 2 3 3 2" xfId="894" xr:uid="{00000000-0005-0000-0000-0000C0170000}"/>
    <cellStyle name="Normal 5 2 2 3 3 2 2" xfId="3129" xr:uid="{00000000-0005-0000-0000-0000C1170000}"/>
    <cellStyle name="Normal 5 2 2 3 3 2 2 2" xfId="7351" xr:uid="{00000000-0005-0000-0000-0000C2170000}"/>
    <cellStyle name="Normal 5 2 2 3 3 2 2 2 2" xfId="25977" xr:uid="{FF136DDA-F43E-450E-8502-35755C374A52}"/>
    <cellStyle name="Normal 5 2 2 3 3 2 2 2 3" xfId="34424" xr:uid="{2A09ACEE-A799-49BD-92D6-3E25FF086907}"/>
    <cellStyle name="Normal 5 2 2 3 3 2 2 2 4" xfId="42871" xr:uid="{5A83828C-C9EB-458B-90B6-28F048A1562A}"/>
    <cellStyle name="Normal 5 2 2 3 3 2 2 2 5" xfId="16677" xr:uid="{98CAE205-9B20-463D-8A45-98C9782731AA}"/>
    <cellStyle name="Normal 5 2 2 3 3 2 2 3" xfId="21760" xr:uid="{104F64B2-C3FD-4759-B9B5-59E4CA46B286}"/>
    <cellStyle name="Normal 5 2 2 3 3 2 2 4" xfId="30207" xr:uid="{CBA1261A-9C97-4B2E-9BE2-7BDDDCB81467}"/>
    <cellStyle name="Normal 5 2 2 3 3 2 2 5" xfId="38654" xr:uid="{A157DE71-B37F-46D6-860F-3885724FA306}"/>
    <cellStyle name="Normal 5 2 2 3 3 2 2 6" xfId="12460" xr:uid="{7F45F4E6-74AB-407A-8D7D-9FC1DBD9305C}"/>
    <cellStyle name="Normal 5 2 2 3 3 2 3" xfId="5206" xr:uid="{00000000-0005-0000-0000-0000C3170000}"/>
    <cellStyle name="Normal 5 2 2 3 3 2 3 2" xfId="23832" xr:uid="{69BEC655-3FB7-48DF-8AF9-5E930E57F5FF}"/>
    <cellStyle name="Normal 5 2 2 3 3 2 3 3" xfId="32279" xr:uid="{49685F16-687C-42E5-AF62-045391E8D167}"/>
    <cellStyle name="Normal 5 2 2 3 3 2 3 4" xfId="40726" xr:uid="{570230BD-4055-4C57-8ECA-3BCCFFA040A0}"/>
    <cellStyle name="Normal 5 2 2 3 3 2 3 5" xfId="14532" xr:uid="{AF3252F4-7EFC-4BEB-A3D6-1891E4734F18}"/>
    <cellStyle name="Normal 5 2 2 3 3 2 4" xfId="9460" xr:uid="{423E0BE9-24F3-4EF0-8962-2565594BF831}"/>
    <cellStyle name="Normal 5 2 2 3 3 2 4 2" xfId="18776" xr:uid="{F6C3E461-1CB5-4EEB-B113-330B38ACFAAB}"/>
    <cellStyle name="Normal 5 2 2 3 3 2 5" xfId="19615" xr:uid="{7F14B268-338B-4C3E-978F-21A9634550DC}"/>
    <cellStyle name="Normal 5 2 2 3 3 2 6" xfId="28062" xr:uid="{BE095C80-5C5A-492D-9F4E-55B5C75C9A45}"/>
    <cellStyle name="Normal 5 2 2 3 3 2 7" xfId="36509" xr:uid="{872B737F-59F9-405E-941B-B11997BD2765}"/>
    <cellStyle name="Normal 5 2 2 3 3 2 8" xfId="10315" xr:uid="{99A0C206-7F0A-4524-9CE7-BACA7436176C}"/>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2 2 2" xfId="26390" xr:uid="{A2B21A1F-9A22-42D2-84D2-81B37B5AA8A4}"/>
    <cellStyle name="Normal 5 2 2 3 3 3 2 2 3" xfId="34837" xr:uid="{785978BC-81F9-4B3D-9BE6-1AADD9B77F2A}"/>
    <cellStyle name="Normal 5 2 2 3 3 3 2 2 4" xfId="43284" xr:uid="{0B9BD233-E5FE-448C-BC98-C66D61C03784}"/>
    <cellStyle name="Normal 5 2 2 3 3 3 2 2 5" xfId="17090" xr:uid="{DE226C8D-02F4-4CDE-8AB3-B691970B4FC4}"/>
    <cellStyle name="Normal 5 2 2 3 3 3 2 3" xfId="22173" xr:uid="{A1BFFE2C-E7F3-4A8E-A880-9DB396DBF270}"/>
    <cellStyle name="Normal 5 2 2 3 3 3 2 4" xfId="30620" xr:uid="{06621830-336F-47E4-8D01-9B1A35B5AEF1}"/>
    <cellStyle name="Normal 5 2 2 3 3 3 2 5" xfId="39067" xr:uid="{8F015ED4-8B1D-4902-985F-1A6E66A37CEC}"/>
    <cellStyle name="Normal 5 2 2 3 3 3 2 6" xfId="12873" xr:uid="{3ED7E95E-C755-4C76-8D91-75177D4EA285}"/>
    <cellStyle name="Normal 5 2 2 3 3 3 3" xfId="5619" xr:uid="{00000000-0005-0000-0000-0000C7170000}"/>
    <cellStyle name="Normal 5 2 2 3 3 3 3 2" xfId="24245" xr:uid="{E6147A55-7A33-46BD-865F-D3A7190F1527}"/>
    <cellStyle name="Normal 5 2 2 3 3 3 3 3" xfId="32692" xr:uid="{1BC5DAE5-B6AA-4419-AA41-FFFFC07DCDE2}"/>
    <cellStyle name="Normal 5 2 2 3 3 3 3 4" xfId="41139" xr:uid="{7D3987D4-097D-4E95-B99B-7D03F6FA0AB9}"/>
    <cellStyle name="Normal 5 2 2 3 3 3 3 5" xfId="14945" xr:uid="{9B99FBC6-A3B0-421C-8494-A5E2B0BC6EEE}"/>
    <cellStyle name="Normal 5 2 2 3 3 3 4" xfId="20028" xr:uid="{A0C80FD3-B66D-43E1-BAA3-722A0AA01CAC}"/>
    <cellStyle name="Normal 5 2 2 3 3 3 5" xfId="28475" xr:uid="{E8AABC85-A0C2-40C4-9CA5-407274DA8811}"/>
    <cellStyle name="Normal 5 2 2 3 3 3 6" xfId="36922" xr:uid="{CB75EEDE-BE7E-4D1E-8393-6DD52BFEA319}"/>
    <cellStyle name="Normal 5 2 2 3 3 3 7" xfId="10728" xr:uid="{A3BB5EAC-3321-4985-A01F-56A6A63952F7}"/>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2 2 2" xfId="26803" xr:uid="{7EBA244A-C088-4C94-9EC3-41A7FA997DDA}"/>
    <cellStyle name="Normal 5 2 2 3 3 4 2 2 3" xfId="35250" xr:uid="{B8BB0919-0C15-4E48-B094-B5D2F70227C8}"/>
    <cellStyle name="Normal 5 2 2 3 3 4 2 2 4" xfId="43697" xr:uid="{5B82C67E-B670-4F99-9475-5DD3C938E3BE}"/>
    <cellStyle name="Normal 5 2 2 3 3 4 2 2 5" xfId="17503" xr:uid="{44AC7083-A7C5-40FA-925E-58ED7F39C47E}"/>
    <cellStyle name="Normal 5 2 2 3 3 4 2 3" xfId="22586" xr:uid="{E22EE602-42E1-4164-B292-0B55FC0B3B88}"/>
    <cellStyle name="Normal 5 2 2 3 3 4 2 4" xfId="31033" xr:uid="{3FCCAF6B-6FDA-4BEA-914D-74699F914EA7}"/>
    <cellStyle name="Normal 5 2 2 3 3 4 2 5" xfId="39480" xr:uid="{51B447C9-E77F-4527-B1B5-8C1F1086E266}"/>
    <cellStyle name="Normal 5 2 2 3 3 4 2 6" xfId="13286" xr:uid="{2D9AA0FA-71D9-4C26-A091-64339F1AEC15}"/>
    <cellStyle name="Normal 5 2 2 3 3 4 3" xfId="6032" xr:uid="{00000000-0005-0000-0000-0000CB170000}"/>
    <cellStyle name="Normal 5 2 2 3 3 4 3 2" xfId="24658" xr:uid="{620A5290-E059-42EC-B932-60EE8F17F362}"/>
    <cellStyle name="Normal 5 2 2 3 3 4 3 3" xfId="33105" xr:uid="{1241AB90-CBAF-4F6F-B96F-6D624E1E56C6}"/>
    <cellStyle name="Normal 5 2 2 3 3 4 3 4" xfId="41552" xr:uid="{2158E1F1-3FD5-4949-949B-790741199906}"/>
    <cellStyle name="Normal 5 2 2 3 3 4 3 5" xfId="15358" xr:uid="{75473F53-179D-4C15-8D28-DFCF17DC28F6}"/>
    <cellStyle name="Normal 5 2 2 3 3 4 4" xfId="20441" xr:uid="{A2FC3569-C280-465C-8C48-8B102521B04F}"/>
    <cellStyle name="Normal 5 2 2 3 3 4 5" xfId="28888" xr:uid="{93A818EE-665C-42AC-A442-8B50CAC5FB23}"/>
    <cellStyle name="Normal 5 2 2 3 3 4 6" xfId="37335" xr:uid="{31CBDFB3-A3AD-4360-B119-E484BE171177}"/>
    <cellStyle name="Normal 5 2 2 3 3 4 7" xfId="11141" xr:uid="{97A460D9-7DF4-4C06-995F-C2BC880417D9}"/>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2 2 2" xfId="27216" xr:uid="{DEC5D4B3-47FB-493A-8124-54B37669781D}"/>
    <cellStyle name="Normal 5 2 2 3 3 5 2 2 3" xfId="35663" xr:uid="{1CF41354-260D-41DA-82ED-30D3FA9B8951}"/>
    <cellStyle name="Normal 5 2 2 3 3 5 2 2 4" xfId="44110" xr:uid="{2BCA6BA5-313E-41ED-A6B9-0C7CB55F586B}"/>
    <cellStyle name="Normal 5 2 2 3 3 5 2 2 5" xfId="17916" xr:uid="{941D748E-384C-4603-88A8-6955F15C2296}"/>
    <cellStyle name="Normal 5 2 2 3 3 5 2 3" xfId="22999" xr:uid="{B304065C-6570-4F26-937C-BA3584563374}"/>
    <cellStyle name="Normal 5 2 2 3 3 5 2 4" xfId="31446" xr:uid="{F32CF32C-C8E9-4DC4-AE95-5D6EFC9A457C}"/>
    <cellStyle name="Normal 5 2 2 3 3 5 2 5" xfId="39893" xr:uid="{A4B885E5-0A16-430F-B5DD-2E48A289CFCA}"/>
    <cellStyle name="Normal 5 2 2 3 3 5 2 6" xfId="13699" xr:uid="{C4DB9AF4-7C72-46D8-85BD-D381384512DD}"/>
    <cellStyle name="Normal 5 2 2 3 3 5 3" xfId="6445" xr:uid="{00000000-0005-0000-0000-0000CF170000}"/>
    <cellStyle name="Normal 5 2 2 3 3 5 3 2" xfId="25071" xr:uid="{9E9781CA-CF71-4F07-962A-DEC5D9DA4DBB}"/>
    <cellStyle name="Normal 5 2 2 3 3 5 3 3" xfId="33518" xr:uid="{4E7F5155-E78D-4C7A-B050-45DB2B6B3191}"/>
    <cellStyle name="Normal 5 2 2 3 3 5 3 4" xfId="41965" xr:uid="{D5B8233F-78F1-445A-A8EE-29F447AC7B55}"/>
    <cellStyle name="Normal 5 2 2 3 3 5 3 5" xfId="15771" xr:uid="{E27ED525-5818-4596-8E5C-DE1D8E74AE76}"/>
    <cellStyle name="Normal 5 2 2 3 3 5 4" xfId="20854" xr:uid="{28B71E6D-9AA4-49CC-8DBA-D9E3CB3BD582}"/>
    <cellStyle name="Normal 5 2 2 3 3 5 5" xfId="29301" xr:uid="{4106BCA7-2444-47F6-939C-A29D97CCF0B5}"/>
    <cellStyle name="Normal 5 2 2 3 3 5 6" xfId="37748" xr:uid="{08AC5696-4B69-4CCC-A31C-4C5130669260}"/>
    <cellStyle name="Normal 5 2 2 3 3 5 7" xfId="11554" xr:uid="{5383A887-53A5-49E0-83C8-909492DA4237}"/>
    <cellStyle name="Normal 5 2 2 3 3 6" xfId="2575" xr:uid="{00000000-0005-0000-0000-0000D0170000}"/>
    <cellStyle name="Normal 5 2 2 3 3 6 2" xfId="6858" xr:uid="{00000000-0005-0000-0000-0000D1170000}"/>
    <cellStyle name="Normal 5 2 2 3 3 6 2 2" xfId="25484" xr:uid="{2658C873-1790-4F92-BB1B-CD9B87CE69C8}"/>
    <cellStyle name="Normal 5 2 2 3 3 6 2 3" xfId="33931" xr:uid="{9C1D5F24-7578-486A-ADE4-26DA9B47991A}"/>
    <cellStyle name="Normal 5 2 2 3 3 6 2 4" xfId="42378" xr:uid="{8DB29C83-D6B6-4BF8-8F9C-E2C6A8B59BC9}"/>
    <cellStyle name="Normal 5 2 2 3 3 6 2 5" xfId="16184" xr:uid="{E434980A-3D39-49B4-AC69-FD9383AA72E1}"/>
    <cellStyle name="Normal 5 2 2 3 3 6 3" xfId="21267" xr:uid="{D8E5B68D-C249-4968-9A27-0581AD9F0597}"/>
    <cellStyle name="Normal 5 2 2 3 3 6 4" xfId="29714" xr:uid="{EB5F1AE0-F7C0-4FE2-B5C0-5DAC11436E74}"/>
    <cellStyle name="Normal 5 2 2 3 3 6 5" xfId="38161" xr:uid="{60B1F51E-A43D-403F-A4E0-B5EA9AAA4254}"/>
    <cellStyle name="Normal 5 2 2 3 3 6 6" xfId="11967" xr:uid="{3DF0EA67-6783-470C-8F8E-F78E6BA937FB}"/>
    <cellStyle name="Normal 5 2 2 3 3 7" xfId="4793" xr:uid="{00000000-0005-0000-0000-0000D2170000}"/>
    <cellStyle name="Normal 5 2 2 3 3 7 2" xfId="23419" xr:uid="{2542BEDE-398D-456E-9603-77ED995ED643}"/>
    <cellStyle name="Normal 5 2 2 3 3 7 3" xfId="31866" xr:uid="{018F21A3-09D8-4D23-9DD5-581D67FFB848}"/>
    <cellStyle name="Normal 5 2 2 3 3 7 4" xfId="40313" xr:uid="{4A2014F1-CAE8-4869-A1E5-947E932135FD}"/>
    <cellStyle name="Normal 5 2 2 3 3 7 5" xfId="14119" xr:uid="{DEE60CF9-030F-41BA-A0B7-5FFA0B70B60A}"/>
    <cellStyle name="Normal 5 2 2 3 3 8" xfId="9035" xr:uid="{6AC57173-16AF-4847-A277-E4254AACDA36}"/>
    <cellStyle name="Normal 5 2 2 3 3 8 2" xfId="18359" xr:uid="{E1DBC3F0-EA55-4689-BD72-EEE79A56F034}"/>
    <cellStyle name="Normal 5 2 2 3 3 9" xfId="19202" xr:uid="{46F40AC8-FF7D-4DBD-8BC4-3C9D2E22760F}"/>
    <cellStyle name="Normal 5 2 2 3 4" xfId="891" xr:uid="{00000000-0005-0000-0000-0000D3170000}"/>
    <cellStyle name="Normal 5 2 2 3 4 2" xfId="3126" xr:uid="{00000000-0005-0000-0000-0000D4170000}"/>
    <cellStyle name="Normal 5 2 2 3 4 2 2" xfId="7348" xr:uid="{00000000-0005-0000-0000-0000D5170000}"/>
    <cellStyle name="Normal 5 2 2 3 4 2 2 2" xfId="25974" xr:uid="{683CDF3D-E8FA-469D-83D2-476D05F2B9BB}"/>
    <cellStyle name="Normal 5 2 2 3 4 2 2 3" xfId="34421" xr:uid="{9D63DF6F-774C-4BDC-9C4A-8B811421D0E7}"/>
    <cellStyle name="Normal 5 2 2 3 4 2 2 4" xfId="42868" xr:uid="{D74379F3-B4E1-462F-91B4-F9C20DA0052A}"/>
    <cellStyle name="Normal 5 2 2 3 4 2 2 5" xfId="16674" xr:uid="{992593DA-2906-41B8-9AC9-0310F8A5F1F1}"/>
    <cellStyle name="Normal 5 2 2 3 4 2 3" xfId="21757" xr:uid="{986313D3-6895-4B63-BFD8-DF4E922C3DEF}"/>
    <cellStyle name="Normal 5 2 2 3 4 2 4" xfId="30204" xr:uid="{FC2A7D80-7EF3-4E3A-B49B-5839EC07AA1A}"/>
    <cellStyle name="Normal 5 2 2 3 4 2 5" xfId="38651" xr:uid="{9BD742B7-75DD-4334-BBC0-01F8ED97F6B0}"/>
    <cellStyle name="Normal 5 2 2 3 4 2 6" xfId="12457" xr:uid="{5CECF6F8-D10B-4A48-AAA0-43C52A45CFE0}"/>
    <cellStyle name="Normal 5 2 2 3 4 3" xfId="5203" xr:uid="{00000000-0005-0000-0000-0000D6170000}"/>
    <cellStyle name="Normal 5 2 2 3 4 3 2" xfId="23829" xr:uid="{5ABA279A-5AE1-4D6A-AD42-E3AB01E29F3A}"/>
    <cellStyle name="Normal 5 2 2 3 4 3 3" xfId="32276" xr:uid="{20BAF38D-07DF-4632-BC32-83CE1BE82AE7}"/>
    <cellStyle name="Normal 5 2 2 3 4 3 4" xfId="40723" xr:uid="{F8219913-399F-4002-B199-11953D889F20}"/>
    <cellStyle name="Normal 5 2 2 3 4 3 5" xfId="14529" xr:uid="{1F07CF4B-BEA0-48C1-BDCF-F233085006D0}"/>
    <cellStyle name="Normal 5 2 2 3 4 4" xfId="9253" xr:uid="{A5C3AAF9-67DD-41B1-A0BF-05B69F588F71}"/>
    <cellStyle name="Normal 5 2 2 3 4 4 2" xfId="18569" xr:uid="{13810C2B-94B4-4FDF-A9CD-C2DE19EF0E61}"/>
    <cellStyle name="Normal 5 2 2 3 4 5" xfId="19612" xr:uid="{18970C06-6A36-42FE-A9BA-F0F71791C5CD}"/>
    <cellStyle name="Normal 5 2 2 3 4 6" xfId="28059" xr:uid="{B9B213FF-21D9-45D5-AE61-10B637DCE4A1}"/>
    <cellStyle name="Normal 5 2 2 3 4 7" xfId="36506" xr:uid="{B4219514-8A8C-41EC-B234-2778745F00A3}"/>
    <cellStyle name="Normal 5 2 2 3 4 8" xfId="10312" xr:uid="{DBC16643-5B2D-470B-99B0-C3C2CB46F655}"/>
    <cellStyle name="Normal 5 2 2 3 5" xfId="1309" xr:uid="{00000000-0005-0000-0000-0000D7170000}"/>
    <cellStyle name="Normal 5 2 2 3 5 2" xfId="3539" xr:uid="{00000000-0005-0000-0000-0000D8170000}"/>
    <cellStyle name="Normal 5 2 2 3 5 2 2" xfId="7761" xr:uid="{00000000-0005-0000-0000-0000D9170000}"/>
    <cellStyle name="Normal 5 2 2 3 5 2 2 2" xfId="26387" xr:uid="{0FBD6FEF-7546-491F-893A-C2662E6C99D5}"/>
    <cellStyle name="Normal 5 2 2 3 5 2 2 3" xfId="34834" xr:uid="{3F5FA43A-0432-4F5B-9D57-EDD4B78A2DE0}"/>
    <cellStyle name="Normal 5 2 2 3 5 2 2 4" xfId="43281" xr:uid="{C7A9D88B-6A41-442C-A5EB-7AE3C4A0F97A}"/>
    <cellStyle name="Normal 5 2 2 3 5 2 2 5" xfId="17087" xr:uid="{4B4B71F9-F9CD-4868-BAEF-CB671B1FC635}"/>
    <cellStyle name="Normal 5 2 2 3 5 2 3" xfId="22170" xr:uid="{87F56F3F-8834-453F-9444-2422C3626D8B}"/>
    <cellStyle name="Normal 5 2 2 3 5 2 4" xfId="30617" xr:uid="{64E602E1-DC7C-4FA7-92A0-CE8033B68676}"/>
    <cellStyle name="Normal 5 2 2 3 5 2 5" xfId="39064" xr:uid="{252FCAF7-86B0-4143-8AA2-5FBB302BF76E}"/>
    <cellStyle name="Normal 5 2 2 3 5 2 6" xfId="12870" xr:uid="{DAC95034-0FC4-4045-935D-E3FAB0FDFCD7}"/>
    <cellStyle name="Normal 5 2 2 3 5 3" xfId="5616" xr:uid="{00000000-0005-0000-0000-0000DA170000}"/>
    <cellStyle name="Normal 5 2 2 3 5 3 2" xfId="24242" xr:uid="{5ED58FDF-527B-4B4E-A8F5-CC78AE1B0B84}"/>
    <cellStyle name="Normal 5 2 2 3 5 3 3" xfId="32689" xr:uid="{0EEB962D-661F-489D-B73F-B5E3DE1754D7}"/>
    <cellStyle name="Normal 5 2 2 3 5 3 4" xfId="41136" xr:uid="{6B9B20AB-1F62-4956-BC60-2F088B609260}"/>
    <cellStyle name="Normal 5 2 2 3 5 3 5" xfId="14942" xr:uid="{981440B2-D69C-43E4-B1D2-1098587B73F6}"/>
    <cellStyle name="Normal 5 2 2 3 5 4" xfId="20025" xr:uid="{3A3F9A28-4ECA-4F25-B24B-09341817C6B0}"/>
    <cellStyle name="Normal 5 2 2 3 5 5" xfId="28472" xr:uid="{673C921E-5354-4374-A07B-3EB3E294401E}"/>
    <cellStyle name="Normal 5 2 2 3 5 6" xfId="36919" xr:uid="{593A941B-6E22-4692-AA2C-15ADF656E96D}"/>
    <cellStyle name="Normal 5 2 2 3 5 7" xfId="10725" xr:uid="{F36665C8-6637-4CED-AE74-3A83F93DBFC4}"/>
    <cellStyle name="Normal 5 2 2 3 6" xfId="1722" xr:uid="{00000000-0005-0000-0000-0000DB170000}"/>
    <cellStyle name="Normal 5 2 2 3 6 2" xfId="3952" xr:uid="{00000000-0005-0000-0000-0000DC170000}"/>
    <cellStyle name="Normal 5 2 2 3 6 2 2" xfId="8174" xr:uid="{00000000-0005-0000-0000-0000DD170000}"/>
    <cellStyle name="Normal 5 2 2 3 6 2 2 2" xfId="26800" xr:uid="{C9F0A9A8-F2B4-4147-8178-A1098A51058A}"/>
    <cellStyle name="Normal 5 2 2 3 6 2 2 3" xfId="35247" xr:uid="{6AB60A64-4CBA-4458-9A8B-7F084059D4C3}"/>
    <cellStyle name="Normal 5 2 2 3 6 2 2 4" xfId="43694" xr:uid="{1E38DDF8-7AC1-4FD7-98FA-8786E1FAB43D}"/>
    <cellStyle name="Normal 5 2 2 3 6 2 2 5" xfId="17500" xr:uid="{F5EC78D5-0CB4-4663-9FD5-F424407741A6}"/>
    <cellStyle name="Normal 5 2 2 3 6 2 3" xfId="22583" xr:uid="{AF1FB2A3-3376-42DD-94F2-A159F32DBA10}"/>
    <cellStyle name="Normal 5 2 2 3 6 2 4" xfId="31030" xr:uid="{9501A5F0-C09A-4D08-A33F-0FCB8FD19BB1}"/>
    <cellStyle name="Normal 5 2 2 3 6 2 5" xfId="39477" xr:uid="{BD092A6B-6BAB-41E5-B089-F195FF6F68A7}"/>
    <cellStyle name="Normal 5 2 2 3 6 2 6" xfId="13283" xr:uid="{0EEDEDA8-322C-40AF-BE79-8A94D276B794}"/>
    <cellStyle name="Normal 5 2 2 3 6 3" xfId="6029" xr:uid="{00000000-0005-0000-0000-0000DE170000}"/>
    <cellStyle name="Normal 5 2 2 3 6 3 2" xfId="24655" xr:uid="{CA04A070-445D-42FB-9AB5-F3F451969B5C}"/>
    <cellStyle name="Normal 5 2 2 3 6 3 3" xfId="33102" xr:uid="{24266FDE-7D85-42C5-88A4-BFAE7DFD2A4A}"/>
    <cellStyle name="Normal 5 2 2 3 6 3 4" xfId="41549" xr:uid="{73E82A49-3B2B-4908-BB8E-D0B52AB2A79E}"/>
    <cellStyle name="Normal 5 2 2 3 6 3 5" xfId="15355" xr:uid="{965212A1-509D-409B-A246-86EAFB42EB70}"/>
    <cellStyle name="Normal 5 2 2 3 6 4" xfId="20438" xr:uid="{CC45129A-0787-4D7A-84E8-FAB85809E34C}"/>
    <cellStyle name="Normal 5 2 2 3 6 5" xfId="28885" xr:uid="{460F9D16-7DB1-41FF-B31A-5BF69DB1F6B0}"/>
    <cellStyle name="Normal 5 2 2 3 6 6" xfId="37332" xr:uid="{659D765C-910D-4704-83F9-20C3F1AA6554}"/>
    <cellStyle name="Normal 5 2 2 3 6 7" xfId="11138" xr:uid="{DE2198CB-8F54-4AD2-A163-26E1E0C4788E}"/>
    <cellStyle name="Normal 5 2 2 3 7" xfId="2136" xr:uid="{00000000-0005-0000-0000-0000DF170000}"/>
    <cellStyle name="Normal 5 2 2 3 7 2" xfId="4365" xr:uid="{00000000-0005-0000-0000-0000E0170000}"/>
    <cellStyle name="Normal 5 2 2 3 7 2 2" xfId="8587" xr:uid="{00000000-0005-0000-0000-0000E1170000}"/>
    <cellStyle name="Normal 5 2 2 3 7 2 2 2" xfId="27213" xr:uid="{846124E1-87E8-4A3C-894D-8C011C256AEB}"/>
    <cellStyle name="Normal 5 2 2 3 7 2 2 3" xfId="35660" xr:uid="{4F06542D-B900-4953-AE9B-D579D3E43329}"/>
    <cellStyle name="Normal 5 2 2 3 7 2 2 4" xfId="44107" xr:uid="{CFE4991D-4CB2-42C9-A334-DAA859277ADC}"/>
    <cellStyle name="Normal 5 2 2 3 7 2 2 5" xfId="17913" xr:uid="{3FF097F4-8407-4C1D-9578-FC4CF2218587}"/>
    <cellStyle name="Normal 5 2 2 3 7 2 3" xfId="22996" xr:uid="{FFBAA5F4-D5F1-48B9-BA2E-6180FD209416}"/>
    <cellStyle name="Normal 5 2 2 3 7 2 4" xfId="31443" xr:uid="{33BA27A2-8511-46A7-BFB5-289999EF960B}"/>
    <cellStyle name="Normal 5 2 2 3 7 2 5" xfId="39890" xr:uid="{A066D9E1-F8B4-496A-BDE0-3EA76893F79A}"/>
    <cellStyle name="Normal 5 2 2 3 7 2 6" xfId="13696" xr:uid="{ABE4D332-9F52-42B5-B276-38F9286ED914}"/>
    <cellStyle name="Normal 5 2 2 3 7 3" xfId="6442" xr:uid="{00000000-0005-0000-0000-0000E2170000}"/>
    <cellStyle name="Normal 5 2 2 3 7 3 2" xfId="25068" xr:uid="{8F0A6F7C-8200-4F65-A8B9-B2D8DFE491FE}"/>
    <cellStyle name="Normal 5 2 2 3 7 3 3" xfId="33515" xr:uid="{112A6BDE-2D7C-4718-9957-3D5997742EB6}"/>
    <cellStyle name="Normal 5 2 2 3 7 3 4" xfId="41962" xr:uid="{585F0CA4-D724-4499-86B4-7BCF29B235A1}"/>
    <cellStyle name="Normal 5 2 2 3 7 3 5" xfId="15768" xr:uid="{4245AA4B-EA95-4974-93D2-4FCA50D1F09C}"/>
    <cellStyle name="Normal 5 2 2 3 7 4" xfId="20851" xr:uid="{81DDE5F5-90C2-4C57-8E2F-D12891EFFFED}"/>
    <cellStyle name="Normal 5 2 2 3 7 5" xfId="29298" xr:uid="{5CBFF960-907F-4C95-B73C-590A52A87F9C}"/>
    <cellStyle name="Normal 5 2 2 3 7 6" xfId="37745" xr:uid="{DB706410-76B4-45A6-BB0F-6D4F80C40C4A}"/>
    <cellStyle name="Normal 5 2 2 3 7 7" xfId="11551" xr:uid="{9E39FBBD-E1E6-4F1E-A625-ED33AAE74A7D}"/>
    <cellStyle name="Normal 5 2 2 3 8" xfId="2572" xr:uid="{00000000-0005-0000-0000-0000E3170000}"/>
    <cellStyle name="Normal 5 2 2 3 8 2" xfId="6855" xr:uid="{00000000-0005-0000-0000-0000E4170000}"/>
    <cellStyle name="Normal 5 2 2 3 8 2 2" xfId="25481" xr:uid="{41B4BC76-11B6-4EDC-AD04-E69A9526EEC8}"/>
    <cellStyle name="Normal 5 2 2 3 8 2 3" xfId="33928" xr:uid="{97248125-46B5-438A-8DDE-C1F7093C2B2D}"/>
    <cellStyle name="Normal 5 2 2 3 8 2 4" xfId="42375" xr:uid="{6B9D51E1-41FE-48CD-89A3-40D3172983E4}"/>
    <cellStyle name="Normal 5 2 2 3 8 2 5" xfId="16181" xr:uid="{F63748DD-E6BD-41C7-B642-AD35DAD43022}"/>
    <cellStyle name="Normal 5 2 2 3 8 3" xfId="21264" xr:uid="{24F2EF0A-E966-497C-92CA-A7B2300B3D0E}"/>
    <cellStyle name="Normal 5 2 2 3 8 4" xfId="29711" xr:uid="{4893EDF5-4739-4C00-91A9-EAB8ECEE3D2D}"/>
    <cellStyle name="Normal 5 2 2 3 8 5" xfId="38158" xr:uid="{CD9CC98D-7257-4F7A-A389-4CA3ADB30FAE}"/>
    <cellStyle name="Normal 5 2 2 3 8 6" xfId="11964" xr:uid="{3AE1AB2A-2F8A-4ABA-8B5C-E2914B2D059C}"/>
    <cellStyle name="Normal 5 2 2 3 9" xfId="4790" xr:uid="{00000000-0005-0000-0000-0000E5170000}"/>
    <cellStyle name="Normal 5 2 2 3 9 2" xfId="23416" xr:uid="{DC564C9C-CE39-46AE-A2AB-73E5882EFEA5}"/>
    <cellStyle name="Normal 5 2 2 3 9 3" xfId="31863" xr:uid="{A7556149-3891-4F61-8A74-8D92317E84BB}"/>
    <cellStyle name="Normal 5 2 2 3 9 4" xfId="40310" xr:uid="{CCAD569B-C733-470D-9FAC-B0396E3B0522}"/>
    <cellStyle name="Normal 5 2 2 3 9 5" xfId="14116" xr:uid="{3DA12650-5F4F-4457-B0DD-0A28957812AC}"/>
    <cellStyle name="Normal 5 2 2 4" xfId="421" xr:uid="{00000000-0005-0000-0000-0000E6170000}"/>
    <cellStyle name="Normal 5 2 2 4 10" xfId="19203" xr:uid="{76C780EE-C3E8-4273-B989-3979D2C90F93}"/>
    <cellStyle name="Normal 5 2 2 4 11" xfId="27650" xr:uid="{280A4607-2143-4D3D-8828-C6C099C9CEB6}"/>
    <cellStyle name="Normal 5 2 2 4 12" xfId="36097" xr:uid="{7059591E-BB52-4017-8408-F8334068AF26}"/>
    <cellStyle name="Normal 5 2 2 4 13" xfId="9903" xr:uid="{F9CAC35A-12C2-42DD-8F2E-CEB371113721}"/>
    <cellStyle name="Normal 5 2 2 4 2" xfId="422" xr:uid="{00000000-0005-0000-0000-0000E7170000}"/>
    <cellStyle name="Normal 5 2 2 4 2 10" xfId="27651" xr:uid="{85162150-A999-45EE-AD47-33C62473473A}"/>
    <cellStyle name="Normal 5 2 2 4 2 11" xfId="36098" xr:uid="{E1FEE1BA-038B-4ACE-9C40-9A80FF7ECC19}"/>
    <cellStyle name="Normal 5 2 2 4 2 12" xfId="9904" xr:uid="{092E81E4-89FC-427B-A2D2-2AEB17B83EC5}"/>
    <cellStyle name="Normal 5 2 2 4 2 2" xfId="896" xr:uid="{00000000-0005-0000-0000-0000E8170000}"/>
    <cellStyle name="Normal 5 2 2 4 2 2 2" xfId="3131" xr:uid="{00000000-0005-0000-0000-0000E9170000}"/>
    <cellStyle name="Normal 5 2 2 4 2 2 2 2" xfId="7353" xr:uid="{00000000-0005-0000-0000-0000EA170000}"/>
    <cellStyle name="Normal 5 2 2 4 2 2 2 2 2" xfId="25979" xr:uid="{FA02BE45-A13D-43BF-A47D-B383DFD152F8}"/>
    <cellStyle name="Normal 5 2 2 4 2 2 2 2 3" xfId="34426" xr:uid="{FB652DF6-0510-44A2-B8DE-5DCCD96ED00C}"/>
    <cellStyle name="Normal 5 2 2 4 2 2 2 2 4" xfId="42873" xr:uid="{29CAAB77-6AC1-4717-A98E-2D3E07E61095}"/>
    <cellStyle name="Normal 5 2 2 4 2 2 2 2 5" xfId="16679" xr:uid="{E5ECF9DF-6754-43A0-979E-943EA138E332}"/>
    <cellStyle name="Normal 5 2 2 4 2 2 2 3" xfId="21762" xr:uid="{36AE1055-2808-4F75-8E0E-D2DFC5D69D04}"/>
    <cellStyle name="Normal 5 2 2 4 2 2 2 4" xfId="30209" xr:uid="{303D4B90-28B0-42BC-AEBC-FE345C42DE2E}"/>
    <cellStyle name="Normal 5 2 2 4 2 2 2 5" xfId="38656" xr:uid="{ED4F9046-9150-4328-877C-7ECC260C0846}"/>
    <cellStyle name="Normal 5 2 2 4 2 2 2 6" xfId="12462" xr:uid="{ECAFCD72-AD2C-41BC-8B31-9B9D5891BEA6}"/>
    <cellStyle name="Normal 5 2 2 4 2 2 3" xfId="5208" xr:uid="{00000000-0005-0000-0000-0000EB170000}"/>
    <cellStyle name="Normal 5 2 2 4 2 2 3 2" xfId="23834" xr:uid="{48AE2C25-31A2-4204-8474-C96A00DE7462}"/>
    <cellStyle name="Normal 5 2 2 4 2 2 3 3" xfId="32281" xr:uid="{97A0CB9C-A1DF-46EF-910C-36AEDFFBFB34}"/>
    <cellStyle name="Normal 5 2 2 4 2 2 3 4" xfId="40728" xr:uid="{0AD1C609-2888-40E0-B690-EBF82331FDEA}"/>
    <cellStyle name="Normal 5 2 2 4 2 2 3 5" xfId="14534" xr:uid="{15F86481-9899-4748-B72A-381B463B179F}"/>
    <cellStyle name="Normal 5 2 2 4 2 2 4" xfId="9488" xr:uid="{2997B11D-E810-48A4-BD3C-4498479B295E}"/>
    <cellStyle name="Normal 5 2 2 4 2 2 4 2" xfId="18804" xr:uid="{E64867D2-4640-403C-938C-710BF7FAFFC0}"/>
    <cellStyle name="Normal 5 2 2 4 2 2 5" xfId="19617" xr:uid="{CC303465-3214-4804-B64A-3424C3FADEE0}"/>
    <cellStyle name="Normal 5 2 2 4 2 2 6" xfId="28064" xr:uid="{84876E45-37B5-499C-BED2-DA38EE8BDDCA}"/>
    <cellStyle name="Normal 5 2 2 4 2 2 7" xfId="36511" xr:uid="{86070744-7599-4923-A2D7-2C647A9C5CFE}"/>
    <cellStyle name="Normal 5 2 2 4 2 2 8" xfId="10317" xr:uid="{A36F059F-7001-433C-B6B7-E778F3A41C5C}"/>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2 2 2" xfId="26392" xr:uid="{FEEF447D-AD79-428E-BF5B-CCB1C43042CE}"/>
    <cellStyle name="Normal 5 2 2 4 2 3 2 2 3" xfId="34839" xr:uid="{DE476426-21ED-4BC2-A69E-7E303293C8A4}"/>
    <cellStyle name="Normal 5 2 2 4 2 3 2 2 4" xfId="43286" xr:uid="{F8A20DB1-6C8E-47D2-8A87-0C2DE04C7DD8}"/>
    <cellStyle name="Normal 5 2 2 4 2 3 2 2 5" xfId="17092" xr:uid="{BA3ABB23-B7E2-4A38-BEB2-2EBCAC536F25}"/>
    <cellStyle name="Normal 5 2 2 4 2 3 2 3" xfId="22175" xr:uid="{3BA89580-BD3B-456D-BE52-2BD6DAD21991}"/>
    <cellStyle name="Normal 5 2 2 4 2 3 2 4" xfId="30622" xr:uid="{A881DE8F-F95A-47D3-9506-E4962046D0BF}"/>
    <cellStyle name="Normal 5 2 2 4 2 3 2 5" xfId="39069" xr:uid="{3E75E4FC-FF7F-4FF9-8683-63C16FB94EA5}"/>
    <cellStyle name="Normal 5 2 2 4 2 3 2 6" xfId="12875" xr:uid="{6FBCA110-1E14-4DCF-975F-8CD16120D3CD}"/>
    <cellStyle name="Normal 5 2 2 4 2 3 3" xfId="5621" xr:uid="{00000000-0005-0000-0000-0000EF170000}"/>
    <cellStyle name="Normal 5 2 2 4 2 3 3 2" xfId="24247" xr:uid="{030C5C4D-F631-4480-9AFC-8D9F103F887C}"/>
    <cellStyle name="Normal 5 2 2 4 2 3 3 3" xfId="32694" xr:uid="{C1B10B55-89DE-4871-B673-AD8C9F4F0C35}"/>
    <cellStyle name="Normal 5 2 2 4 2 3 3 4" xfId="41141" xr:uid="{DC22F47A-FA20-4CB6-AD4D-36CDE78FE744}"/>
    <cellStyle name="Normal 5 2 2 4 2 3 3 5" xfId="14947" xr:uid="{A39C56E9-B3C0-43A7-8B08-D35B866E4063}"/>
    <cellStyle name="Normal 5 2 2 4 2 3 4" xfId="20030" xr:uid="{D4BDE11E-5F8D-41D1-BD5C-0C0919EC091E}"/>
    <cellStyle name="Normal 5 2 2 4 2 3 5" xfId="28477" xr:uid="{D5FE5199-F255-40C2-918D-D7827B57C1F9}"/>
    <cellStyle name="Normal 5 2 2 4 2 3 6" xfId="36924" xr:uid="{B278CDBA-B45C-45F8-81EA-B4262A799CF4}"/>
    <cellStyle name="Normal 5 2 2 4 2 3 7" xfId="10730" xr:uid="{59A184BD-F12B-449D-A67C-787893C16B95}"/>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2 2 2" xfId="26805" xr:uid="{4DCCF120-7D2A-4ECD-9483-DE63A82EFB3E}"/>
    <cellStyle name="Normal 5 2 2 4 2 4 2 2 3" xfId="35252" xr:uid="{1A08526A-0609-4532-8ABB-283E4753BD67}"/>
    <cellStyle name="Normal 5 2 2 4 2 4 2 2 4" xfId="43699" xr:uid="{B6B3E880-51EB-4753-9237-C8A96D770D94}"/>
    <cellStyle name="Normal 5 2 2 4 2 4 2 2 5" xfId="17505" xr:uid="{EE419ACF-B91C-494C-8780-4963AF71102A}"/>
    <cellStyle name="Normal 5 2 2 4 2 4 2 3" xfId="22588" xr:uid="{45D1821E-886B-4B9D-9ABF-1E55E1A300A8}"/>
    <cellStyle name="Normal 5 2 2 4 2 4 2 4" xfId="31035" xr:uid="{DF61C73C-4A7D-4E82-AE4A-A5CEB3A08FA9}"/>
    <cellStyle name="Normal 5 2 2 4 2 4 2 5" xfId="39482" xr:uid="{C7223730-A2E2-4EB5-9623-2A8DC815709C}"/>
    <cellStyle name="Normal 5 2 2 4 2 4 2 6" xfId="13288" xr:uid="{6DA7C982-7F19-4F8D-B6D7-C62108A7698E}"/>
    <cellStyle name="Normal 5 2 2 4 2 4 3" xfId="6034" xr:uid="{00000000-0005-0000-0000-0000F3170000}"/>
    <cellStyle name="Normal 5 2 2 4 2 4 3 2" xfId="24660" xr:uid="{84658EA7-34CC-4EE8-9A42-339CFD3A9065}"/>
    <cellStyle name="Normal 5 2 2 4 2 4 3 3" xfId="33107" xr:uid="{73BB51FA-B7C9-499F-8F5A-7F336CCECF78}"/>
    <cellStyle name="Normal 5 2 2 4 2 4 3 4" xfId="41554" xr:uid="{6486D83B-F7F2-4F19-9B0E-D43E515F1066}"/>
    <cellStyle name="Normal 5 2 2 4 2 4 3 5" xfId="15360" xr:uid="{49DB92C6-F3BA-4856-BCCB-397B50493C55}"/>
    <cellStyle name="Normal 5 2 2 4 2 4 4" xfId="20443" xr:uid="{53512149-203E-4F27-BD76-3292BB1BD6FA}"/>
    <cellStyle name="Normal 5 2 2 4 2 4 5" xfId="28890" xr:uid="{865A9986-7C05-4B33-BB35-EE6BF391444E}"/>
    <cellStyle name="Normal 5 2 2 4 2 4 6" xfId="37337" xr:uid="{3EB0DCDE-7B52-421C-AA3B-412C9B0A1439}"/>
    <cellStyle name="Normal 5 2 2 4 2 4 7" xfId="11143" xr:uid="{C9167FA2-E51D-43E2-9AAB-D819961DDC7B}"/>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2 2 2" xfId="27218" xr:uid="{23CB587D-3949-4E6D-96BE-CD982230B5B1}"/>
    <cellStyle name="Normal 5 2 2 4 2 5 2 2 3" xfId="35665" xr:uid="{3B4EE795-7FD9-43A0-9E61-94849E25F012}"/>
    <cellStyle name="Normal 5 2 2 4 2 5 2 2 4" xfId="44112" xr:uid="{9DA0F0C7-E077-49C0-A98D-8D9D4D68B343}"/>
    <cellStyle name="Normal 5 2 2 4 2 5 2 2 5" xfId="17918" xr:uid="{2D21613E-04BF-4198-8827-B7E86B6A977C}"/>
    <cellStyle name="Normal 5 2 2 4 2 5 2 3" xfId="23001" xr:uid="{5190A26D-4E42-4BAA-AF18-40E04BAF4208}"/>
    <cellStyle name="Normal 5 2 2 4 2 5 2 4" xfId="31448" xr:uid="{36F93189-7468-416C-B64C-2114533F85EA}"/>
    <cellStyle name="Normal 5 2 2 4 2 5 2 5" xfId="39895" xr:uid="{14695ABC-4A58-4D57-AE81-B76A4684781B}"/>
    <cellStyle name="Normal 5 2 2 4 2 5 2 6" xfId="13701" xr:uid="{382B635D-DFFF-483A-B889-E45C47B439C1}"/>
    <cellStyle name="Normal 5 2 2 4 2 5 3" xfId="6447" xr:uid="{00000000-0005-0000-0000-0000F7170000}"/>
    <cellStyle name="Normal 5 2 2 4 2 5 3 2" xfId="25073" xr:uid="{3956A51A-AF2E-49FE-A1BD-E771A3F499D9}"/>
    <cellStyle name="Normal 5 2 2 4 2 5 3 3" xfId="33520" xr:uid="{D7E0E639-6B22-4E79-AB28-3DEC268CEB7F}"/>
    <cellStyle name="Normal 5 2 2 4 2 5 3 4" xfId="41967" xr:uid="{FEC8AE08-4110-4378-BB26-FD58D6F63761}"/>
    <cellStyle name="Normal 5 2 2 4 2 5 3 5" xfId="15773" xr:uid="{6ADB08DC-021E-4919-973B-0D2AB9914C96}"/>
    <cellStyle name="Normal 5 2 2 4 2 5 4" xfId="20856" xr:uid="{05B2BA69-CB8D-481D-A98E-BB0AC86ACB4A}"/>
    <cellStyle name="Normal 5 2 2 4 2 5 5" xfId="29303" xr:uid="{0D9A7F3B-3ACB-46ED-BA8F-F04E252428D3}"/>
    <cellStyle name="Normal 5 2 2 4 2 5 6" xfId="37750" xr:uid="{1CDCFDA8-5A6A-415D-910E-7810B11E67B6}"/>
    <cellStyle name="Normal 5 2 2 4 2 5 7" xfId="11556" xr:uid="{11D4B8F5-693C-407F-8CEC-8EE1B7713268}"/>
    <cellStyle name="Normal 5 2 2 4 2 6" xfId="2577" xr:uid="{00000000-0005-0000-0000-0000F8170000}"/>
    <cellStyle name="Normal 5 2 2 4 2 6 2" xfId="6860" xr:uid="{00000000-0005-0000-0000-0000F9170000}"/>
    <cellStyle name="Normal 5 2 2 4 2 6 2 2" xfId="25486" xr:uid="{A1CD0717-6028-47AB-84C4-4E089944117C}"/>
    <cellStyle name="Normal 5 2 2 4 2 6 2 3" xfId="33933" xr:uid="{935182D5-9840-484F-A4BA-B5C0A37785DE}"/>
    <cellStyle name="Normal 5 2 2 4 2 6 2 4" xfId="42380" xr:uid="{A72A8FC3-00CF-40FA-955F-D00B2865B675}"/>
    <cellStyle name="Normal 5 2 2 4 2 6 2 5" xfId="16186" xr:uid="{11E95C3E-FD40-4C9F-A920-B893EEBEB97F}"/>
    <cellStyle name="Normal 5 2 2 4 2 6 3" xfId="21269" xr:uid="{5ACB67C8-BDE3-4ABE-8073-7802F295BC3C}"/>
    <cellStyle name="Normal 5 2 2 4 2 6 4" xfId="29716" xr:uid="{1875931F-1654-4B07-9C67-04BB62E4E254}"/>
    <cellStyle name="Normal 5 2 2 4 2 6 5" xfId="38163" xr:uid="{17C772C6-BA77-4D05-8A0E-ECCC31DC5ACA}"/>
    <cellStyle name="Normal 5 2 2 4 2 6 6" xfId="11969" xr:uid="{A91BE245-25B9-4E92-AD34-6982AED0B35E}"/>
    <cellStyle name="Normal 5 2 2 4 2 7" xfId="4795" xr:uid="{00000000-0005-0000-0000-0000FA170000}"/>
    <cellStyle name="Normal 5 2 2 4 2 7 2" xfId="23421" xr:uid="{2420C80E-FDB9-47F7-AE34-E5C2EB30A5E1}"/>
    <cellStyle name="Normal 5 2 2 4 2 7 3" xfId="31868" xr:uid="{9D8A2E12-C464-41FC-BCF5-D856FD8222FD}"/>
    <cellStyle name="Normal 5 2 2 4 2 7 4" xfId="40315" xr:uid="{E2B57658-D1E5-4951-8397-74E3123FF49B}"/>
    <cellStyle name="Normal 5 2 2 4 2 7 5" xfId="14121" xr:uid="{1B10BB49-DAA7-4805-B153-19B45F3F0E6D}"/>
    <cellStyle name="Normal 5 2 2 4 2 8" xfId="9063" xr:uid="{3B1AA107-8D7F-4938-A60C-EED41E9B9A2A}"/>
    <cellStyle name="Normal 5 2 2 4 2 8 2" xfId="18387" xr:uid="{0C788C1D-1506-4821-AA84-A6E5626D6841}"/>
    <cellStyle name="Normal 5 2 2 4 2 9" xfId="19204" xr:uid="{418262A1-95E9-418C-A677-CBF22C426052}"/>
    <cellStyle name="Normal 5 2 2 4 3" xfId="895" xr:uid="{00000000-0005-0000-0000-0000FB170000}"/>
    <cellStyle name="Normal 5 2 2 4 3 2" xfId="3130" xr:uid="{00000000-0005-0000-0000-0000FC170000}"/>
    <cellStyle name="Normal 5 2 2 4 3 2 2" xfId="7352" xr:uid="{00000000-0005-0000-0000-0000FD170000}"/>
    <cellStyle name="Normal 5 2 2 4 3 2 2 2" xfId="25978" xr:uid="{BEB43F0C-49AB-4B07-B7C1-8E562CAB1B86}"/>
    <cellStyle name="Normal 5 2 2 4 3 2 2 3" xfId="34425" xr:uid="{9531D449-731D-4F72-BEAD-14D106596925}"/>
    <cellStyle name="Normal 5 2 2 4 3 2 2 4" xfId="42872" xr:uid="{5D8B8A72-9AD1-4080-B6C9-4B51B5C3045F}"/>
    <cellStyle name="Normal 5 2 2 4 3 2 2 5" xfId="16678" xr:uid="{2FE700DD-9930-4B4D-9E62-BFBCDDAC9394}"/>
    <cellStyle name="Normal 5 2 2 4 3 2 3" xfId="21761" xr:uid="{94F0758E-22F0-40F7-92D0-0A5F509172ED}"/>
    <cellStyle name="Normal 5 2 2 4 3 2 4" xfId="30208" xr:uid="{BCCCC38F-E457-4312-90E1-D748E08ADB3E}"/>
    <cellStyle name="Normal 5 2 2 4 3 2 5" xfId="38655" xr:uid="{764F6650-F9E2-4F58-9F61-0771C85DF417}"/>
    <cellStyle name="Normal 5 2 2 4 3 2 6" xfId="12461" xr:uid="{2357D5AE-3625-4920-A36F-94A7826EEF3A}"/>
    <cellStyle name="Normal 5 2 2 4 3 3" xfId="5207" xr:uid="{00000000-0005-0000-0000-0000FE170000}"/>
    <cellStyle name="Normal 5 2 2 4 3 3 2" xfId="23833" xr:uid="{4005D07F-B777-4DB3-ACC0-AAA678CF067E}"/>
    <cellStyle name="Normal 5 2 2 4 3 3 3" xfId="32280" xr:uid="{688936E9-176D-4DA5-A19A-CB6848019DD7}"/>
    <cellStyle name="Normal 5 2 2 4 3 3 4" xfId="40727" xr:uid="{55D03176-E177-406F-9402-8E1E2103F911}"/>
    <cellStyle name="Normal 5 2 2 4 3 3 5" xfId="14533" xr:uid="{B1F1B260-B35F-4899-A4F2-0A7BC15DCE2F}"/>
    <cellStyle name="Normal 5 2 2 4 3 4" xfId="9281" xr:uid="{9304050F-95A7-4BE3-AD21-FEBB7D0875B2}"/>
    <cellStyle name="Normal 5 2 2 4 3 4 2" xfId="18597" xr:uid="{EDB9FB69-D0E5-4CD9-A4D6-BD4B45591F33}"/>
    <cellStyle name="Normal 5 2 2 4 3 5" xfId="19616" xr:uid="{1607BC47-3FD2-4514-9E1B-7A4B0479AD46}"/>
    <cellStyle name="Normal 5 2 2 4 3 6" xfId="28063" xr:uid="{62ACBFF1-8281-4E61-ABD3-6826ED6F77ED}"/>
    <cellStyle name="Normal 5 2 2 4 3 7" xfId="36510" xr:uid="{3062CF9F-5231-44F6-93D9-4CEA99E3F1CC}"/>
    <cellStyle name="Normal 5 2 2 4 3 8" xfId="10316" xr:uid="{F1D36AB6-DE96-4845-A801-51B90B67F77C}"/>
    <cellStyle name="Normal 5 2 2 4 4" xfId="1313" xr:uid="{00000000-0005-0000-0000-0000FF170000}"/>
    <cellStyle name="Normal 5 2 2 4 4 2" xfId="3543" xr:uid="{00000000-0005-0000-0000-000000180000}"/>
    <cellStyle name="Normal 5 2 2 4 4 2 2" xfId="7765" xr:uid="{00000000-0005-0000-0000-000001180000}"/>
    <cellStyle name="Normal 5 2 2 4 4 2 2 2" xfId="26391" xr:uid="{C4745FBE-FD0E-4B15-8941-788BBF3D61E8}"/>
    <cellStyle name="Normal 5 2 2 4 4 2 2 3" xfId="34838" xr:uid="{EE80F2B2-1D5A-4AF4-B717-8490423AF607}"/>
    <cellStyle name="Normal 5 2 2 4 4 2 2 4" xfId="43285" xr:uid="{A969B5EA-EBD9-4A18-A0F0-A3DF2125BBE4}"/>
    <cellStyle name="Normal 5 2 2 4 4 2 2 5" xfId="17091" xr:uid="{F4EFF776-159D-4E8E-B4F7-F03BF7B11B89}"/>
    <cellStyle name="Normal 5 2 2 4 4 2 3" xfId="22174" xr:uid="{0690D702-38BF-4047-8EFB-5C5782C87C3A}"/>
    <cellStyle name="Normal 5 2 2 4 4 2 4" xfId="30621" xr:uid="{3072FC55-12D9-468F-A131-656EF70D456D}"/>
    <cellStyle name="Normal 5 2 2 4 4 2 5" xfId="39068" xr:uid="{4BBD1A10-99BE-4F0B-BC3A-1A5189605E2E}"/>
    <cellStyle name="Normal 5 2 2 4 4 2 6" xfId="12874" xr:uid="{4F83EE2E-766C-4A2D-92F4-B62422251DA3}"/>
    <cellStyle name="Normal 5 2 2 4 4 3" xfId="5620" xr:uid="{00000000-0005-0000-0000-000002180000}"/>
    <cellStyle name="Normal 5 2 2 4 4 3 2" xfId="24246" xr:uid="{C4EE4829-E2A9-43EC-B73D-90675EB48CEF}"/>
    <cellStyle name="Normal 5 2 2 4 4 3 3" xfId="32693" xr:uid="{E4768E50-D30A-4876-805B-03A574F72C56}"/>
    <cellStyle name="Normal 5 2 2 4 4 3 4" xfId="41140" xr:uid="{3289BD9A-13F2-4643-8525-801943CBD7CC}"/>
    <cellStyle name="Normal 5 2 2 4 4 3 5" xfId="14946" xr:uid="{5C43C427-12AC-4D44-9842-927B157067B1}"/>
    <cellStyle name="Normal 5 2 2 4 4 4" xfId="20029" xr:uid="{724C8FD2-EF28-4E59-8FC5-E78B265A6BB2}"/>
    <cellStyle name="Normal 5 2 2 4 4 5" xfId="28476" xr:uid="{8458A773-3843-4DDF-8C59-62B9E3D77B0B}"/>
    <cellStyle name="Normal 5 2 2 4 4 6" xfId="36923" xr:uid="{57E097E2-2875-4A5D-93C1-530BC19384C2}"/>
    <cellStyle name="Normal 5 2 2 4 4 7" xfId="10729" xr:uid="{A6C36266-5E45-4ABC-BF2E-72867B8377DD}"/>
    <cellStyle name="Normal 5 2 2 4 5" xfId="1726" xr:uid="{00000000-0005-0000-0000-000003180000}"/>
    <cellStyle name="Normal 5 2 2 4 5 2" xfId="3956" xr:uid="{00000000-0005-0000-0000-000004180000}"/>
    <cellStyle name="Normal 5 2 2 4 5 2 2" xfId="8178" xr:uid="{00000000-0005-0000-0000-000005180000}"/>
    <cellStyle name="Normal 5 2 2 4 5 2 2 2" xfId="26804" xr:uid="{ABCC82D3-7B9D-40F0-9622-A0E71A7E307A}"/>
    <cellStyle name="Normal 5 2 2 4 5 2 2 3" xfId="35251" xr:uid="{F1392980-BBE5-428E-9286-498C2D903A30}"/>
    <cellStyle name="Normal 5 2 2 4 5 2 2 4" xfId="43698" xr:uid="{A6C98535-A088-4BB8-843D-8115297679F5}"/>
    <cellStyle name="Normal 5 2 2 4 5 2 2 5" xfId="17504" xr:uid="{47937AC2-6CBD-464B-B4F0-0F3F3DBAF2FD}"/>
    <cellStyle name="Normal 5 2 2 4 5 2 3" xfId="22587" xr:uid="{1CFC1B6A-9EC8-4A4D-98E7-DD31613AE842}"/>
    <cellStyle name="Normal 5 2 2 4 5 2 4" xfId="31034" xr:uid="{CA77B843-A474-4A2E-9FA1-4E6EE6548E97}"/>
    <cellStyle name="Normal 5 2 2 4 5 2 5" xfId="39481" xr:uid="{1416A6DD-B9C4-4F67-9C3E-F8475BC233B7}"/>
    <cellStyle name="Normal 5 2 2 4 5 2 6" xfId="13287" xr:uid="{16EE5622-6C1E-450C-8E63-A11D44794870}"/>
    <cellStyle name="Normal 5 2 2 4 5 3" xfId="6033" xr:uid="{00000000-0005-0000-0000-000006180000}"/>
    <cellStyle name="Normal 5 2 2 4 5 3 2" xfId="24659" xr:uid="{791C2DCA-C81F-472E-A358-D5BD127CFC5B}"/>
    <cellStyle name="Normal 5 2 2 4 5 3 3" xfId="33106" xr:uid="{26919167-32DA-4DD8-98A2-055473F42AA3}"/>
    <cellStyle name="Normal 5 2 2 4 5 3 4" xfId="41553" xr:uid="{9736BCD8-9B46-481B-B5F9-1247A41D891B}"/>
    <cellStyle name="Normal 5 2 2 4 5 3 5" xfId="15359" xr:uid="{923B201D-CBA3-4AC0-9F24-D1FC798D22C2}"/>
    <cellStyle name="Normal 5 2 2 4 5 4" xfId="20442" xr:uid="{60228E80-E263-465C-968B-05451E17A949}"/>
    <cellStyle name="Normal 5 2 2 4 5 5" xfId="28889" xr:uid="{41090F8E-C0E8-4D60-B512-0C2E76378E18}"/>
    <cellStyle name="Normal 5 2 2 4 5 6" xfId="37336" xr:uid="{863194A0-A21B-4E7E-AC07-4AA2388CE9F7}"/>
    <cellStyle name="Normal 5 2 2 4 5 7" xfId="11142" xr:uid="{2FA6BCC7-3B5E-4C28-8532-C52952DBB3C8}"/>
    <cellStyle name="Normal 5 2 2 4 6" xfId="2140" xr:uid="{00000000-0005-0000-0000-000007180000}"/>
    <cellStyle name="Normal 5 2 2 4 6 2" xfId="4369" xr:uid="{00000000-0005-0000-0000-000008180000}"/>
    <cellStyle name="Normal 5 2 2 4 6 2 2" xfId="8591" xr:uid="{00000000-0005-0000-0000-000009180000}"/>
    <cellStyle name="Normal 5 2 2 4 6 2 2 2" xfId="27217" xr:uid="{EE932811-DC9C-45BD-AEE7-36C315B80653}"/>
    <cellStyle name="Normal 5 2 2 4 6 2 2 3" xfId="35664" xr:uid="{D6AC35A5-4DC3-4965-8A4A-C3D092D16173}"/>
    <cellStyle name="Normal 5 2 2 4 6 2 2 4" xfId="44111" xr:uid="{32C253B0-C9FB-47A9-8FA5-00C93D078794}"/>
    <cellStyle name="Normal 5 2 2 4 6 2 2 5" xfId="17917" xr:uid="{0D37A547-9D94-47BB-8E0F-B856AEBA4F7D}"/>
    <cellStyle name="Normal 5 2 2 4 6 2 3" xfId="23000" xr:uid="{320FE1B1-8891-4C86-8E13-4762CA95BE30}"/>
    <cellStyle name="Normal 5 2 2 4 6 2 4" xfId="31447" xr:uid="{7B20001A-38F4-4CC6-A0BE-B4BBF093AF35}"/>
    <cellStyle name="Normal 5 2 2 4 6 2 5" xfId="39894" xr:uid="{12334134-B7AC-46FC-958E-82FB11A739B2}"/>
    <cellStyle name="Normal 5 2 2 4 6 2 6" xfId="13700" xr:uid="{73A531EE-2B50-480A-8DC4-D3E5DB642002}"/>
    <cellStyle name="Normal 5 2 2 4 6 3" xfId="6446" xr:uid="{00000000-0005-0000-0000-00000A180000}"/>
    <cellStyle name="Normal 5 2 2 4 6 3 2" xfId="25072" xr:uid="{507F7769-E73D-46B3-82FE-9EBDFAEC9E6F}"/>
    <cellStyle name="Normal 5 2 2 4 6 3 3" xfId="33519" xr:uid="{3E5B836D-896D-416A-BABA-E548D72F77A3}"/>
    <cellStyle name="Normal 5 2 2 4 6 3 4" xfId="41966" xr:uid="{8AC40760-1C9D-439C-A1BB-AC64117C2421}"/>
    <cellStyle name="Normal 5 2 2 4 6 3 5" xfId="15772" xr:uid="{5D1832BA-4BC6-4594-9805-A44B92734B26}"/>
    <cellStyle name="Normal 5 2 2 4 6 4" xfId="20855" xr:uid="{257A23C7-C4F0-47A8-8201-50630487A97E}"/>
    <cellStyle name="Normal 5 2 2 4 6 5" xfId="29302" xr:uid="{6C72544C-D59E-439F-B341-2BC8AD6A70FC}"/>
    <cellStyle name="Normal 5 2 2 4 6 6" xfId="37749" xr:uid="{0B3D21C9-D0CA-4759-804C-66D32D5D1A1F}"/>
    <cellStyle name="Normal 5 2 2 4 6 7" xfId="11555" xr:uid="{380A395C-5A00-433A-9C47-CD889A678086}"/>
    <cellStyle name="Normal 5 2 2 4 7" xfId="2576" xr:uid="{00000000-0005-0000-0000-00000B180000}"/>
    <cellStyle name="Normal 5 2 2 4 7 2" xfId="6859" xr:uid="{00000000-0005-0000-0000-00000C180000}"/>
    <cellStyle name="Normal 5 2 2 4 7 2 2" xfId="25485" xr:uid="{DE0CE5E8-A15B-44F1-A822-081A5F781FB9}"/>
    <cellStyle name="Normal 5 2 2 4 7 2 3" xfId="33932" xr:uid="{64B97878-0999-4E9A-9F7D-08161E69B13D}"/>
    <cellStyle name="Normal 5 2 2 4 7 2 4" xfId="42379" xr:uid="{D4E2D0E5-4439-487A-AD4C-2C82A025C690}"/>
    <cellStyle name="Normal 5 2 2 4 7 2 5" xfId="16185" xr:uid="{A8291051-90F3-4545-82EA-BDDE8C09D4A2}"/>
    <cellStyle name="Normal 5 2 2 4 7 3" xfId="21268" xr:uid="{2312A99F-712B-4408-A528-5D5EECAF2895}"/>
    <cellStyle name="Normal 5 2 2 4 7 4" xfId="29715" xr:uid="{91DD275C-EA6F-44D8-B9A1-F0DCD369632C}"/>
    <cellStyle name="Normal 5 2 2 4 7 5" xfId="38162" xr:uid="{B20474B5-6C00-4DE9-8355-D6268ACBE5BA}"/>
    <cellStyle name="Normal 5 2 2 4 7 6" xfId="11968" xr:uid="{02C03813-88FF-403C-828C-2694D524550D}"/>
    <cellStyle name="Normal 5 2 2 4 8" xfId="4794" xr:uid="{00000000-0005-0000-0000-00000D180000}"/>
    <cellStyle name="Normal 5 2 2 4 8 2" xfId="23420" xr:uid="{4BF3B649-F2E7-4104-ADB3-F11DBE2021E5}"/>
    <cellStyle name="Normal 5 2 2 4 8 3" xfId="31867" xr:uid="{9265A1F7-A21D-4E51-A269-FAAEC897DB74}"/>
    <cellStyle name="Normal 5 2 2 4 8 4" xfId="40314" xr:uid="{F9A355F1-2FFF-4720-BABE-831F76BB90C6}"/>
    <cellStyle name="Normal 5 2 2 4 8 5" xfId="14120" xr:uid="{F977A5F1-9303-42CE-B93F-E7A3DE487128}"/>
    <cellStyle name="Normal 5 2 2 4 9" xfId="8856" xr:uid="{8A537EF5-BE1D-4B82-9546-B2DC1F74308F}"/>
    <cellStyle name="Normal 5 2 2 4 9 2" xfId="18180" xr:uid="{6AD0BABA-BBF5-4289-8D19-C3B072B9FF0C}"/>
    <cellStyle name="Normal 5 2 2 5" xfId="423" xr:uid="{00000000-0005-0000-0000-00000E180000}"/>
    <cellStyle name="Normal 5 2 2 5 10" xfId="27652" xr:uid="{DD23D795-06F4-4C2F-B913-74C00046F5D5}"/>
    <cellStyle name="Normal 5 2 2 5 11" xfId="36099" xr:uid="{982194DB-868F-4BF4-980E-460721A78F2B}"/>
    <cellStyle name="Normal 5 2 2 5 12" xfId="9905" xr:uid="{CBF6DAB1-1323-43C7-9679-5455138F2F8A}"/>
    <cellStyle name="Normal 5 2 2 5 2" xfId="897" xr:uid="{00000000-0005-0000-0000-00000F180000}"/>
    <cellStyle name="Normal 5 2 2 5 2 2" xfId="3132" xr:uid="{00000000-0005-0000-0000-000010180000}"/>
    <cellStyle name="Normal 5 2 2 5 2 2 2" xfId="7354" xr:uid="{00000000-0005-0000-0000-000011180000}"/>
    <cellStyle name="Normal 5 2 2 5 2 2 2 2" xfId="25980" xr:uid="{8BCA64EB-BF40-48BC-A711-19F2625CFCC9}"/>
    <cellStyle name="Normal 5 2 2 5 2 2 2 3" xfId="34427" xr:uid="{F1E0B9EE-6867-48D8-A16C-2F22BA4FC54A}"/>
    <cellStyle name="Normal 5 2 2 5 2 2 2 4" xfId="42874" xr:uid="{37226EB5-61EB-4C35-89FC-2A78107295C1}"/>
    <cellStyle name="Normal 5 2 2 5 2 2 2 5" xfId="16680" xr:uid="{B0719A54-7C01-49F8-BBAB-8545276606C7}"/>
    <cellStyle name="Normal 5 2 2 5 2 2 3" xfId="21763" xr:uid="{1E51E238-F0D4-41B2-B556-EC620BAEF1AC}"/>
    <cellStyle name="Normal 5 2 2 5 2 2 4" xfId="30210" xr:uid="{771EE84B-FAC2-433C-A115-1161B77C8293}"/>
    <cellStyle name="Normal 5 2 2 5 2 2 5" xfId="38657" xr:uid="{6AF947EB-F1BA-4592-AC5C-5E04304BCCC1}"/>
    <cellStyle name="Normal 5 2 2 5 2 2 6" xfId="12463" xr:uid="{98C80F11-4B93-4B66-BA5A-06B9B7077BFC}"/>
    <cellStyle name="Normal 5 2 2 5 2 3" xfId="5209" xr:uid="{00000000-0005-0000-0000-000012180000}"/>
    <cellStyle name="Normal 5 2 2 5 2 3 2" xfId="23835" xr:uid="{9E863AA5-604A-4478-9820-CA0B4D2B6138}"/>
    <cellStyle name="Normal 5 2 2 5 2 3 3" xfId="32282" xr:uid="{845140BE-2909-409B-B7B3-2B474593E181}"/>
    <cellStyle name="Normal 5 2 2 5 2 3 4" xfId="40729" xr:uid="{8C4F7ABA-9D59-476D-A96F-ED628DC02305}"/>
    <cellStyle name="Normal 5 2 2 5 2 3 5" xfId="14535" xr:uid="{DB3E41AC-792B-461C-8CCB-09D23E13B7CB}"/>
    <cellStyle name="Normal 5 2 2 5 2 4" xfId="9397" xr:uid="{3CB0B9A4-F907-4F52-ACFC-7970F7AF9B13}"/>
    <cellStyle name="Normal 5 2 2 5 2 4 2" xfId="18713" xr:uid="{18945F42-9404-415E-9649-45D79DD6753B}"/>
    <cellStyle name="Normal 5 2 2 5 2 5" xfId="19618" xr:uid="{9DF103E9-5F04-4522-B1E4-D25FFFE730B9}"/>
    <cellStyle name="Normal 5 2 2 5 2 6" xfId="28065" xr:uid="{A426E3CE-70FC-499D-B040-509D42F5A6D1}"/>
    <cellStyle name="Normal 5 2 2 5 2 7" xfId="36512" xr:uid="{CF318A94-AB61-42F5-8787-C6A35741D83A}"/>
    <cellStyle name="Normal 5 2 2 5 2 8" xfId="10318" xr:uid="{639E7F1C-A56E-4C2F-95CF-0E3BE9FE9294}"/>
    <cellStyle name="Normal 5 2 2 5 3" xfId="1315" xr:uid="{00000000-0005-0000-0000-000013180000}"/>
    <cellStyle name="Normal 5 2 2 5 3 2" xfId="3545" xr:uid="{00000000-0005-0000-0000-000014180000}"/>
    <cellStyle name="Normal 5 2 2 5 3 2 2" xfId="7767" xr:uid="{00000000-0005-0000-0000-000015180000}"/>
    <cellStyle name="Normal 5 2 2 5 3 2 2 2" xfId="26393" xr:uid="{19E6C71C-A7F1-432D-BBD4-861416C4909D}"/>
    <cellStyle name="Normal 5 2 2 5 3 2 2 3" xfId="34840" xr:uid="{93C485C0-CCD0-4A1F-8A32-231C130C96CC}"/>
    <cellStyle name="Normal 5 2 2 5 3 2 2 4" xfId="43287" xr:uid="{2A4462AF-209B-4753-B295-83CEE76244CF}"/>
    <cellStyle name="Normal 5 2 2 5 3 2 2 5" xfId="17093" xr:uid="{869FB00F-3F3E-438F-BDB5-9414DF70A95C}"/>
    <cellStyle name="Normal 5 2 2 5 3 2 3" xfId="22176" xr:uid="{EA3815EE-52D9-4975-B990-155596A9275E}"/>
    <cellStyle name="Normal 5 2 2 5 3 2 4" xfId="30623" xr:uid="{003145B5-9D9B-48C2-AD6D-EFE6525F486B}"/>
    <cellStyle name="Normal 5 2 2 5 3 2 5" xfId="39070" xr:uid="{E133E51F-743C-403F-B8C1-6DF15666965A}"/>
    <cellStyle name="Normal 5 2 2 5 3 2 6" xfId="12876" xr:uid="{2D40F21A-CEF2-4D98-A6E5-CC90D4F2FA72}"/>
    <cellStyle name="Normal 5 2 2 5 3 3" xfId="5622" xr:uid="{00000000-0005-0000-0000-000016180000}"/>
    <cellStyle name="Normal 5 2 2 5 3 3 2" xfId="24248" xr:uid="{64E04CC1-206C-4249-98D1-D43C8A99EAD2}"/>
    <cellStyle name="Normal 5 2 2 5 3 3 3" xfId="32695" xr:uid="{E81E9478-29B3-4DF6-9D1D-0A3E684CD4B0}"/>
    <cellStyle name="Normal 5 2 2 5 3 3 4" xfId="41142" xr:uid="{C64EDAFE-72BB-458D-A4B2-C4A5E22751FF}"/>
    <cellStyle name="Normal 5 2 2 5 3 3 5" xfId="14948" xr:uid="{058EF442-B7CE-48F2-B716-30C6E130F9A2}"/>
    <cellStyle name="Normal 5 2 2 5 3 4" xfId="20031" xr:uid="{8CFA08A6-C678-4A0F-A7FA-E82FAC9808C2}"/>
    <cellStyle name="Normal 5 2 2 5 3 5" xfId="28478" xr:uid="{B5DADE87-235A-4B42-91E2-9A01FD7C39AC}"/>
    <cellStyle name="Normal 5 2 2 5 3 6" xfId="36925" xr:uid="{082F0F0A-F2CC-4CDC-86E9-50F367E2FC1C}"/>
    <cellStyle name="Normal 5 2 2 5 3 7" xfId="10731" xr:uid="{DB2216DF-BA6E-4D79-A33A-C2FECA039859}"/>
    <cellStyle name="Normal 5 2 2 5 4" xfId="1728" xr:uid="{00000000-0005-0000-0000-000017180000}"/>
    <cellStyle name="Normal 5 2 2 5 4 2" xfId="3958" xr:uid="{00000000-0005-0000-0000-000018180000}"/>
    <cellStyle name="Normal 5 2 2 5 4 2 2" xfId="8180" xr:uid="{00000000-0005-0000-0000-000019180000}"/>
    <cellStyle name="Normal 5 2 2 5 4 2 2 2" xfId="26806" xr:uid="{5CCD4C39-E105-43B4-8D09-47AED6778E9E}"/>
    <cellStyle name="Normal 5 2 2 5 4 2 2 3" xfId="35253" xr:uid="{C91C25EB-2CF9-4179-85D7-D1B5B2881F57}"/>
    <cellStyle name="Normal 5 2 2 5 4 2 2 4" xfId="43700" xr:uid="{ADCC7EAE-1D73-4736-8876-A72783F9B887}"/>
    <cellStyle name="Normal 5 2 2 5 4 2 2 5" xfId="17506" xr:uid="{37A62710-54E0-4BF3-A88C-023D23C1D427}"/>
    <cellStyle name="Normal 5 2 2 5 4 2 3" xfId="22589" xr:uid="{EAE0AA87-2A2A-43C2-B310-7563C17282AB}"/>
    <cellStyle name="Normal 5 2 2 5 4 2 4" xfId="31036" xr:uid="{FEC8DC91-FE9D-48AA-B9D2-046F560A6CD2}"/>
    <cellStyle name="Normal 5 2 2 5 4 2 5" xfId="39483" xr:uid="{CC8D2A92-77E8-443A-B334-AFB062F0546D}"/>
    <cellStyle name="Normal 5 2 2 5 4 2 6" xfId="13289" xr:uid="{85C98B69-36F7-46B7-97C7-5BA0D67BB7F0}"/>
    <cellStyle name="Normal 5 2 2 5 4 3" xfId="6035" xr:uid="{00000000-0005-0000-0000-00001A180000}"/>
    <cellStyle name="Normal 5 2 2 5 4 3 2" xfId="24661" xr:uid="{9E4AA8B6-FB34-48BA-93C8-890194C3C8FB}"/>
    <cellStyle name="Normal 5 2 2 5 4 3 3" xfId="33108" xr:uid="{A5944CB8-33D8-4B9A-9A7F-072058CA6870}"/>
    <cellStyle name="Normal 5 2 2 5 4 3 4" xfId="41555" xr:uid="{92DC4D93-4A6F-4B22-A0DD-A0106CD23545}"/>
    <cellStyle name="Normal 5 2 2 5 4 3 5" xfId="15361" xr:uid="{D63609D3-C8DD-488E-988F-36148A34D3ED}"/>
    <cellStyle name="Normal 5 2 2 5 4 4" xfId="20444" xr:uid="{52EAC349-891D-419C-844C-131B9C1EB1F9}"/>
    <cellStyle name="Normal 5 2 2 5 4 5" xfId="28891" xr:uid="{6A7D3629-D370-40E8-BFD8-95944D0DEC58}"/>
    <cellStyle name="Normal 5 2 2 5 4 6" xfId="37338" xr:uid="{2D683990-CA9C-48E5-82D3-A00ACF7F4545}"/>
    <cellStyle name="Normal 5 2 2 5 4 7" xfId="11144" xr:uid="{450B1DA6-7DD4-40E4-9AFC-FBBE0EC0069C}"/>
    <cellStyle name="Normal 5 2 2 5 5" xfId="2142" xr:uid="{00000000-0005-0000-0000-00001B180000}"/>
    <cellStyle name="Normal 5 2 2 5 5 2" xfId="4371" xr:uid="{00000000-0005-0000-0000-00001C180000}"/>
    <cellStyle name="Normal 5 2 2 5 5 2 2" xfId="8593" xr:uid="{00000000-0005-0000-0000-00001D180000}"/>
    <cellStyle name="Normal 5 2 2 5 5 2 2 2" xfId="27219" xr:uid="{66A316D5-EA11-48F9-ADED-1E6960AB3A57}"/>
    <cellStyle name="Normal 5 2 2 5 5 2 2 3" xfId="35666" xr:uid="{7D65F79E-9178-499C-95DC-A9CB99CCB686}"/>
    <cellStyle name="Normal 5 2 2 5 5 2 2 4" xfId="44113" xr:uid="{680D0853-07A6-4CCF-B157-EBB78F86C98D}"/>
    <cellStyle name="Normal 5 2 2 5 5 2 2 5" xfId="17919" xr:uid="{386BE5FF-8009-4870-8600-11C62B69267A}"/>
    <cellStyle name="Normal 5 2 2 5 5 2 3" xfId="23002" xr:uid="{3E3CE858-0E8C-435D-8B8E-CCBC8652BD77}"/>
    <cellStyle name="Normal 5 2 2 5 5 2 4" xfId="31449" xr:uid="{2B6BFBC3-D9C0-4332-91B1-193EF37EDC50}"/>
    <cellStyle name="Normal 5 2 2 5 5 2 5" xfId="39896" xr:uid="{60AE2A0C-EECB-45A3-A918-A63F5CF67D3A}"/>
    <cellStyle name="Normal 5 2 2 5 5 2 6" xfId="13702" xr:uid="{31310021-45DC-4566-9728-E7EA613C43EC}"/>
    <cellStyle name="Normal 5 2 2 5 5 3" xfId="6448" xr:uid="{00000000-0005-0000-0000-00001E180000}"/>
    <cellStyle name="Normal 5 2 2 5 5 3 2" xfId="25074" xr:uid="{62A01C8D-773B-4876-9EAF-BDAB03745077}"/>
    <cellStyle name="Normal 5 2 2 5 5 3 3" xfId="33521" xr:uid="{0007B8BA-7C4D-4774-A93E-A212F30C3917}"/>
    <cellStyle name="Normal 5 2 2 5 5 3 4" xfId="41968" xr:uid="{4E9F2010-DAD8-416A-A7DE-986BBF64522D}"/>
    <cellStyle name="Normal 5 2 2 5 5 3 5" xfId="15774" xr:uid="{53F2CBB3-7095-4D07-AB8B-E4754D111A86}"/>
    <cellStyle name="Normal 5 2 2 5 5 4" xfId="20857" xr:uid="{88347381-B5A1-45CB-BF04-909B9CFB9969}"/>
    <cellStyle name="Normal 5 2 2 5 5 5" xfId="29304" xr:uid="{E3391E8F-693E-4151-9747-844DEA2F0201}"/>
    <cellStyle name="Normal 5 2 2 5 5 6" xfId="37751" xr:uid="{3A6AA45A-90F0-4193-B15B-1BDCE5FCB133}"/>
    <cellStyle name="Normal 5 2 2 5 5 7" xfId="11557" xr:uid="{85F74237-5B75-49BD-BFD3-723EB914CEF9}"/>
    <cellStyle name="Normal 5 2 2 5 6" xfId="2578" xr:uid="{00000000-0005-0000-0000-00001F180000}"/>
    <cellStyle name="Normal 5 2 2 5 6 2" xfId="6861" xr:uid="{00000000-0005-0000-0000-000020180000}"/>
    <cellStyle name="Normal 5 2 2 5 6 2 2" xfId="25487" xr:uid="{071017E5-3A56-492B-9F4A-9254CE47A125}"/>
    <cellStyle name="Normal 5 2 2 5 6 2 3" xfId="33934" xr:uid="{F17E7B59-1A21-49C4-8E39-857BB22104BA}"/>
    <cellStyle name="Normal 5 2 2 5 6 2 4" xfId="42381" xr:uid="{D1C1F23A-AA6C-44BD-B74F-EDF92F1FF93E}"/>
    <cellStyle name="Normal 5 2 2 5 6 2 5" xfId="16187" xr:uid="{40F20965-2A34-4D14-8A45-048770B63231}"/>
    <cellStyle name="Normal 5 2 2 5 6 3" xfId="21270" xr:uid="{0CA3E66D-A468-430C-A83E-48DE1C3B2F65}"/>
    <cellStyle name="Normal 5 2 2 5 6 4" xfId="29717" xr:uid="{FC26A364-640C-4006-9354-2AE4792FA8B4}"/>
    <cellStyle name="Normal 5 2 2 5 6 5" xfId="38164" xr:uid="{312274A6-80A1-4292-A210-EECEA883D6E2}"/>
    <cellStyle name="Normal 5 2 2 5 6 6" xfId="11970" xr:uid="{0467A529-6562-42E9-BC7A-F90A18C2C49B}"/>
    <cellStyle name="Normal 5 2 2 5 7" xfId="4796" xr:uid="{00000000-0005-0000-0000-000021180000}"/>
    <cellStyle name="Normal 5 2 2 5 7 2" xfId="23422" xr:uid="{DE7161BD-6D1E-4C41-9ED1-F3F837A1D3EC}"/>
    <cellStyle name="Normal 5 2 2 5 7 3" xfId="31869" xr:uid="{F83A1F1A-AC62-43B4-8894-2C939667EB68}"/>
    <cellStyle name="Normal 5 2 2 5 7 4" xfId="40316" xr:uid="{11E7CADA-73B4-44AA-A2B2-F3FA9CDAE1B8}"/>
    <cellStyle name="Normal 5 2 2 5 7 5" xfId="14122" xr:uid="{108B851A-0179-41A9-B81B-5EC11513F0A1}"/>
    <cellStyle name="Normal 5 2 2 5 8" xfId="8972" xr:uid="{3CCC8856-6464-4309-A4F9-43F74A48C503}"/>
    <cellStyle name="Normal 5 2 2 5 8 2" xfId="18296" xr:uid="{5BD957CB-C5F8-493E-9454-C24B7739EEC0}"/>
    <cellStyle name="Normal 5 2 2 5 9" xfId="19205" xr:uid="{7C220B8E-D4C4-4097-8689-E7735E420D07}"/>
    <cellStyle name="Normal 5 2 2 6" xfId="882" xr:uid="{00000000-0005-0000-0000-000022180000}"/>
    <cellStyle name="Normal 5 2 2 6 2" xfId="3117" xr:uid="{00000000-0005-0000-0000-000023180000}"/>
    <cellStyle name="Normal 5 2 2 6 2 2" xfId="7339" xr:uid="{00000000-0005-0000-0000-000024180000}"/>
    <cellStyle name="Normal 5 2 2 6 2 2 2" xfId="25965" xr:uid="{174E073A-4260-45AE-AE76-48A7CC90F407}"/>
    <cellStyle name="Normal 5 2 2 6 2 2 3" xfId="34412" xr:uid="{1DE3D3BD-B702-413F-88E5-E0BB4C31530D}"/>
    <cellStyle name="Normal 5 2 2 6 2 2 4" xfId="42859" xr:uid="{3FAEA44B-1F96-4020-B1F5-BCB043534176}"/>
    <cellStyle name="Normal 5 2 2 6 2 2 5" xfId="16665" xr:uid="{354AC807-A0E1-402A-89BF-6109545A6302}"/>
    <cellStyle name="Normal 5 2 2 6 2 3" xfId="21748" xr:uid="{4B928899-7E9E-4B34-98D0-7E75600EF512}"/>
    <cellStyle name="Normal 5 2 2 6 2 4" xfId="30195" xr:uid="{D3A9E498-951E-4282-BE0C-835C56BD5C60}"/>
    <cellStyle name="Normal 5 2 2 6 2 5" xfId="38642" xr:uid="{498CCB63-EBB9-4949-9C74-40F8D942F474}"/>
    <cellStyle name="Normal 5 2 2 6 2 6" xfId="12448" xr:uid="{6515F8E4-B532-4AA4-9D14-D88FE8CF1D90}"/>
    <cellStyle name="Normal 5 2 2 6 3" xfId="5194" xr:uid="{00000000-0005-0000-0000-000025180000}"/>
    <cellStyle name="Normal 5 2 2 6 3 2" xfId="23820" xr:uid="{AA51CB83-AEC1-4FDE-94E9-9AF368BA0ED3}"/>
    <cellStyle name="Normal 5 2 2 6 3 3" xfId="32267" xr:uid="{CDA2784E-E083-4B5F-BA59-3C20EF90E9CB}"/>
    <cellStyle name="Normal 5 2 2 6 3 4" xfId="40714" xr:uid="{5FE472CF-F199-4BC2-B896-FB83E24CA479}"/>
    <cellStyle name="Normal 5 2 2 6 3 5" xfId="14520" xr:uid="{1D82DE9C-DC8C-4365-9DC5-A91FC6AD3DA9}"/>
    <cellStyle name="Normal 5 2 2 6 4" xfId="9175" xr:uid="{A0BC076A-DB75-4963-A17E-57836FA6391D}"/>
    <cellStyle name="Normal 5 2 2 6 4 2" xfId="18494" xr:uid="{7A720647-0640-4DBE-9FC9-27FB353FEC88}"/>
    <cellStyle name="Normal 5 2 2 6 5" xfId="19603" xr:uid="{D7D7D330-0133-4755-B89D-98598D69BD87}"/>
    <cellStyle name="Normal 5 2 2 6 6" xfId="28050" xr:uid="{BD5F55E3-5F29-41ED-ADDC-13AFA052E674}"/>
    <cellStyle name="Normal 5 2 2 6 7" xfId="36497" xr:uid="{39791601-CBDB-4A6F-B3CF-19BE5002D67B}"/>
    <cellStyle name="Normal 5 2 2 6 8" xfId="10303" xr:uid="{6433C9B0-3910-4009-8E70-812C60F34E43}"/>
    <cellStyle name="Normal 5 2 2 7" xfId="1300" xr:uid="{00000000-0005-0000-0000-000026180000}"/>
    <cellStyle name="Normal 5 2 2 7 2" xfId="3530" xr:uid="{00000000-0005-0000-0000-000027180000}"/>
    <cellStyle name="Normal 5 2 2 7 2 2" xfId="7752" xr:uid="{00000000-0005-0000-0000-000028180000}"/>
    <cellStyle name="Normal 5 2 2 7 2 2 2" xfId="26378" xr:uid="{A3FD1AC5-A971-4F13-B12E-C38B5B9CADEE}"/>
    <cellStyle name="Normal 5 2 2 7 2 2 3" xfId="34825" xr:uid="{4AC4EB05-2B96-4CA9-B7B4-9243201B85C3}"/>
    <cellStyle name="Normal 5 2 2 7 2 2 4" xfId="43272" xr:uid="{18ED1751-C3C7-4D33-96F1-0725C67636DA}"/>
    <cellStyle name="Normal 5 2 2 7 2 2 5" xfId="17078" xr:uid="{82DAA5DE-8574-40B1-84A8-643A56EB285E}"/>
    <cellStyle name="Normal 5 2 2 7 2 3" xfId="22161" xr:uid="{BBC9D242-F6D2-4CDE-852E-82B8206B5587}"/>
    <cellStyle name="Normal 5 2 2 7 2 4" xfId="30608" xr:uid="{2A9C8F69-6987-4DF1-AA27-8660CAF59FD3}"/>
    <cellStyle name="Normal 5 2 2 7 2 5" xfId="39055" xr:uid="{617C43A0-A6F7-44A8-9A70-F967638E2F81}"/>
    <cellStyle name="Normal 5 2 2 7 2 6" xfId="12861" xr:uid="{65D76239-ABA9-40DB-B309-AA2086A2AD20}"/>
    <cellStyle name="Normal 5 2 2 7 3" xfId="5607" xr:uid="{00000000-0005-0000-0000-000029180000}"/>
    <cellStyle name="Normal 5 2 2 7 3 2" xfId="24233" xr:uid="{BDEACE84-CEA1-45DD-AA79-5B3AFB5E9211}"/>
    <cellStyle name="Normal 5 2 2 7 3 3" xfId="32680" xr:uid="{4C661763-B994-4E8D-A16E-7A7EF7F5A0CC}"/>
    <cellStyle name="Normal 5 2 2 7 3 4" xfId="41127" xr:uid="{0F638855-8668-4267-9F4A-F64004FBF1CF}"/>
    <cellStyle name="Normal 5 2 2 7 3 5" xfId="14933" xr:uid="{4704A805-6393-4271-B754-AD135A3781E9}"/>
    <cellStyle name="Normal 5 2 2 7 4" xfId="20016" xr:uid="{9CE63FD9-88CE-4BD5-A12E-F476EE59C9B7}"/>
    <cellStyle name="Normal 5 2 2 7 5" xfId="28463" xr:uid="{8B170BC1-6681-4302-B4FF-6D66BA9B4A7C}"/>
    <cellStyle name="Normal 5 2 2 7 6" xfId="36910" xr:uid="{A45994B0-4B44-461A-A476-053E13485F45}"/>
    <cellStyle name="Normal 5 2 2 7 7" xfId="10716" xr:uid="{3F03B816-BA27-495E-9CEB-38C74817EAFF}"/>
    <cellStyle name="Normal 5 2 2 8" xfId="1713" xr:uid="{00000000-0005-0000-0000-00002A180000}"/>
    <cellStyle name="Normal 5 2 2 8 2" xfId="3943" xr:uid="{00000000-0005-0000-0000-00002B180000}"/>
    <cellStyle name="Normal 5 2 2 8 2 2" xfId="8165" xr:uid="{00000000-0005-0000-0000-00002C180000}"/>
    <cellStyle name="Normal 5 2 2 8 2 2 2" xfId="26791" xr:uid="{00AB2932-128D-494F-8FD8-CBB52D9835D4}"/>
    <cellStyle name="Normal 5 2 2 8 2 2 3" xfId="35238" xr:uid="{E4AE331A-2481-40D8-A93D-2BAF5557435D}"/>
    <cellStyle name="Normal 5 2 2 8 2 2 4" xfId="43685" xr:uid="{272AB60A-25F9-4191-BB5B-94AE43C23730}"/>
    <cellStyle name="Normal 5 2 2 8 2 2 5" xfId="17491" xr:uid="{8B37FDD0-66E8-4929-98F6-8A236CFF5FE5}"/>
    <cellStyle name="Normal 5 2 2 8 2 3" xfId="22574" xr:uid="{EB8DBC9C-611E-4CF4-80E8-410BA9711127}"/>
    <cellStyle name="Normal 5 2 2 8 2 4" xfId="31021" xr:uid="{D88A42C2-4A3B-4B55-8F52-4A8F126D37F4}"/>
    <cellStyle name="Normal 5 2 2 8 2 5" xfId="39468" xr:uid="{C50BDE23-5DA7-4742-8A5D-58AC74F3BB56}"/>
    <cellStyle name="Normal 5 2 2 8 2 6" xfId="13274" xr:uid="{8B748EBB-1F17-45CB-9B74-E24C80C985AF}"/>
    <cellStyle name="Normal 5 2 2 8 3" xfId="6020" xr:uid="{00000000-0005-0000-0000-00002D180000}"/>
    <cellStyle name="Normal 5 2 2 8 3 2" xfId="24646" xr:uid="{F0524566-2C0F-43EE-804B-E2ADB0ACCE89}"/>
    <cellStyle name="Normal 5 2 2 8 3 3" xfId="33093" xr:uid="{C02B6B08-D3A0-4423-A52F-CA57AF67A495}"/>
    <cellStyle name="Normal 5 2 2 8 3 4" xfId="41540" xr:uid="{106EAC28-DB2C-4019-8F5C-94718B153070}"/>
    <cellStyle name="Normal 5 2 2 8 3 5" xfId="15346" xr:uid="{1F8AE150-B434-48F3-99B8-84D8B41603D0}"/>
    <cellStyle name="Normal 5 2 2 8 4" xfId="20429" xr:uid="{305FF515-5C5F-46E5-89EE-CAFEAFD935C0}"/>
    <cellStyle name="Normal 5 2 2 8 5" xfId="28876" xr:uid="{1F7FBA2B-2766-453A-BA4F-E0405D7A0C97}"/>
    <cellStyle name="Normal 5 2 2 8 6" xfId="37323" xr:uid="{FDB9ED75-B236-4190-A362-0DEAA47C292D}"/>
    <cellStyle name="Normal 5 2 2 8 7" xfId="11129" xr:uid="{C5247679-E321-414B-A82C-D769260BAF22}"/>
    <cellStyle name="Normal 5 2 2 9" xfId="2127" xr:uid="{00000000-0005-0000-0000-00002E180000}"/>
    <cellStyle name="Normal 5 2 2 9 2" xfId="4356" xr:uid="{00000000-0005-0000-0000-00002F180000}"/>
    <cellStyle name="Normal 5 2 2 9 2 2" xfId="8578" xr:uid="{00000000-0005-0000-0000-000030180000}"/>
    <cellStyle name="Normal 5 2 2 9 2 2 2" xfId="27204" xr:uid="{A775E207-38FD-45FE-8FDE-23373ADEC778}"/>
    <cellStyle name="Normal 5 2 2 9 2 2 3" xfId="35651" xr:uid="{95B3910D-10F7-487F-98B8-08A0353B3EE2}"/>
    <cellStyle name="Normal 5 2 2 9 2 2 4" xfId="44098" xr:uid="{884CC83A-4283-4B61-8533-C4F67449166B}"/>
    <cellStyle name="Normal 5 2 2 9 2 2 5" xfId="17904" xr:uid="{A140549E-AE9C-4DA9-980A-B43835F2F862}"/>
    <cellStyle name="Normal 5 2 2 9 2 3" xfId="22987" xr:uid="{F77FADA1-F503-44C5-AECF-3AEB4B8AC786}"/>
    <cellStyle name="Normal 5 2 2 9 2 4" xfId="31434" xr:uid="{8AF88EFF-92A4-4892-8BBA-EFE13442BE2C}"/>
    <cellStyle name="Normal 5 2 2 9 2 5" xfId="39881" xr:uid="{04FF16C0-FF68-4DAF-B9E6-BDF02DC9C791}"/>
    <cellStyle name="Normal 5 2 2 9 2 6" xfId="13687" xr:uid="{75637783-E639-4957-B8BD-20B0B2CB999E}"/>
    <cellStyle name="Normal 5 2 2 9 3" xfId="6433" xr:uid="{00000000-0005-0000-0000-000031180000}"/>
    <cellStyle name="Normal 5 2 2 9 3 2" xfId="25059" xr:uid="{06749705-9A29-4329-BCD9-5134AF5B8F3C}"/>
    <cellStyle name="Normal 5 2 2 9 3 3" xfId="33506" xr:uid="{5C26B25B-5213-4C3B-AAF7-EB31C21D47A5}"/>
    <cellStyle name="Normal 5 2 2 9 3 4" xfId="41953" xr:uid="{F7E77B7E-ABF1-4B9E-A2E1-E0648E8D5FE7}"/>
    <cellStyle name="Normal 5 2 2 9 3 5" xfId="15759" xr:uid="{7D484596-1AC0-4D33-9904-158019916FF2}"/>
    <cellStyle name="Normal 5 2 2 9 4" xfId="20842" xr:uid="{B75AF3F6-CC87-4E32-9EA3-15B49D4B6DE1}"/>
    <cellStyle name="Normal 5 2 2 9 5" xfId="29289" xr:uid="{9DE79774-3A42-4C5C-9131-FD8A322A98AA}"/>
    <cellStyle name="Normal 5 2 2 9 6" xfId="37736" xr:uid="{B1A4ADA6-E967-43E2-8EA7-F823632D1C37}"/>
    <cellStyle name="Normal 5 2 2 9 7" xfId="11542" xr:uid="{26425755-640B-4C9B-962A-60A2C5990778}"/>
    <cellStyle name="Normal 5 2 3" xfId="424" xr:uid="{00000000-0005-0000-0000-000032180000}"/>
    <cellStyle name="Normal 5 2 3 10" xfId="4797" xr:uid="{00000000-0005-0000-0000-000033180000}"/>
    <cellStyle name="Normal 5 2 3 10 2" xfId="23423" xr:uid="{A853535D-C94D-4CF7-AC01-535D232D28C8}"/>
    <cellStyle name="Normal 5 2 3 10 3" xfId="31870" xr:uid="{17C90971-8B79-4A7A-8EA0-158B8BD61854}"/>
    <cellStyle name="Normal 5 2 3 10 4" xfId="40317" xr:uid="{B6E3F591-E205-4061-B832-61DE5A90DFD1}"/>
    <cellStyle name="Normal 5 2 3 10 5" xfId="14123" xr:uid="{9D536B25-DF18-485F-83CB-971C4B5DDD3A}"/>
    <cellStyle name="Normal 5 2 3 11" xfId="8776" xr:uid="{883173D2-CE3E-48F3-8E13-32EAEF7B08C3}"/>
    <cellStyle name="Normal 5 2 3 11 2" xfId="18100" xr:uid="{F94915E4-6BEB-4060-B3EE-BB29819E63AE}"/>
    <cellStyle name="Normal 5 2 3 12" xfId="19206" xr:uid="{CA97750F-3A30-4982-BA23-9708F89D357C}"/>
    <cellStyle name="Normal 5 2 3 13" xfId="27653" xr:uid="{1BB8751D-4915-48CE-AFCA-4DD345117221}"/>
    <cellStyle name="Normal 5 2 3 14" xfId="36100" xr:uid="{D09296F7-9CE7-43E9-9B09-C688B9DADEF5}"/>
    <cellStyle name="Normal 5 2 3 15" xfId="9906" xr:uid="{642774FF-3C33-47D9-9C76-BD9F358F80FD}"/>
    <cellStyle name="Normal 5 2 3 2" xfId="425" xr:uid="{00000000-0005-0000-0000-000034180000}"/>
    <cellStyle name="Normal 5 2 3 2 10" xfId="8830" xr:uid="{287E15F2-6F23-4B3E-B8AA-9DE92D950FBA}"/>
    <cellStyle name="Normal 5 2 3 2 10 2" xfId="18154" xr:uid="{CBF513CB-7B8C-41D2-9A3D-8967154315BE}"/>
    <cellStyle name="Normal 5 2 3 2 11" xfId="19207" xr:uid="{2E41A77A-240D-4C4F-B692-D70B02E659DD}"/>
    <cellStyle name="Normal 5 2 3 2 12" xfId="27654" xr:uid="{3C0CD427-735B-458C-9889-33F1FFE97DBE}"/>
    <cellStyle name="Normal 5 2 3 2 13" xfId="36101" xr:uid="{61B03D22-CDF5-4A74-B64F-60E52AB896DB}"/>
    <cellStyle name="Normal 5 2 3 2 14" xfId="9907" xr:uid="{58E706B6-9AB2-4DE6-AA46-422C442F8642}"/>
    <cellStyle name="Normal 5 2 3 2 2" xfId="426" xr:uid="{00000000-0005-0000-0000-000035180000}"/>
    <cellStyle name="Normal 5 2 3 2 2 10" xfId="19208" xr:uid="{7B3A16D5-11B3-49EB-8E39-9EDFAF8D808E}"/>
    <cellStyle name="Normal 5 2 3 2 2 11" xfId="27655" xr:uid="{F12F15F4-EC26-44E2-89DB-DB56EC8F95EF}"/>
    <cellStyle name="Normal 5 2 3 2 2 12" xfId="36102" xr:uid="{66629E9E-D7DE-44D9-9792-6A2FC1A09B9B}"/>
    <cellStyle name="Normal 5 2 3 2 2 13" xfId="9908" xr:uid="{CEF188A4-AEB4-4BAC-AEB2-B86C07F0B7A3}"/>
    <cellStyle name="Normal 5 2 3 2 2 2" xfId="427" xr:uid="{00000000-0005-0000-0000-000036180000}"/>
    <cellStyle name="Normal 5 2 3 2 2 2 10" xfId="27656" xr:uid="{44C2F3AB-AF69-49FB-B7B3-C92E1E13DFA4}"/>
    <cellStyle name="Normal 5 2 3 2 2 2 11" xfId="36103" xr:uid="{598032EA-DE63-4C32-900B-31638C8E9D4A}"/>
    <cellStyle name="Normal 5 2 3 2 2 2 12" xfId="9909" xr:uid="{E05CE6C5-056C-4226-90C6-768F3FBA267E}"/>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2 2 2" xfId="25984" xr:uid="{AEB98530-1784-4A13-8C6E-980FCC31BC4D}"/>
    <cellStyle name="Normal 5 2 3 2 2 2 2 2 2 3" xfId="34431" xr:uid="{BF013CD7-DF59-43A7-9E67-A76DB3DB0E98}"/>
    <cellStyle name="Normal 5 2 3 2 2 2 2 2 2 4" xfId="42878" xr:uid="{9ABEDA0C-4F29-4302-BB84-65F2E7467436}"/>
    <cellStyle name="Normal 5 2 3 2 2 2 2 2 2 5" xfId="16684" xr:uid="{EF5C58E6-D7A2-47D6-B368-4789444C8892}"/>
    <cellStyle name="Normal 5 2 3 2 2 2 2 2 3" xfId="21767" xr:uid="{82998515-72CB-4F20-BA78-D839488E21D0}"/>
    <cellStyle name="Normal 5 2 3 2 2 2 2 2 4" xfId="30214" xr:uid="{DFF4219A-60C9-41F1-8891-3221A4BC9F77}"/>
    <cellStyle name="Normal 5 2 3 2 2 2 2 2 5" xfId="38661" xr:uid="{DA04CC47-E61B-4F7A-A87F-4BEB09B0DEB7}"/>
    <cellStyle name="Normal 5 2 3 2 2 2 2 2 6" xfId="12467" xr:uid="{3F482501-6B01-442A-8B44-3493757FBF6B}"/>
    <cellStyle name="Normal 5 2 3 2 2 2 2 3" xfId="5213" xr:uid="{00000000-0005-0000-0000-00003A180000}"/>
    <cellStyle name="Normal 5 2 3 2 2 2 2 3 2" xfId="23839" xr:uid="{8CB906AE-0924-417B-B347-CB41D3E35865}"/>
    <cellStyle name="Normal 5 2 3 2 2 2 2 3 3" xfId="32286" xr:uid="{316564F0-3650-4DA7-B446-4F6B3F2487B8}"/>
    <cellStyle name="Normal 5 2 3 2 2 2 2 3 4" xfId="40733" xr:uid="{485B57A7-1F9B-4686-A9E7-59B025451ECE}"/>
    <cellStyle name="Normal 5 2 3 2 2 2 2 3 5" xfId="14539" xr:uid="{A177F1FB-ACD5-4AB1-8A37-60EE75ACB855}"/>
    <cellStyle name="Normal 5 2 3 2 2 2 2 4" xfId="9565" xr:uid="{B33C5ECB-02D9-4BAF-B467-F38E8EEB7F6E}"/>
    <cellStyle name="Normal 5 2 3 2 2 2 2 4 2" xfId="18881" xr:uid="{21E5A9AC-E723-434D-9313-BC7064A275A9}"/>
    <cellStyle name="Normal 5 2 3 2 2 2 2 5" xfId="19622" xr:uid="{FCB7405D-D236-4B2E-A7AC-FF7F6BCD354A}"/>
    <cellStyle name="Normal 5 2 3 2 2 2 2 6" xfId="28069" xr:uid="{2F515B84-9950-4EB8-A6AE-C4C9DFC5BBB7}"/>
    <cellStyle name="Normal 5 2 3 2 2 2 2 7" xfId="36516" xr:uid="{BB53FE01-36AF-4B0D-9D8E-9DEDC4479D57}"/>
    <cellStyle name="Normal 5 2 3 2 2 2 2 8" xfId="10322" xr:uid="{92649C69-A33A-4DF7-B332-75F65A45DC41}"/>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2 2 2" xfId="26397" xr:uid="{BE70C7FA-24A0-44E7-A1E0-1DF8EA00EA3F}"/>
    <cellStyle name="Normal 5 2 3 2 2 2 3 2 2 3" xfId="34844" xr:uid="{CEF3F9B6-EE8A-438C-BCB6-CC73FFB7A1A8}"/>
    <cellStyle name="Normal 5 2 3 2 2 2 3 2 2 4" xfId="43291" xr:uid="{D963F4EC-9395-4E3C-9A46-3C60EFEFE374}"/>
    <cellStyle name="Normal 5 2 3 2 2 2 3 2 2 5" xfId="17097" xr:uid="{99E0DF22-7F07-4E35-96D2-C00F726AADC4}"/>
    <cellStyle name="Normal 5 2 3 2 2 2 3 2 3" xfId="22180" xr:uid="{A98383A7-23AA-4C86-A836-B906093B6369}"/>
    <cellStyle name="Normal 5 2 3 2 2 2 3 2 4" xfId="30627" xr:uid="{E3A08211-9EDB-45D6-A928-1D7E03EF366B}"/>
    <cellStyle name="Normal 5 2 3 2 2 2 3 2 5" xfId="39074" xr:uid="{4C0845C8-90C0-4224-BD64-BCCE4DC8AEC7}"/>
    <cellStyle name="Normal 5 2 3 2 2 2 3 2 6" xfId="12880" xr:uid="{BD6C664D-3BFE-4232-B1A7-A028BF6CD8F8}"/>
    <cellStyle name="Normal 5 2 3 2 2 2 3 3" xfId="5626" xr:uid="{00000000-0005-0000-0000-00003E180000}"/>
    <cellStyle name="Normal 5 2 3 2 2 2 3 3 2" xfId="24252" xr:uid="{BD644236-422D-40F3-98C7-B9F2ABDF7ADC}"/>
    <cellStyle name="Normal 5 2 3 2 2 2 3 3 3" xfId="32699" xr:uid="{747DCEC7-5BB9-40A0-8197-36BC19BF96F5}"/>
    <cellStyle name="Normal 5 2 3 2 2 2 3 3 4" xfId="41146" xr:uid="{C48DD040-59AC-4A76-B1CB-EE37A327948B}"/>
    <cellStyle name="Normal 5 2 3 2 2 2 3 3 5" xfId="14952" xr:uid="{98775AD1-F36E-4F0B-8A79-BEBBA321698B}"/>
    <cellStyle name="Normal 5 2 3 2 2 2 3 4" xfId="20035" xr:uid="{E51A7100-F5F4-40BB-AD24-ADE6DF5B50A2}"/>
    <cellStyle name="Normal 5 2 3 2 2 2 3 5" xfId="28482" xr:uid="{0C1BF278-0749-49F5-BDA6-625D381301F7}"/>
    <cellStyle name="Normal 5 2 3 2 2 2 3 6" xfId="36929" xr:uid="{DCB5CA74-8A6F-4323-A76F-2E885CF65AFE}"/>
    <cellStyle name="Normal 5 2 3 2 2 2 3 7" xfId="10735" xr:uid="{C4F0A2B2-9C53-46F5-815E-523A74F0AB76}"/>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2 2 2" xfId="26810" xr:uid="{724DB0F0-5577-4F02-866F-82DF5F2868A7}"/>
    <cellStyle name="Normal 5 2 3 2 2 2 4 2 2 3" xfId="35257" xr:uid="{197F46EA-F0FD-4FA0-B54A-A185B0703F25}"/>
    <cellStyle name="Normal 5 2 3 2 2 2 4 2 2 4" xfId="43704" xr:uid="{0A9DC5BB-CBD7-4671-8A00-D0A78995A1B6}"/>
    <cellStyle name="Normal 5 2 3 2 2 2 4 2 2 5" xfId="17510" xr:uid="{0FD12ADE-BA10-44A1-80B4-91E4C2E63DCB}"/>
    <cellStyle name="Normal 5 2 3 2 2 2 4 2 3" xfId="22593" xr:uid="{6507C4C3-23D7-468A-9D0B-5CD6A0D46064}"/>
    <cellStyle name="Normal 5 2 3 2 2 2 4 2 4" xfId="31040" xr:uid="{7197CB65-3EBE-42EE-B0B6-5C631F8A76D6}"/>
    <cellStyle name="Normal 5 2 3 2 2 2 4 2 5" xfId="39487" xr:uid="{0DDF7EE9-8417-4C71-B215-0994DDB7F1BC}"/>
    <cellStyle name="Normal 5 2 3 2 2 2 4 2 6" xfId="13293" xr:uid="{44B7AB4E-B0A1-4730-8B7E-8FC35ED3BC6E}"/>
    <cellStyle name="Normal 5 2 3 2 2 2 4 3" xfId="6039" xr:uid="{00000000-0005-0000-0000-000042180000}"/>
    <cellStyle name="Normal 5 2 3 2 2 2 4 3 2" xfId="24665" xr:uid="{FBD06309-A7C4-44BE-A827-5B243C25A7F2}"/>
    <cellStyle name="Normal 5 2 3 2 2 2 4 3 3" xfId="33112" xr:uid="{792A5417-F248-410C-AEB8-0F1731F7E3A8}"/>
    <cellStyle name="Normal 5 2 3 2 2 2 4 3 4" xfId="41559" xr:uid="{D46C45E6-B067-43BE-BB75-3DAAD487379F}"/>
    <cellStyle name="Normal 5 2 3 2 2 2 4 3 5" xfId="15365" xr:uid="{F9C7636A-8ECD-4CA5-9AA0-4FC2A50A3485}"/>
    <cellStyle name="Normal 5 2 3 2 2 2 4 4" xfId="20448" xr:uid="{256AE93B-72E0-4A75-8AE2-A1DC41EE6502}"/>
    <cellStyle name="Normal 5 2 3 2 2 2 4 5" xfId="28895" xr:uid="{B268F054-BA5C-48C0-9B99-FA60BBED94B7}"/>
    <cellStyle name="Normal 5 2 3 2 2 2 4 6" xfId="37342" xr:uid="{0CF3B0B4-4519-4A2D-97CC-7876AD698B50}"/>
    <cellStyle name="Normal 5 2 3 2 2 2 4 7" xfId="11148" xr:uid="{CAD02846-1784-44CA-99CF-A01FA88BD312}"/>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2 2 2" xfId="27223" xr:uid="{08BF17A1-7A0E-4BCC-92B0-34D23DA07B6F}"/>
    <cellStyle name="Normal 5 2 3 2 2 2 5 2 2 3" xfId="35670" xr:uid="{325DA3CA-B333-48FA-B5BF-F9089696EC7D}"/>
    <cellStyle name="Normal 5 2 3 2 2 2 5 2 2 4" xfId="44117" xr:uid="{88ECA064-52DC-4BAA-9C7B-66C53B7DF9D9}"/>
    <cellStyle name="Normal 5 2 3 2 2 2 5 2 2 5" xfId="17923" xr:uid="{92CD61AD-7DA2-457C-B760-B0CBA9C5EEE2}"/>
    <cellStyle name="Normal 5 2 3 2 2 2 5 2 3" xfId="23006" xr:uid="{1FC54F77-9EA5-4A66-A00B-472EC3A0625D}"/>
    <cellStyle name="Normal 5 2 3 2 2 2 5 2 4" xfId="31453" xr:uid="{33948268-079F-4C28-8CA7-1933623B1522}"/>
    <cellStyle name="Normal 5 2 3 2 2 2 5 2 5" xfId="39900" xr:uid="{A690FF1C-265B-4284-A9EF-14DDE5D86C8C}"/>
    <cellStyle name="Normal 5 2 3 2 2 2 5 2 6" xfId="13706" xr:uid="{E28CDF18-E888-4A80-9B7B-A6E96B17B29C}"/>
    <cellStyle name="Normal 5 2 3 2 2 2 5 3" xfId="6452" xr:uid="{00000000-0005-0000-0000-000046180000}"/>
    <cellStyle name="Normal 5 2 3 2 2 2 5 3 2" xfId="25078" xr:uid="{CFED46BF-F3F4-4121-8468-288216F30692}"/>
    <cellStyle name="Normal 5 2 3 2 2 2 5 3 3" xfId="33525" xr:uid="{21685475-44F6-4708-B5EF-CE056D2A5251}"/>
    <cellStyle name="Normal 5 2 3 2 2 2 5 3 4" xfId="41972" xr:uid="{8B5532EA-6F67-46CD-B0A3-4887AAA6247C}"/>
    <cellStyle name="Normal 5 2 3 2 2 2 5 3 5" xfId="15778" xr:uid="{2374407D-AEBA-4FE6-8084-E962447B0991}"/>
    <cellStyle name="Normal 5 2 3 2 2 2 5 4" xfId="20861" xr:uid="{15709E3F-3217-49F3-8922-13A3BE0E9263}"/>
    <cellStyle name="Normal 5 2 3 2 2 2 5 5" xfId="29308" xr:uid="{50F05138-B3D5-4061-8966-03A84DFC9A64}"/>
    <cellStyle name="Normal 5 2 3 2 2 2 5 6" xfId="37755" xr:uid="{94375E7F-4181-48FF-B7BA-5F19B9619002}"/>
    <cellStyle name="Normal 5 2 3 2 2 2 5 7" xfId="11561" xr:uid="{90C8AFC4-1269-4EC7-B314-C73FBFA9D4DE}"/>
    <cellStyle name="Normal 5 2 3 2 2 2 6" xfId="2582" xr:uid="{00000000-0005-0000-0000-000047180000}"/>
    <cellStyle name="Normal 5 2 3 2 2 2 6 2" xfId="6865" xr:uid="{00000000-0005-0000-0000-000048180000}"/>
    <cellStyle name="Normal 5 2 3 2 2 2 6 2 2" xfId="25491" xr:uid="{68FB60BC-3E27-4302-82DE-F977FC93AAC5}"/>
    <cellStyle name="Normal 5 2 3 2 2 2 6 2 3" xfId="33938" xr:uid="{A201D26A-9986-4957-85C7-D41BD0D069CF}"/>
    <cellStyle name="Normal 5 2 3 2 2 2 6 2 4" xfId="42385" xr:uid="{139E0403-FAF7-4274-9055-7F3733AC24FB}"/>
    <cellStyle name="Normal 5 2 3 2 2 2 6 2 5" xfId="16191" xr:uid="{190976D1-8A3A-45B2-A0FC-1F3784DA95C4}"/>
    <cellStyle name="Normal 5 2 3 2 2 2 6 3" xfId="21274" xr:uid="{970097B3-FDDF-42E5-8D48-1097EA2E3F33}"/>
    <cellStyle name="Normal 5 2 3 2 2 2 6 4" xfId="29721" xr:uid="{8D995606-ADF4-4C7F-9C7B-C9079F0CBA6B}"/>
    <cellStyle name="Normal 5 2 3 2 2 2 6 5" xfId="38168" xr:uid="{0267B69B-D44A-4334-8A76-A1CF531A55B1}"/>
    <cellStyle name="Normal 5 2 3 2 2 2 6 6" xfId="11974" xr:uid="{A257ADD7-0FA5-4880-90AD-D2AA9A9578F6}"/>
    <cellStyle name="Normal 5 2 3 2 2 2 7" xfId="4800" xr:uid="{00000000-0005-0000-0000-000049180000}"/>
    <cellStyle name="Normal 5 2 3 2 2 2 7 2" xfId="23426" xr:uid="{37D5BC15-9BD3-4611-945D-AB970875FC93}"/>
    <cellStyle name="Normal 5 2 3 2 2 2 7 3" xfId="31873" xr:uid="{269F7C4D-A58D-4B36-857D-D19F77593FAC}"/>
    <cellStyle name="Normal 5 2 3 2 2 2 7 4" xfId="40320" xr:uid="{DF313DB5-CFAA-48B2-A9BD-21E230A54243}"/>
    <cellStyle name="Normal 5 2 3 2 2 2 7 5" xfId="14126" xr:uid="{32342637-75E8-443C-84FC-F713423F04FC}"/>
    <cellStyle name="Normal 5 2 3 2 2 2 8" xfId="9140" xr:uid="{175A16DB-BA54-4083-AB68-1FA46DB27A86}"/>
    <cellStyle name="Normal 5 2 3 2 2 2 8 2" xfId="18464" xr:uid="{2F49BCE6-D40B-4C41-9B70-5560CB7F7566}"/>
    <cellStyle name="Normal 5 2 3 2 2 2 9" xfId="19209" xr:uid="{4734F8AE-42D2-4FB7-A666-D75F57C4EC1D}"/>
    <cellStyle name="Normal 5 2 3 2 2 3" xfId="900" xr:uid="{00000000-0005-0000-0000-00004A180000}"/>
    <cellStyle name="Normal 5 2 3 2 2 3 2" xfId="3135" xr:uid="{00000000-0005-0000-0000-00004B180000}"/>
    <cellStyle name="Normal 5 2 3 2 2 3 2 2" xfId="7357" xr:uid="{00000000-0005-0000-0000-00004C180000}"/>
    <cellStyle name="Normal 5 2 3 2 2 3 2 2 2" xfId="25983" xr:uid="{005B15A8-5F14-498B-B718-6A228CE88C0A}"/>
    <cellStyle name="Normal 5 2 3 2 2 3 2 2 3" xfId="34430" xr:uid="{4B2765CD-448F-4066-8817-1BABFEE03F77}"/>
    <cellStyle name="Normal 5 2 3 2 2 3 2 2 4" xfId="42877" xr:uid="{3CAD333D-0561-40FF-98BF-CF7A8875E1D1}"/>
    <cellStyle name="Normal 5 2 3 2 2 3 2 2 5" xfId="16683" xr:uid="{52D3A38B-52B3-4E74-AD4D-DB772E82BF7E}"/>
    <cellStyle name="Normal 5 2 3 2 2 3 2 3" xfId="21766" xr:uid="{7A80501F-3B6F-4C12-B047-2B34C4FBF229}"/>
    <cellStyle name="Normal 5 2 3 2 2 3 2 4" xfId="30213" xr:uid="{E1E24471-6A5B-4D3C-969C-72FF9D7B0F41}"/>
    <cellStyle name="Normal 5 2 3 2 2 3 2 5" xfId="38660" xr:uid="{2066B68C-33E9-42F7-A187-08105A485648}"/>
    <cellStyle name="Normal 5 2 3 2 2 3 2 6" xfId="12466" xr:uid="{74E017B3-A76C-4B1E-AF52-ED0E75B64ED0}"/>
    <cellStyle name="Normal 5 2 3 2 2 3 3" xfId="5212" xr:uid="{00000000-0005-0000-0000-00004D180000}"/>
    <cellStyle name="Normal 5 2 3 2 2 3 3 2" xfId="23838" xr:uid="{8AA8A1B6-16C2-4E52-9015-60EBB8D05387}"/>
    <cellStyle name="Normal 5 2 3 2 2 3 3 3" xfId="32285" xr:uid="{2C472734-9809-4FCB-9D0B-F6A24EE976B1}"/>
    <cellStyle name="Normal 5 2 3 2 2 3 3 4" xfId="40732" xr:uid="{3870C41E-E046-4D45-9F91-184A04F100B2}"/>
    <cellStyle name="Normal 5 2 3 2 2 3 3 5" xfId="14538" xr:uid="{CFEAADA7-8C48-45D5-BADD-6A1CFC375F12}"/>
    <cellStyle name="Normal 5 2 3 2 2 3 4" xfId="9358" xr:uid="{5B196E7D-8DD9-4C59-A83C-7626B0E60040}"/>
    <cellStyle name="Normal 5 2 3 2 2 3 4 2" xfId="18674" xr:uid="{AA1DECEC-54F6-4B64-B9DC-EA7B60845A45}"/>
    <cellStyle name="Normal 5 2 3 2 2 3 5" xfId="19621" xr:uid="{44FA18E7-361D-4C74-89AA-0F2BC4E7D2CB}"/>
    <cellStyle name="Normal 5 2 3 2 2 3 6" xfId="28068" xr:uid="{709BEC12-AD87-4E1B-AD7F-1D0E1D3CC647}"/>
    <cellStyle name="Normal 5 2 3 2 2 3 7" xfId="36515" xr:uid="{A8BB38A2-6FA4-4D69-9D87-6709973CB5E8}"/>
    <cellStyle name="Normal 5 2 3 2 2 3 8" xfId="10321" xr:uid="{FB7B6DED-EC0A-4F40-BB06-D38F8B96D4C6}"/>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2 2 2" xfId="26396" xr:uid="{DC9DB7F4-E8C9-4798-9E4A-E012D904A658}"/>
    <cellStyle name="Normal 5 2 3 2 2 4 2 2 3" xfId="34843" xr:uid="{2D13A96C-3596-4D9C-AB65-7212A9B070B9}"/>
    <cellStyle name="Normal 5 2 3 2 2 4 2 2 4" xfId="43290" xr:uid="{DC9B1A81-59B4-48D1-9B79-8DD0D5E561E5}"/>
    <cellStyle name="Normal 5 2 3 2 2 4 2 2 5" xfId="17096" xr:uid="{ED8EF634-2981-42DF-80AB-9FFA70830958}"/>
    <cellStyle name="Normal 5 2 3 2 2 4 2 3" xfId="22179" xr:uid="{3CCA6592-C8F5-446C-BAC8-75224BA55AB4}"/>
    <cellStyle name="Normal 5 2 3 2 2 4 2 4" xfId="30626" xr:uid="{B240941A-4A97-402F-B3BE-459A522A0E92}"/>
    <cellStyle name="Normal 5 2 3 2 2 4 2 5" xfId="39073" xr:uid="{3B440BDA-B541-4841-94F5-A230AD17B83F}"/>
    <cellStyle name="Normal 5 2 3 2 2 4 2 6" xfId="12879" xr:uid="{4BA615E0-B8B3-4493-BF1B-6B3B98EB51E6}"/>
    <cellStyle name="Normal 5 2 3 2 2 4 3" xfId="5625" xr:uid="{00000000-0005-0000-0000-000051180000}"/>
    <cellStyle name="Normal 5 2 3 2 2 4 3 2" xfId="24251" xr:uid="{0D3A3293-F5ED-4CC3-8654-CCCC63FEB85A}"/>
    <cellStyle name="Normal 5 2 3 2 2 4 3 3" xfId="32698" xr:uid="{3EC59823-A4EF-45CD-803C-1BD821DD959B}"/>
    <cellStyle name="Normal 5 2 3 2 2 4 3 4" xfId="41145" xr:uid="{EE5CFD62-A8F5-43F1-8A28-D0E87D91C4B0}"/>
    <cellStyle name="Normal 5 2 3 2 2 4 3 5" xfId="14951" xr:uid="{76A56098-E6D1-4713-9480-2B67ABF790DA}"/>
    <cellStyle name="Normal 5 2 3 2 2 4 4" xfId="20034" xr:uid="{9F541C2F-F784-451A-9A6F-5330736FFC18}"/>
    <cellStyle name="Normal 5 2 3 2 2 4 5" xfId="28481" xr:uid="{7B9B9B8A-EB70-4C42-97E5-26750523C4C6}"/>
    <cellStyle name="Normal 5 2 3 2 2 4 6" xfId="36928" xr:uid="{1163D608-4348-4928-8729-09E8DD35E979}"/>
    <cellStyle name="Normal 5 2 3 2 2 4 7" xfId="10734" xr:uid="{581E4AA1-2047-497E-B557-8CADAB40F10C}"/>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2 2 2" xfId="26809" xr:uid="{04A3EE9B-BAD5-47D1-9D0F-06A6714D2027}"/>
    <cellStyle name="Normal 5 2 3 2 2 5 2 2 3" xfId="35256" xr:uid="{406E1F6B-700A-4CBD-85BA-000C4DB613C8}"/>
    <cellStyle name="Normal 5 2 3 2 2 5 2 2 4" xfId="43703" xr:uid="{EB4D7372-840E-4883-8D0A-A88E90BFDB30}"/>
    <cellStyle name="Normal 5 2 3 2 2 5 2 2 5" xfId="17509" xr:uid="{B09CA479-6F29-48DA-970C-2FF0FD53158A}"/>
    <cellStyle name="Normal 5 2 3 2 2 5 2 3" xfId="22592" xr:uid="{57DF5CAD-7DCD-43F6-9E82-44FE5E3BE696}"/>
    <cellStyle name="Normal 5 2 3 2 2 5 2 4" xfId="31039" xr:uid="{6A6577CA-0A3B-421E-B0AF-DFF4AB582F12}"/>
    <cellStyle name="Normal 5 2 3 2 2 5 2 5" xfId="39486" xr:uid="{3A135317-A755-4C00-9940-A3C352A48652}"/>
    <cellStyle name="Normal 5 2 3 2 2 5 2 6" xfId="13292" xr:uid="{99782297-0A2A-4113-BFFB-F734740506AA}"/>
    <cellStyle name="Normal 5 2 3 2 2 5 3" xfId="6038" xr:uid="{00000000-0005-0000-0000-000055180000}"/>
    <cellStyle name="Normal 5 2 3 2 2 5 3 2" xfId="24664" xr:uid="{59810222-71EB-4C6D-8E8E-4E99145F32E6}"/>
    <cellStyle name="Normal 5 2 3 2 2 5 3 3" xfId="33111" xr:uid="{136D48AA-23B6-4CCF-A43C-47136035440B}"/>
    <cellStyle name="Normal 5 2 3 2 2 5 3 4" xfId="41558" xr:uid="{20C9F7FA-B6E5-4629-A701-C54D3CF4E276}"/>
    <cellStyle name="Normal 5 2 3 2 2 5 3 5" xfId="15364" xr:uid="{A3F3792D-31B8-457C-A482-2F775980D473}"/>
    <cellStyle name="Normal 5 2 3 2 2 5 4" xfId="20447" xr:uid="{A68CB8BE-334D-4E6C-9B95-C9D50E2BF5DB}"/>
    <cellStyle name="Normal 5 2 3 2 2 5 5" xfId="28894" xr:uid="{AA00D50D-5FD2-4B27-93B0-CFFE1C60B6C5}"/>
    <cellStyle name="Normal 5 2 3 2 2 5 6" xfId="37341" xr:uid="{6C78000F-765C-4B4E-8801-3CA6CA7F53D6}"/>
    <cellStyle name="Normal 5 2 3 2 2 5 7" xfId="11147" xr:uid="{630DD815-0367-4140-A9E7-BF83A52DF57F}"/>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2 2 2" xfId="27222" xr:uid="{C48A2A93-D96A-4054-9BF3-D3358391D89C}"/>
    <cellStyle name="Normal 5 2 3 2 2 6 2 2 3" xfId="35669" xr:uid="{209E92E8-419D-4C8B-9D45-24735F0FD13C}"/>
    <cellStyle name="Normal 5 2 3 2 2 6 2 2 4" xfId="44116" xr:uid="{7F105614-93E7-41C1-9AFE-0BEE71385F6B}"/>
    <cellStyle name="Normal 5 2 3 2 2 6 2 2 5" xfId="17922" xr:uid="{E7461185-9E5B-4A61-8359-D81A501BBC3A}"/>
    <cellStyle name="Normal 5 2 3 2 2 6 2 3" xfId="23005" xr:uid="{36E0B129-4278-45CD-833D-1709C7654C8A}"/>
    <cellStyle name="Normal 5 2 3 2 2 6 2 4" xfId="31452" xr:uid="{4207B0D1-1017-45CA-A0A8-44DB9020E862}"/>
    <cellStyle name="Normal 5 2 3 2 2 6 2 5" xfId="39899" xr:uid="{D63B70D3-5942-4407-AA69-03D32D2C002F}"/>
    <cellStyle name="Normal 5 2 3 2 2 6 2 6" xfId="13705" xr:uid="{7766991D-BB1C-42EF-8DF6-BAB13C011DAD}"/>
    <cellStyle name="Normal 5 2 3 2 2 6 3" xfId="6451" xr:uid="{00000000-0005-0000-0000-000059180000}"/>
    <cellStyle name="Normal 5 2 3 2 2 6 3 2" xfId="25077" xr:uid="{4B5504DC-4A52-4138-8867-0154C9347B41}"/>
    <cellStyle name="Normal 5 2 3 2 2 6 3 3" xfId="33524" xr:uid="{6F787536-9209-4047-AAC6-EDE6894E4540}"/>
    <cellStyle name="Normal 5 2 3 2 2 6 3 4" xfId="41971" xr:uid="{A1927EE0-802F-4067-A85F-8A79C63EF0DB}"/>
    <cellStyle name="Normal 5 2 3 2 2 6 3 5" xfId="15777" xr:uid="{1F04E5F2-3A93-4E39-B660-1360E0876A7A}"/>
    <cellStyle name="Normal 5 2 3 2 2 6 4" xfId="20860" xr:uid="{0A1D59F1-76C7-46A9-8F13-76F5918C04E9}"/>
    <cellStyle name="Normal 5 2 3 2 2 6 5" xfId="29307" xr:uid="{33689386-4628-4EB2-8667-B9576AE8C865}"/>
    <cellStyle name="Normal 5 2 3 2 2 6 6" xfId="37754" xr:uid="{508141D8-02F2-4EB4-8C2C-715D06E70A15}"/>
    <cellStyle name="Normal 5 2 3 2 2 6 7" xfId="11560" xr:uid="{6E2FE0E1-2A2E-4CFE-9D4A-B1B79559DB63}"/>
    <cellStyle name="Normal 5 2 3 2 2 7" xfId="2581" xr:uid="{00000000-0005-0000-0000-00005A180000}"/>
    <cellStyle name="Normal 5 2 3 2 2 7 2" xfId="6864" xr:uid="{00000000-0005-0000-0000-00005B180000}"/>
    <cellStyle name="Normal 5 2 3 2 2 7 2 2" xfId="25490" xr:uid="{FBEB40CB-6C58-42D5-AEE7-23AC4CFAA4DC}"/>
    <cellStyle name="Normal 5 2 3 2 2 7 2 3" xfId="33937" xr:uid="{2FFA1192-2413-4F90-944A-86A983444FE1}"/>
    <cellStyle name="Normal 5 2 3 2 2 7 2 4" xfId="42384" xr:uid="{E7090B08-9AF9-4DB3-B690-B7CC5B725249}"/>
    <cellStyle name="Normal 5 2 3 2 2 7 2 5" xfId="16190" xr:uid="{8C92795F-0987-42BE-B971-91B091787724}"/>
    <cellStyle name="Normal 5 2 3 2 2 7 3" xfId="21273" xr:uid="{496FF09D-2A8C-4957-8564-5109F36299D7}"/>
    <cellStyle name="Normal 5 2 3 2 2 7 4" xfId="29720" xr:uid="{6A90DC7C-60B9-4207-8B42-74B4819020E0}"/>
    <cellStyle name="Normal 5 2 3 2 2 7 5" xfId="38167" xr:uid="{9182AC42-33D1-4E84-A0B4-6CDC6B2D6A9F}"/>
    <cellStyle name="Normal 5 2 3 2 2 7 6" xfId="11973" xr:uid="{FF75E776-B990-4CB9-9D5C-5C94441A111E}"/>
    <cellStyle name="Normal 5 2 3 2 2 8" xfId="4799" xr:uid="{00000000-0005-0000-0000-00005C180000}"/>
    <cellStyle name="Normal 5 2 3 2 2 8 2" xfId="23425" xr:uid="{68EA1495-AFEE-4D41-A0AE-0EF0031DF3D0}"/>
    <cellStyle name="Normal 5 2 3 2 2 8 3" xfId="31872" xr:uid="{7EF0DAC1-1334-44CC-834D-4834C06346FB}"/>
    <cellStyle name="Normal 5 2 3 2 2 8 4" xfId="40319" xr:uid="{C4C41021-8534-4509-8C48-38569B4285AB}"/>
    <cellStyle name="Normal 5 2 3 2 2 8 5" xfId="14125" xr:uid="{B352F58E-C5A1-44B1-818D-A4899E4BF9D4}"/>
    <cellStyle name="Normal 5 2 3 2 2 9" xfId="8933" xr:uid="{2228AC18-CB51-4AF4-A227-403A8409C6C2}"/>
    <cellStyle name="Normal 5 2 3 2 2 9 2" xfId="18257" xr:uid="{6277336F-A34B-4319-913C-004D40F42A2F}"/>
    <cellStyle name="Normal 5 2 3 2 3" xfId="428" xr:uid="{00000000-0005-0000-0000-00005D180000}"/>
    <cellStyle name="Normal 5 2 3 2 3 10" xfId="27657" xr:uid="{7C7D5E01-BFD2-4213-948E-60F3E022E92E}"/>
    <cellStyle name="Normal 5 2 3 2 3 11" xfId="36104" xr:uid="{DC7FCE7D-761C-40A3-B5C7-842C8A079458}"/>
    <cellStyle name="Normal 5 2 3 2 3 12" xfId="9910" xr:uid="{166C5C9F-63CA-4514-9FA1-79A1D72A6263}"/>
    <cellStyle name="Normal 5 2 3 2 3 2" xfId="902" xr:uid="{00000000-0005-0000-0000-00005E180000}"/>
    <cellStyle name="Normal 5 2 3 2 3 2 2" xfId="3137" xr:uid="{00000000-0005-0000-0000-00005F180000}"/>
    <cellStyle name="Normal 5 2 3 2 3 2 2 2" xfId="7359" xr:uid="{00000000-0005-0000-0000-000060180000}"/>
    <cellStyle name="Normal 5 2 3 2 3 2 2 2 2" xfId="25985" xr:uid="{EC10CF8B-AF7C-4613-A447-C073AEC69E6C}"/>
    <cellStyle name="Normal 5 2 3 2 3 2 2 2 3" xfId="34432" xr:uid="{E5E1AB2B-BB7B-4DD0-86EF-DCEBA88F1D2B}"/>
    <cellStyle name="Normal 5 2 3 2 3 2 2 2 4" xfId="42879" xr:uid="{F32D5F05-3D9D-431B-A645-D622B637F73B}"/>
    <cellStyle name="Normal 5 2 3 2 3 2 2 2 5" xfId="16685" xr:uid="{CE4B60D6-58CB-4DAB-8BA1-DFFEBB48B394}"/>
    <cellStyle name="Normal 5 2 3 2 3 2 2 3" xfId="21768" xr:uid="{B5B75A60-E170-4EB0-9414-9C50F0639D27}"/>
    <cellStyle name="Normal 5 2 3 2 3 2 2 4" xfId="30215" xr:uid="{A4B68523-1DA5-489C-8E25-713D3CDDFAD5}"/>
    <cellStyle name="Normal 5 2 3 2 3 2 2 5" xfId="38662" xr:uid="{AF3CAD3D-5F9C-4EBA-BD98-BE8A5816C60B}"/>
    <cellStyle name="Normal 5 2 3 2 3 2 2 6" xfId="12468" xr:uid="{5671F116-106B-469C-BB6A-23DFE42ABB90}"/>
    <cellStyle name="Normal 5 2 3 2 3 2 3" xfId="5214" xr:uid="{00000000-0005-0000-0000-000061180000}"/>
    <cellStyle name="Normal 5 2 3 2 3 2 3 2" xfId="23840" xr:uid="{F267F2A6-2503-49A6-B83B-23895E5F53C6}"/>
    <cellStyle name="Normal 5 2 3 2 3 2 3 3" xfId="32287" xr:uid="{B7C33018-045E-4D87-B658-81B4195EE49E}"/>
    <cellStyle name="Normal 5 2 3 2 3 2 3 4" xfId="40734" xr:uid="{841972CB-E109-4B6B-BC00-86FBFBD79C06}"/>
    <cellStyle name="Normal 5 2 3 2 3 2 3 5" xfId="14540" xr:uid="{90BCF3DE-3C05-416A-8A22-001FAAC2A7BA}"/>
    <cellStyle name="Normal 5 2 3 2 3 2 4" xfId="9462" xr:uid="{B4C14F1A-A88A-428F-A7F8-BAFD7E5CD045}"/>
    <cellStyle name="Normal 5 2 3 2 3 2 4 2" xfId="18778" xr:uid="{FE329006-5005-4AD8-80CD-6196DC70ACF4}"/>
    <cellStyle name="Normal 5 2 3 2 3 2 5" xfId="19623" xr:uid="{6D155102-051A-47BB-85CF-EB8EC8F88F88}"/>
    <cellStyle name="Normal 5 2 3 2 3 2 6" xfId="28070" xr:uid="{15E6D7F8-BFEC-4210-9FF3-EF3F27F60A91}"/>
    <cellStyle name="Normal 5 2 3 2 3 2 7" xfId="36517" xr:uid="{DF2D2BF8-B402-4355-A1EB-3B8CB0C672E6}"/>
    <cellStyle name="Normal 5 2 3 2 3 2 8" xfId="10323" xr:uid="{88CF6179-987C-417F-A1DE-9E4E9333DD07}"/>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2 2 2" xfId="26398" xr:uid="{5275A97E-7B06-412A-878E-BE9C76764FD8}"/>
    <cellStyle name="Normal 5 2 3 2 3 3 2 2 3" xfId="34845" xr:uid="{6BEFE6AF-953C-4882-A9A5-90A1A320965F}"/>
    <cellStyle name="Normal 5 2 3 2 3 3 2 2 4" xfId="43292" xr:uid="{354B073E-3B54-4285-9B5C-10BFE25C5B94}"/>
    <cellStyle name="Normal 5 2 3 2 3 3 2 2 5" xfId="17098" xr:uid="{ABB8CA40-5E51-40CE-B9EF-673F7221C18F}"/>
    <cellStyle name="Normal 5 2 3 2 3 3 2 3" xfId="22181" xr:uid="{97F7D958-5BFB-40E5-B023-015F84124396}"/>
    <cellStyle name="Normal 5 2 3 2 3 3 2 4" xfId="30628" xr:uid="{C1314757-A48A-487D-B5D6-9B0A39C8510F}"/>
    <cellStyle name="Normal 5 2 3 2 3 3 2 5" xfId="39075" xr:uid="{F3A3A1C8-263E-4CF9-B790-CA54856AE3D6}"/>
    <cellStyle name="Normal 5 2 3 2 3 3 2 6" xfId="12881" xr:uid="{B20FCD09-1954-434B-8B64-BBF5E93B5A33}"/>
    <cellStyle name="Normal 5 2 3 2 3 3 3" xfId="5627" xr:uid="{00000000-0005-0000-0000-000065180000}"/>
    <cellStyle name="Normal 5 2 3 2 3 3 3 2" xfId="24253" xr:uid="{B6D6E60F-C849-4E0B-9AE1-0C2E43394E93}"/>
    <cellStyle name="Normal 5 2 3 2 3 3 3 3" xfId="32700" xr:uid="{372C7B2A-584E-461D-9C70-4E7C0C7E29B3}"/>
    <cellStyle name="Normal 5 2 3 2 3 3 3 4" xfId="41147" xr:uid="{DF1180D4-393E-4A80-BF34-382FA5FE04EC}"/>
    <cellStyle name="Normal 5 2 3 2 3 3 3 5" xfId="14953" xr:uid="{D770B5C3-53CE-4C78-9AC1-BC1FECFDC27B}"/>
    <cellStyle name="Normal 5 2 3 2 3 3 4" xfId="20036" xr:uid="{A5335D6C-476A-4126-BA84-63411E3C84C8}"/>
    <cellStyle name="Normal 5 2 3 2 3 3 5" xfId="28483" xr:uid="{C0FDEFDB-B0B8-4163-9C30-6237BF86F3BE}"/>
    <cellStyle name="Normal 5 2 3 2 3 3 6" xfId="36930" xr:uid="{E864750C-E52A-4A8B-80AC-CDCE714CAA50}"/>
    <cellStyle name="Normal 5 2 3 2 3 3 7" xfId="10736" xr:uid="{382ED06B-9A1A-4E36-A902-987AC3F10A27}"/>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2 2 2" xfId="26811" xr:uid="{13321694-2ADD-4A08-97BB-F6B37B1D57F0}"/>
    <cellStyle name="Normal 5 2 3 2 3 4 2 2 3" xfId="35258" xr:uid="{48D4945A-39C8-4756-B4C8-61EAF810A311}"/>
    <cellStyle name="Normal 5 2 3 2 3 4 2 2 4" xfId="43705" xr:uid="{B2CC5309-8013-4079-831A-C1576D7D3D5E}"/>
    <cellStyle name="Normal 5 2 3 2 3 4 2 2 5" xfId="17511" xr:uid="{D7AD3782-0344-4315-BFBD-82B39875ABE2}"/>
    <cellStyle name="Normal 5 2 3 2 3 4 2 3" xfId="22594" xr:uid="{D5F80160-08E0-4406-9F0B-D771DD6648B9}"/>
    <cellStyle name="Normal 5 2 3 2 3 4 2 4" xfId="31041" xr:uid="{667E9FB5-EB17-4BC4-A67B-F717C809C93B}"/>
    <cellStyle name="Normal 5 2 3 2 3 4 2 5" xfId="39488" xr:uid="{214BB369-D100-4A17-97DD-0E8B3D664CD7}"/>
    <cellStyle name="Normal 5 2 3 2 3 4 2 6" xfId="13294" xr:uid="{6979EA1F-AAFB-40ED-83DB-06C5ACB96961}"/>
    <cellStyle name="Normal 5 2 3 2 3 4 3" xfId="6040" xr:uid="{00000000-0005-0000-0000-000069180000}"/>
    <cellStyle name="Normal 5 2 3 2 3 4 3 2" xfId="24666" xr:uid="{2C84467E-F74A-4FCA-9645-8B4E20822A03}"/>
    <cellStyle name="Normal 5 2 3 2 3 4 3 3" xfId="33113" xr:uid="{53C6FCE0-0344-44D3-B58D-341A00088CD2}"/>
    <cellStyle name="Normal 5 2 3 2 3 4 3 4" xfId="41560" xr:uid="{E55E693E-337A-429E-8F21-9A1E4B3F861F}"/>
    <cellStyle name="Normal 5 2 3 2 3 4 3 5" xfId="15366" xr:uid="{D716771C-6DE8-462F-A62F-9324C23FE50F}"/>
    <cellStyle name="Normal 5 2 3 2 3 4 4" xfId="20449" xr:uid="{96AE767D-94AA-45FF-AC2F-7DD81F632294}"/>
    <cellStyle name="Normal 5 2 3 2 3 4 5" xfId="28896" xr:uid="{EF208FEA-FAEE-42F4-997F-9DCB06F0D80E}"/>
    <cellStyle name="Normal 5 2 3 2 3 4 6" xfId="37343" xr:uid="{3ABB70E0-E4D2-475A-8C1B-8F6F58A6581B}"/>
    <cellStyle name="Normal 5 2 3 2 3 4 7" xfId="11149" xr:uid="{039E940F-6A20-4EFE-86DF-82C6869FC7D7}"/>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2 2 2" xfId="27224" xr:uid="{352182AB-A9AC-4E54-AB9D-D6DE55E72EC7}"/>
    <cellStyle name="Normal 5 2 3 2 3 5 2 2 3" xfId="35671" xr:uid="{1187FB97-B69D-4010-BA20-848FFAEA2AA5}"/>
    <cellStyle name="Normal 5 2 3 2 3 5 2 2 4" xfId="44118" xr:uid="{FFB8CF08-D272-4272-92DF-B83AB6AEE03E}"/>
    <cellStyle name="Normal 5 2 3 2 3 5 2 2 5" xfId="17924" xr:uid="{8CC47593-282E-4AEF-A0CB-2697C597CD6B}"/>
    <cellStyle name="Normal 5 2 3 2 3 5 2 3" xfId="23007" xr:uid="{7213EB73-6254-4776-9B6F-60C3188195A9}"/>
    <cellStyle name="Normal 5 2 3 2 3 5 2 4" xfId="31454" xr:uid="{9AADA6DC-8DEA-404C-8464-E10FFEF3B4DC}"/>
    <cellStyle name="Normal 5 2 3 2 3 5 2 5" xfId="39901" xr:uid="{DAAB3C3C-771A-4D45-995B-0E52496324E6}"/>
    <cellStyle name="Normal 5 2 3 2 3 5 2 6" xfId="13707" xr:uid="{11691A2F-4572-418C-B3C2-51E454DD1B3F}"/>
    <cellStyle name="Normal 5 2 3 2 3 5 3" xfId="6453" xr:uid="{00000000-0005-0000-0000-00006D180000}"/>
    <cellStyle name="Normal 5 2 3 2 3 5 3 2" xfId="25079" xr:uid="{1E2A9404-9C1B-4AF7-B7EC-C1A356628FED}"/>
    <cellStyle name="Normal 5 2 3 2 3 5 3 3" xfId="33526" xr:uid="{1E9D6155-9AE8-4FBE-9C3B-2A30A61C923E}"/>
    <cellStyle name="Normal 5 2 3 2 3 5 3 4" xfId="41973" xr:uid="{DE968AF4-933A-4ED5-ACFC-CA4B163CA5A4}"/>
    <cellStyle name="Normal 5 2 3 2 3 5 3 5" xfId="15779" xr:uid="{8A08A154-A5B2-4F93-988F-8B29A7278E5A}"/>
    <cellStyle name="Normal 5 2 3 2 3 5 4" xfId="20862" xr:uid="{B7514290-C535-4D6A-9F62-3799C76849FF}"/>
    <cellStyle name="Normal 5 2 3 2 3 5 5" xfId="29309" xr:uid="{45B1ABEC-D114-4C93-961B-57F93AA0F69E}"/>
    <cellStyle name="Normal 5 2 3 2 3 5 6" xfId="37756" xr:uid="{49C401EB-F944-428C-A73B-25F16796A7E8}"/>
    <cellStyle name="Normal 5 2 3 2 3 5 7" xfId="11562" xr:uid="{2B43D211-77A1-42D8-9E58-2DB923C532DA}"/>
    <cellStyle name="Normal 5 2 3 2 3 6" xfId="2583" xr:uid="{00000000-0005-0000-0000-00006E180000}"/>
    <cellStyle name="Normal 5 2 3 2 3 6 2" xfId="6866" xr:uid="{00000000-0005-0000-0000-00006F180000}"/>
    <cellStyle name="Normal 5 2 3 2 3 6 2 2" xfId="25492" xr:uid="{60844D7D-2DC5-4529-A32D-D93397ACDE17}"/>
    <cellStyle name="Normal 5 2 3 2 3 6 2 3" xfId="33939" xr:uid="{03E278B3-CC4B-4CFD-B9EC-E9E4DCBD8A66}"/>
    <cellStyle name="Normal 5 2 3 2 3 6 2 4" xfId="42386" xr:uid="{5B7ACC54-C5DA-44A6-95E9-1A7B7B97847C}"/>
    <cellStyle name="Normal 5 2 3 2 3 6 2 5" xfId="16192" xr:uid="{930B647A-8616-4FCC-8725-DBBCB206BFA4}"/>
    <cellStyle name="Normal 5 2 3 2 3 6 3" xfId="21275" xr:uid="{0B3F3009-8612-42BC-A662-84567CE639E7}"/>
    <cellStyle name="Normal 5 2 3 2 3 6 4" xfId="29722" xr:uid="{E39B559E-6CFF-4BA2-B859-5810251C552E}"/>
    <cellStyle name="Normal 5 2 3 2 3 6 5" xfId="38169" xr:uid="{4A79FEE3-9389-4764-BA55-FE90EB90C798}"/>
    <cellStyle name="Normal 5 2 3 2 3 6 6" xfId="11975" xr:uid="{BF4CBD2B-BD46-43C6-9676-737B0E78A5AD}"/>
    <cellStyle name="Normal 5 2 3 2 3 7" xfId="4801" xr:uid="{00000000-0005-0000-0000-000070180000}"/>
    <cellStyle name="Normal 5 2 3 2 3 7 2" xfId="23427" xr:uid="{C5561D60-3F18-459B-BF26-2D1FA682AFE2}"/>
    <cellStyle name="Normal 5 2 3 2 3 7 3" xfId="31874" xr:uid="{EFD2383C-2397-496D-BB74-8565065E29EA}"/>
    <cellStyle name="Normal 5 2 3 2 3 7 4" xfId="40321" xr:uid="{797D7EF5-8CFB-40C4-A315-90CCDEE1C7DC}"/>
    <cellStyle name="Normal 5 2 3 2 3 7 5" xfId="14127" xr:uid="{5F91511F-21D4-48A7-814C-D16A6B4F6D37}"/>
    <cellStyle name="Normal 5 2 3 2 3 8" xfId="9037" xr:uid="{EED46D7F-EFCD-4AC1-931D-AB06B694E7BE}"/>
    <cellStyle name="Normal 5 2 3 2 3 8 2" xfId="18361" xr:uid="{0A247D03-C929-4E76-9B6D-B7A1C9F1340B}"/>
    <cellStyle name="Normal 5 2 3 2 3 9" xfId="19210" xr:uid="{CDD7320B-D8CE-4765-814B-05296B9E9AED}"/>
    <cellStyle name="Normal 5 2 3 2 4" xfId="899" xr:uid="{00000000-0005-0000-0000-000071180000}"/>
    <cellStyle name="Normal 5 2 3 2 4 2" xfId="3134" xr:uid="{00000000-0005-0000-0000-000072180000}"/>
    <cellStyle name="Normal 5 2 3 2 4 2 2" xfId="7356" xr:uid="{00000000-0005-0000-0000-000073180000}"/>
    <cellStyle name="Normal 5 2 3 2 4 2 2 2" xfId="25982" xr:uid="{9EA9C9FB-BFDB-4B26-8150-29A82F85096C}"/>
    <cellStyle name="Normal 5 2 3 2 4 2 2 3" xfId="34429" xr:uid="{F75A3592-FB9D-4074-9FE0-058349FD9A3B}"/>
    <cellStyle name="Normal 5 2 3 2 4 2 2 4" xfId="42876" xr:uid="{EE30BB71-BF54-40BD-BF09-485969F228C7}"/>
    <cellStyle name="Normal 5 2 3 2 4 2 2 5" xfId="16682" xr:uid="{0CC537A2-39D5-44D4-AD53-A848C56DF45B}"/>
    <cellStyle name="Normal 5 2 3 2 4 2 3" xfId="21765" xr:uid="{38D0DA0C-43ED-4140-AA75-EB52C5D1995C}"/>
    <cellStyle name="Normal 5 2 3 2 4 2 4" xfId="30212" xr:uid="{01EE7A6E-0601-4B76-A7E9-D0F64DF79FBC}"/>
    <cellStyle name="Normal 5 2 3 2 4 2 5" xfId="38659" xr:uid="{21DFBC1B-DC3D-4459-8B51-A019A5C15445}"/>
    <cellStyle name="Normal 5 2 3 2 4 2 6" xfId="12465" xr:uid="{7EF643AB-A118-405E-83F0-625A46889972}"/>
    <cellStyle name="Normal 5 2 3 2 4 3" xfId="5211" xr:uid="{00000000-0005-0000-0000-000074180000}"/>
    <cellStyle name="Normal 5 2 3 2 4 3 2" xfId="23837" xr:uid="{C6CDAC5D-BDD7-49E5-B48C-66329925A5B7}"/>
    <cellStyle name="Normal 5 2 3 2 4 3 3" xfId="32284" xr:uid="{73B33665-FFC5-4FB8-B243-7279AA9D695E}"/>
    <cellStyle name="Normal 5 2 3 2 4 3 4" xfId="40731" xr:uid="{69679CE3-F155-484D-BCD0-286F0B286F76}"/>
    <cellStyle name="Normal 5 2 3 2 4 3 5" xfId="14537" xr:uid="{92CAA43E-915D-4269-A6EB-6C633D68550B}"/>
    <cellStyle name="Normal 5 2 3 2 4 4" xfId="9255" xr:uid="{C5A161BB-6C4F-4A9D-BBA7-7500B0B26A70}"/>
    <cellStyle name="Normal 5 2 3 2 4 4 2" xfId="18571" xr:uid="{D00078F7-F3D8-49DD-98C3-11F1405477AB}"/>
    <cellStyle name="Normal 5 2 3 2 4 5" xfId="19620" xr:uid="{00219E0E-ECBC-4B5B-A603-BECAE66FF9AA}"/>
    <cellStyle name="Normal 5 2 3 2 4 6" xfId="28067" xr:uid="{5B5B8EBC-EC9D-4909-8F67-BB18C17FFDA9}"/>
    <cellStyle name="Normal 5 2 3 2 4 7" xfId="36514" xr:uid="{A0F37D01-7098-4618-9E6C-ED440E3BBD2B}"/>
    <cellStyle name="Normal 5 2 3 2 4 8" xfId="10320" xr:uid="{0E531B16-921C-4BF2-A3D7-351C2A9A6E5C}"/>
    <cellStyle name="Normal 5 2 3 2 5" xfId="1317" xr:uid="{00000000-0005-0000-0000-000075180000}"/>
    <cellStyle name="Normal 5 2 3 2 5 2" xfId="3547" xr:uid="{00000000-0005-0000-0000-000076180000}"/>
    <cellStyle name="Normal 5 2 3 2 5 2 2" xfId="7769" xr:uid="{00000000-0005-0000-0000-000077180000}"/>
    <cellStyle name="Normal 5 2 3 2 5 2 2 2" xfId="26395" xr:uid="{B27021C8-1528-43C3-BDA5-F224E5D4A010}"/>
    <cellStyle name="Normal 5 2 3 2 5 2 2 3" xfId="34842" xr:uid="{8A27D4DC-1F19-464A-B040-DC9C8D819FD3}"/>
    <cellStyle name="Normal 5 2 3 2 5 2 2 4" xfId="43289" xr:uid="{1DD4D0FD-73F0-43F4-AF9E-1137E28A8C52}"/>
    <cellStyle name="Normal 5 2 3 2 5 2 2 5" xfId="17095" xr:uid="{607D6078-A16C-4E87-9E5B-A1C1345178C3}"/>
    <cellStyle name="Normal 5 2 3 2 5 2 3" xfId="22178" xr:uid="{F31C0707-0EF0-4E9A-AE76-3A1D8D645292}"/>
    <cellStyle name="Normal 5 2 3 2 5 2 4" xfId="30625" xr:uid="{6535B11E-0C9D-4123-8E1B-CFF09D9D1EEC}"/>
    <cellStyle name="Normal 5 2 3 2 5 2 5" xfId="39072" xr:uid="{F90208C5-DA4D-4C31-B6A0-9DE28C019C29}"/>
    <cellStyle name="Normal 5 2 3 2 5 2 6" xfId="12878" xr:uid="{87B21B15-C6AC-44BF-AFAF-AF1BA7DB35AF}"/>
    <cellStyle name="Normal 5 2 3 2 5 3" xfId="5624" xr:uid="{00000000-0005-0000-0000-000078180000}"/>
    <cellStyle name="Normal 5 2 3 2 5 3 2" xfId="24250" xr:uid="{54025845-57CE-4B04-90B1-0D738FDC6E89}"/>
    <cellStyle name="Normal 5 2 3 2 5 3 3" xfId="32697" xr:uid="{E656C15A-A0F1-4DF4-8023-B9457E31A612}"/>
    <cellStyle name="Normal 5 2 3 2 5 3 4" xfId="41144" xr:uid="{36BF82F9-DC1B-45A0-83FE-92B750965738}"/>
    <cellStyle name="Normal 5 2 3 2 5 3 5" xfId="14950" xr:uid="{AF9C9989-0CB4-4A24-B5AF-F28D6777885E}"/>
    <cellStyle name="Normal 5 2 3 2 5 4" xfId="20033" xr:uid="{257D6265-1F9C-4B0C-9F17-2B91E3A4FDED}"/>
    <cellStyle name="Normal 5 2 3 2 5 5" xfId="28480" xr:uid="{548E1530-F74D-4B2C-9E65-634F6CEF0EB1}"/>
    <cellStyle name="Normal 5 2 3 2 5 6" xfId="36927" xr:uid="{8D473ED6-C53E-42CF-A5E2-7906FD761416}"/>
    <cellStyle name="Normal 5 2 3 2 5 7" xfId="10733" xr:uid="{C955D57B-1B8A-47A9-ACDB-44D6A4A3A23B}"/>
    <cellStyle name="Normal 5 2 3 2 6" xfId="1730" xr:uid="{00000000-0005-0000-0000-000079180000}"/>
    <cellStyle name="Normal 5 2 3 2 6 2" xfId="3960" xr:uid="{00000000-0005-0000-0000-00007A180000}"/>
    <cellStyle name="Normal 5 2 3 2 6 2 2" xfId="8182" xr:uid="{00000000-0005-0000-0000-00007B180000}"/>
    <cellStyle name="Normal 5 2 3 2 6 2 2 2" xfId="26808" xr:uid="{EC8D860B-C989-4061-9994-F537FB4EBC6D}"/>
    <cellStyle name="Normal 5 2 3 2 6 2 2 3" xfId="35255" xr:uid="{A7589206-0860-4B7E-BD7E-85BA23A8070B}"/>
    <cellStyle name="Normal 5 2 3 2 6 2 2 4" xfId="43702" xr:uid="{3F521F88-9B80-417A-B271-3D93245F5086}"/>
    <cellStyle name="Normal 5 2 3 2 6 2 2 5" xfId="17508" xr:uid="{BDE0D246-4AEC-4BFE-8FA7-5665A31B51A3}"/>
    <cellStyle name="Normal 5 2 3 2 6 2 3" xfId="22591" xr:uid="{5A92C354-5727-42D3-8CE5-6B3EA2C5FF39}"/>
    <cellStyle name="Normal 5 2 3 2 6 2 4" xfId="31038" xr:uid="{78AD9A16-0F71-47D4-8850-FF41E24D996B}"/>
    <cellStyle name="Normal 5 2 3 2 6 2 5" xfId="39485" xr:uid="{EF496744-BAAD-4754-AA58-818110192D5D}"/>
    <cellStyle name="Normal 5 2 3 2 6 2 6" xfId="13291" xr:uid="{9F3B6459-1E1B-4B67-83E2-18DB9B58C058}"/>
    <cellStyle name="Normal 5 2 3 2 6 3" xfId="6037" xr:uid="{00000000-0005-0000-0000-00007C180000}"/>
    <cellStyle name="Normal 5 2 3 2 6 3 2" xfId="24663" xr:uid="{2D157FDF-AE5E-4E57-851E-3713491A2EDD}"/>
    <cellStyle name="Normal 5 2 3 2 6 3 3" xfId="33110" xr:uid="{67A63328-46C9-42C5-AE7D-D32EA106B089}"/>
    <cellStyle name="Normal 5 2 3 2 6 3 4" xfId="41557" xr:uid="{7C7967C8-E9FC-4A52-AA99-58732387D6E2}"/>
    <cellStyle name="Normal 5 2 3 2 6 3 5" xfId="15363" xr:uid="{A80887B6-9CBC-4CDD-94C5-11D57C5BE86F}"/>
    <cellStyle name="Normal 5 2 3 2 6 4" xfId="20446" xr:uid="{75F66B12-CD87-450E-A48A-79DAE3E7FE89}"/>
    <cellStyle name="Normal 5 2 3 2 6 5" xfId="28893" xr:uid="{70106AF4-3847-434D-A40C-5D2393AD512F}"/>
    <cellStyle name="Normal 5 2 3 2 6 6" xfId="37340" xr:uid="{E06218F1-79D7-4E85-AE73-92E06617E7AC}"/>
    <cellStyle name="Normal 5 2 3 2 6 7" xfId="11146" xr:uid="{70A150E1-2F14-4E5A-A52E-9D6C8FBBC32D}"/>
    <cellStyle name="Normal 5 2 3 2 7" xfId="2144" xr:uid="{00000000-0005-0000-0000-00007D180000}"/>
    <cellStyle name="Normal 5 2 3 2 7 2" xfId="4373" xr:uid="{00000000-0005-0000-0000-00007E180000}"/>
    <cellStyle name="Normal 5 2 3 2 7 2 2" xfId="8595" xr:uid="{00000000-0005-0000-0000-00007F180000}"/>
    <cellStyle name="Normal 5 2 3 2 7 2 2 2" xfId="27221" xr:uid="{349828D5-B386-4265-9151-972B75AC1FBE}"/>
    <cellStyle name="Normal 5 2 3 2 7 2 2 3" xfId="35668" xr:uid="{2C4DBBAE-EF7C-4B46-BE34-4F77A00795EB}"/>
    <cellStyle name="Normal 5 2 3 2 7 2 2 4" xfId="44115" xr:uid="{38419515-261B-4233-9A29-961B2F40A5AE}"/>
    <cellStyle name="Normal 5 2 3 2 7 2 2 5" xfId="17921" xr:uid="{21D397F3-536A-4E3C-856F-971325171E7E}"/>
    <cellStyle name="Normal 5 2 3 2 7 2 3" xfId="23004" xr:uid="{82ABA9C9-8BE8-4F45-A1EB-4BE5EA8C4F99}"/>
    <cellStyle name="Normal 5 2 3 2 7 2 4" xfId="31451" xr:uid="{4922B457-8831-4664-8455-093685D9EDE3}"/>
    <cellStyle name="Normal 5 2 3 2 7 2 5" xfId="39898" xr:uid="{2C9B6448-3A4B-4441-9847-E8018378F716}"/>
    <cellStyle name="Normal 5 2 3 2 7 2 6" xfId="13704" xr:uid="{3475ACCF-0A84-4DA2-8525-D093D81EBE33}"/>
    <cellStyle name="Normal 5 2 3 2 7 3" xfId="6450" xr:uid="{00000000-0005-0000-0000-000080180000}"/>
    <cellStyle name="Normal 5 2 3 2 7 3 2" xfId="25076" xr:uid="{A724793C-38F3-48DC-B4B4-277592FA433A}"/>
    <cellStyle name="Normal 5 2 3 2 7 3 3" xfId="33523" xr:uid="{53C43A23-82D7-4BAE-8644-43AD229383C2}"/>
    <cellStyle name="Normal 5 2 3 2 7 3 4" xfId="41970" xr:uid="{FA0BF039-073B-4AF4-A6FA-48A6D0CD1641}"/>
    <cellStyle name="Normal 5 2 3 2 7 3 5" xfId="15776" xr:uid="{582F9E37-E6F4-4DF0-A246-82DBCDD9ED1B}"/>
    <cellStyle name="Normal 5 2 3 2 7 4" xfId="20859" xr:uid="{57B65FCF-877A-4A0F-99C4-FEC092469AF8}"/>
    <cellStyle name="Normal 5 2 3 2 7 5" xfId="29306" xr:uid="{D4927C2E-0DDC-466F-BD95-BCEDF960C53A}"/>
    <cellStyle name="Normal 5 2 3 2 7 6" xfId="37753" xr:uid="{618EEB1D-B55F-457F-8BAE-A55D37AF3ED4}"/>
    <cellStyle name="Normal 5 2 3 2 7 7" xfId="11559" xr:uid="{F180140B-519C-4552-9EAF-32C0EB1DF9B0}"/>
    <cellStyle name="Normal 5 2 3 2 8" xfId="2580" xr:uid="{00000000-0005-0000-0000-000081180000}"/>
    <cellStyle name="Normal 5 2 3 2 8 2" xfId="6863" xr:uid="{00000000-0005-0000-0000-000082180000}"/>
    <cellStyle name="Normal 5 2 3 2 8 2 2" xfId="25489" xr:uid="{8E60970F-847F-4583-A96A-F84DEDF59CDD}"/>
    <cellStyle name="Normal 5 2 3 2 8 2 3" xfId="33936" xr:uid="{29953772-A856-4C18-85A7-D1413E474FF0}"/>
    <cellStyle name="Normal 5 2 3 2 8 2 4" xfId="42383" xr:uid="{55162B99-1EBB-4036-8709-4900771ED140}"/>
    <cellStyle name="Normal 5 2 3 2 8 2 5" xfId="16189" xr:uid="{91610A6F-B6F7-49E7-84F8-B9BB9CB93578}"/>
    <cellStyle name="Normal 5 2 3 2 8 3" xfId="21272" xr:uid="{F8892864-2305-4B03-8819-503A74CD51E7}"/>
    <cellStyle name="Normal 5 2 3 2 8 4" xfId="29719" xr:uid="{CAA38E90-C9D3-45BC-AC52-ACA5672F8BCA}"/>
    <cellStyle name="Normal 5 2 3 2 8 5" xfId="38166" xr:uid="{03AF044D-602B-43FC-B84E-295A9157F011}"/>
    <cellStyle name="Normal 5 2 3 2 8 6" xfId="11972" xr:uid="{0BD853DE-C4CA-4480-8778-FB1FF5D5D846}"/>
    <cellStyle name="Normal 5 2 3 2 9" xfId="4798" xr:uid="{00000000-0005-0000-0000-000083180000}"/>
    <cellStyle name="Normal 5 2 3 2 9 2" xfId="23424" xr:uid="{EEA5B7FC-34B8-4770-A7A0-A6F7A67226AE}"/>
    <cellStyle name="Normal 5 2 3 2 9 3" xfId="31871" xr:uid="{C98509CC-86B4-40CA-8369-9B16F72666E0}"/>
    <cellStyle name="Normal 5 2 3 2 9 4" xfId="40318" xr:uid="{D227293B-600D-4B4A-87E9-539672297B75}"/>
    <cellStyle name="Normal 5 2 3 2 9 5" xfId="14124" xr:uid="{159B4D11-D127-4326-96F5-0D076B54A015}"/>
    <cellStyle name="Normal 5 2 3 3" xfId="429" xr:uid="{00000000-0005-0000-0000-000084180000}"/>
    <cellStyle name="Normal 5 2 3 3 10" xfId="19211" xr:uid="{6BF3F90B-C0AC-4432-ABB3-BE645E9E6B38}"/>
    <cellStyle name="Normal 5 2 3 3 11" xfId="27658" xr:uid="{9E23ED31-78E7-4744-9FE9-85BA8D93E174}"/>
    <cellStyle name="Normal 5 2 3 3 12" xfId="36105" xr:uid="{D6E63F88-C5B4-49FD-9322-374E337F4F2D}"/>
    <cellStyle name="Normal 5 2 3 3 13" xfId="9911" xr:uid="{56EC569E-B528-44CE-9C77-DB842B96291C}"/>
    <cellStyle name="Normal 5 2 3 3 2" xfId="430" xr:uid="{00000000-0005-0000-0000-000085180000}"/>
    <cellStyle name="Normal 5 2 3 3 2 10" xfId="27659" xr:uid="{4EC2B358-8673-46C7-BDD0-FF3EFF2B120B}"/>
    <cellStyle name="Normal 5 2 3 3 2 11" xfId="36106" xr:uid="{2022EE3F-9D5B-413B-A0BB-8510489FF493}"/>
    <cellStyle name="Normal 5 2 3 3 2 12" xfId="9912" xr:uid="{513586B4-E80F-42B7-9D92-EE20F3FA768F}"/>
    <cellStyle name="Normal 5 2 3 3 2 2" xfId="904" xr:uid="{00000000-0005-0000-0000-000086180000}"/>
    <cellStyle name="Normal 5 2 3 3 2 2 2" xfId="3139" xr:uid="{00000000-0005-0000-0000-000087180000}"/>
    <cellStyle name="Normal 5 2 3 3 2 2 2 2" xfId="7361" xr:uid="{00000000-0005-0000-0000-000088180000}"/>
    <cellStyle name="Normal 5 2 3 3 2 2 2 2 2" xfId="25987" xr:uid="{642AB2F2-06AE-45B2-B641-1B73FA47598C}"/>
    <cellStyle name="Normal 5 2 3 3 2 2 2 2 3" xfId="34434" xr:uid="{B50C81A4-8BE0-444C-A74D-383F67C99245}"/>
    <cellStyle name="Normal 5 2 3 3 2 2 2 2 4" xfId="42881" xr:uid="{B4E2B53C-9A95-4D97-B519-D6F09C99E98C}"/>
    <cellStyle name="Normal 5 2 3 3 2 2 2 2 5" xfId="16687" xr:uid="{5E0637A8-A275-4A91-ABBE-1E327AED0EDA}"/>
    <cellStyle name="Normal 5 2 3 3 2 2 2 3" xfId="21770" xr:uid="{753B254A-B9DA-4819-967B-8CC0A2C8BE7D}"/>
    <cellStyle name="Normal 5 2 3 3 2 2 2 4" xfId="30217" xr:uid="{78C7C719-1303-4C47-A570-BD98855BC70B}"/>
    <cellStyle name="Normal 5 2 3 3 2 2 2 5" xfId="38664" xr:uid="{BE579DD7-2D48-4CA9-9A8A-2EF3AD58419E}"/>
    <cellStyle name="Normal 5 2 3 3 2 2 2 6" xfId="12470" xr:uid="{D89F87D9-C2CC-412E-A903-DCAB282FE3A9}"/>
    <cellStyle name="Normal 5 2 3 3 2 2 3" xfId="5216" xr:uid="{00000000-0005-0000-0000-000089180000}"/>
    <cellStyle name="Normal 5 2 3 3 2 2 3 2" xfId="23842" xr:uid="{65BBB958-8BF2-4163-ABCA-C2FCFB094D24}"/>
    <cellStyle name="Normal 5 2 3 3 2 2 3 3" xfId="32289" xr:uid="{E5988AAF-816D-479D-B1DA-4D3757B620DD}"/>
    <cellStyle name="Normal 5 2 3 3 2 2 3 4" xfId="40736" xr:uid="{88E1A715-94B7-4836-98E1-ABD3BD8BB4F5}"/>
    <cellStyle name="Normal 5 2 3 3 2 2 3 5" xfId="14542" xr:uid="{176A3EBB-FF05-40A3-8E3B-1F42699E23E4}"/>
    <cellStyle name="Normal 5 2 3 3 2 2 4" xfId="9511" xr:uid="{75EF02F8-0397-4B30-A858-343ADCA7C08D}"/>
    <cellStyle name="Normal 5 2 3 3 2 2 4 2" xfId="18827" xr:uid="{665A2624-AB22-4368-8394-5F260F9B3AFB}"/>
    <cellStyle name="Normal 5 2 3 3 2 2 5" xfId="19625" xr:uid="{B0A0FDA4-297C-4FF9-83B2-B08956AA7AC6}"/>
    <cellStyle name="Normal 5 2 3 3 2 2 6" xfId="28072" xr:uid="{5B3BAFD9-FCBB-4093-AAEC-1E61B57CCEF9}"/>
    <cellStyle name="Normal 5 2 3 3 2 2 7" xfId="36519" xr:uid="{68287A04-8CEC-4863-B8E2-F58ABA28A06F}"/>
    <cellStyle name="Normal 5 2 3 3 2 2 8" xfId="10325" xr:uid="{85474FBD-5FA3-4887-8C9F-926BA30F006A}"/>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2 2 2" xfId="26400" xr:uid="{932E6036-B764-4ACE-B65E-4B905B843688}"/>
    <cellStyle name="Normal 5 2 3 3 2 3 2 2 3" xfId="34847" xr:uid="{4A7CEEDE-38E8-430C-B720-50257EA92034}"/>
    <cellStyle name="Normal 5 2 3 3 2 3 2 2 4" xfId="43294" xr:uid="{91665FAA-C42F-4359-A27B-788180907282}"/>
    <cellStyle name="Normal 5 2 3 3 2 3 2 2 5" xfId="17100" xr:uid="{2C218072-31A6-4031-90D9-DC152226D039}"/>
    <cellStyle name="Normal 5 2 3 3 2 3 2 3" xfId="22183" xr:uid="{478C8D9C-5E25-4789-BB6F-9CF943739557}"/>
    <cellStyle name="Normal 5 2 3 3 2 3 2 4" xfId="30630" xr:uid="{EAFB06E1-A343-4EE2-9199-91BB8DCFD356}"/>
    <cellStyle name="Normal 5 2 3 3 2 3 2 5" xfId="39077" xr:uid="{5DB2AB72-7F2C-4BAE-95AB-08AC2205B530}"/>
    <cellStyle name="Normal 5 2 3 3 2 3 2 6" xfId="12883" xr:uid="{40C66A65-BA31-40B4-A64F-13BBDA1ECC2B}"/>
    <cellStyle name="Normal 5 2 3 3 2 3 3" xfId="5629" xr:uid="{00000000-0005-0000-0000-00008D180000}"/>
    <cellStyle name="Normal 5 2 3 3 2 3 3 2" xfId="24255" xr:uid="{6E1D168D-12D8-42DE-9557-4CDE451FF32F}"/>
    <cellStyle name="Normal 5 2 3 3 2 3 3 3" xfId="32702" xr:uid="{A3B6972A-182F-413F-9CC8-B41D170ED196}"/>
    <cellStyle name="Normal 5 2 3 3 2 3 3 4" xfId="41149" xr:uid="{7883FB1C-68B7-40CE-AC85-C6FE9D602B78}"/>
    <cellStyle name="Normal 5 2 3 3 2 3 3 5" xfId="14955" xr:uid="{AAA86401-5804-445C-A7A3-80F8C471EF23}"/>
    <cellStyle name="Normal 5 2 3 3 2 3 4" xfId="20038" xr:uid="{B4E9DA10-ACA8-4F0F-BDDC-87A1C23B345C}"/>
    <cellStyle name="Normal 5 2 3 3 2 3 5" xfId="28485" xr:uid="{5ABD532F-5EAC-4CB6-9E35-AEEBF1EB9126}"/>
    <cellStyle name="Normal 5 2 3 3 2 3 6" xfId="36932" xr:uid="{DBC48786-888D-43AE-BEAF-28A803F902F0}"/>
    <cellStyle name="Normal 5 2 3 3 2 3 7" xfId="10738" xr:uid="{5E1AB9E0-D1CF-4CCF-A8BA-FA79886193F1}"/>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2 2 2" xfId="26813" xr:uid="{2A6222F6-E034-4381-BEB1-426310520FE4}"/>
    <cellStyle name="Normal 5 2 3 3 2 4 2 2 3" xfId="35260" xr:uid="{59186DE1-D3AE-44B7-BDBF-0E3CEFB05B95}"/>
    <cellStyle name="Normal 5 2 3 3 2 4 2 2 4" xfId="43707" xr:uid="{2FC3332F-41DA-46F5-84C2-81F52050FC30}"/>
    <cellStyle name="Normal 5 2 3 3 2 4 2 2 5" xfId="17513" xr:uid="{C41A8A0B-21FD-4273-98BF-61D90F4E8FF0}"/>
    <cellStyle name="Normal 5 2 3 3 2 4 2 3" xfId="22596" xr:uid="{14306630-5C90-4738-93A5-C8AE38E93CF8}"/>
    <cellStyle name="Normal 5 2 3 3 2 4 2 4" xfId="31043" xr:uid="{DEFFE05F-2083-462C-AB17-A2DCABE73F22}"/>
    <cellStyle name="Normal 5 2 3 3 2 4 2 5" xfId="39490" xr:uid="{ADB47259-69C8-4F86-B97B-87CAE241E78C}"/>
    <cellStyle name="Normal 5 2 3 3 2 4 2 6" xfId="13296" xr:uid="{0488F086-ACF7-413F-891A-9CEE3F5219DD}"/>
    <cellStyle name="Normal 5 2 3 3 2 4 3" xfId="6042" xr:uid="{00000000-0005-0000-0000-000091180000}"/>
    <cellStyle name="Normal 5 2 3 3 2 4 3 2" xfId="24668" xr:uid="{CC15046F-DE0C-4725-BD39-6EDF670733FC}"/>
    <cellStyle name="Normal 5 2 3 3 2 4 3 3" xfId="33115" xr:uid="{EB881A98-E0BF-4FDF-AF73-92E91F264712}"/>
    <cellStyle name="Normal 5 2 3 3 2 4 3 4" xfId="41562" xr:uid="{8C24DEEE-9F71-4A1D-B80A-9A52B948A09E}"/>
    <cellStyle name="Normal 5 2 3 3 2 4 3 5" xfId="15368" xr:uid="{25D25396-BAD2-4548-B83A-2273EE18A91B}"/>
    <cellStyle name="Normal 5 2 3 3 2 4 4" xfId="20451" xr:uid="{AF622667-EBDD-4FC2-8F36-86BD5C46515A}"/>
    <cellStyle name="Normal 5 2 3 3 2 4 5" xfId="28898" xr:uid="{50588566-A345-4E0D-ACB4-5E7CCD6F464C}"/>
    <cellStyle name="Normal 5 2 3 3 2 4 6" xfId="37345" xr:uid="{23FE0F1D-16E8-4B7C-8EDA-B6AAB93D6656}"/>
    <cellStyle name="Normal 5 2 3 3 2 4 7" xfId="11151" xr:uid="{B1B06D93-FE58-4936-B6D3-1F7309207653}"/>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2 2 2" xfId="27226" xr:uid="{59E1038C-AC9A-46FD-A576-DBC046FD3F37}"/>
    <cellStyle name="Normal 5 2 3 3 2 5 2 2 3" xfId="35673" xr:uid="{1912A096-AFD4-4889-9A8C-90E794120F43}"/>
    <cellStyle name="Normal 5 2 3 3 2 5 2 2 4" xfId="44120" xr:uid="{03C66F8C-3059-4FBE-9F81-3671DCF36AAF}"/>
    <cellStyle name="Normal 5 2 3 3 2 5 2 2 5" xfId="17926" xr:uid="{80EEE054-86DD-44A7-A80B-B5E644DCEF0C}"/>
    <cellStyle name="Normal 5 2 3 3 2 5 2 3" xfId="23009" xr:uid="{41CA3CD5-E141-41F1-B914-2112230EBAFF}"/>
    <cellStyle name="Normal 5 2 3 3 2 5 2 4" xfId="31456" xr:uid="{D1329156-4BA2-499E-9070-1B87F68DD37E}"/>
    <cellStyle name="Normal 5 2 3 3 2 5 2 5" xfId="39903" xr:uid="{649ABF59-5DF0-4131-937E-D3BED450058A}"/>
    <cellStyle name="Normal 5 2 3 3 2 5 2 6" xfId="13709" xr:uid="{B9D7962D-9C56-4B33-92D5-64C8CE215243}"/>
    <cellStyle name="Normal 5 2 3 3 2 5 3" xfId="6455" xr:uid="{00000000-0005-0000-0000-000095180000}"/>
    <cellStyle name="Normal 5 2 3 3 2 5 3 2" xfId="25081" xr:uid="{959DCB79-2382-4B65-9240-8815E50FA9B9}"/>
    <cellStyle name="Normal 5 2 3 3 2 5 3 3" xfId="33528" xr:uid="{4FF85542-375D-4B98-B8BB-357110931209}"/>
    <cellStyle name="Normal 5 2 3 3 2 5 3 4" xfId="41975" xr:uid="{9A3E59F9-8F7D-4095-B295-A8D50344DA27}"/>
    <cellStyle name="Normal 5 2 3 3 2 5 3 5" xfId="15781" xr:uid="{D7A741E1-1E16-48BC-88B7-4A4BCB5C8B33}"/>
    <cellStyle name="Normal 5 2 3 3 2 5 4" xfId="20864" xr:uid="{92D56F2D-0E8F-4018-98BC-55C0A53F8109}"/>
    <cellStyle name="Normal 5 2 3 3 2 5 5" xfId="29311" xr:uid="{D3C89935-A6A6-43F1-803F-D5DFA26FE379}"/>
    <cellStyle name="Normal 5 2 3 3 2 5 6" xfId="37758" xr:uid="{713FC7A4-CC8B-4612-8742-61ED6AC559F4}"/>
    <cellStyle name="Normal 5 2 3 3 2 5 7" xfId="11564" xr:uid="{BF4B3928-E877-4116-BF11-DC0D516C0D15}"/>
    <cellStyle name="Normal 5 2 3 3 2 6" xfId="2585" xr:uid="{00000000-0005-0000-0000-000096180000}"/>
    <cellStyle name="Normal 5 2 3 3 2 6 2" xfId="6868" xr:uid="{00000000-0005-0000-0000-000097180000}"/>
    <cellStyle name="Normal 5 2 3 3 2 6 2 2" xfId="25494" xr:uid="{46C40A1C-786E-41E7-B587-514C99168A8E}"/>
    <cellStyle name="Normal 5 2 3 3 2 6 2 3" xfId="33941" xr:uid="{5C1DF0FF-7DB0-4CE7-9E72-D43F4BD1D8D7}"/>
    <cellStyle name="Normal 5 2 3 3 2 6 2 4" xfId="42388" xr:uid="{5B6BC8B4-2A54-48EB-93EA-1FD86064E9F3}"/>
    <cellStyle name="Normal 5 2 3 3 2 6 2 5" xfId="16194" xr:uid="{51083F53-4127-4E65-99AE-21BDB14B777E}"/>
    <cellStyle name="Normal 5 2 3 3 2 6 3" xfId="21277" xr:uid="{06340E8E-FE03-420A-8B64-B6295D9D2FD4}"/>
    <cellStyle name="Normal 5 2 3 3 2 6 4" xfId="29724" xr:uid="{124992CE-3CB2-478D-AB6F-DC4E3DBE8325}"/>
    <cellStyle name="Normal 5 2 3 3 2 6 5" xfId="38171" xr:uid="{0571807C-AB50-4D5C-93CB-51BD4D441FA8}"/>
    <cellStyle name="Normal 5 2 3 3 2 6 6" xfId="11977" xr:uid="{931B6561-8479-44FC-A667-601575D020E4}"/>
    <cellStyle name="Normal 5 2 3 3 2 7" xfId="4803" xr:uid="{00000000-0005-0000-0000-000098180000}"/>
    <cellStyle name="Normal 5 2 3 3 2 7 2" xfId="23429" xr:uid="{243620BF-025C-415E-BFB4-A46E83FF9249}"/>
    <cellStyle name="Normal 5 2 3 3 2 7 3" xfId="31876" xr:uid="{4EBABD69-EC1A-4106-9AAE-BD99A95EE6B6}"/>
    <cellStyle name="Normal 5 2 3 3 2 7 4" xfId="40323" xr:uid="{6C077F1A-F673-4441-BC25-9E3003A97FA1}"/>
    <cellStyle name="Normal 5 2 3 3 2 7 5" xfId="14129" xr:uid="{1DB78E40-BF50-4F70-86FD-0AE6CA91CAF0}"/>
    <cellStyle name="Normal 5 2 3 3 2 8" xfId="9086" xr:uid="{442E5F61-F00C-4774-822F-4985AB3E1CB7}"/>
    <cellStyle name="Normal 5 2 3 3 2 8 2" xfId="18410" xr:uid="{870E88A0-E39D-4463-B23D-7CBF285FF36F}"/>
    <cellStyle name="Normal 5 2 3 3 2 9" xfId="19212" xr:uid="{A5D33532-FB95-49BB-8EE8-78550CECE3DE}"/>
    <cellStyle name="Normal 5 2 3 3 3" xfId="903" xr:uid="{00000000-0005-0000-0000-000099180000}"/>
    <cellStyle name="Normal 5 2 3 3 3 2" xfId="3138" xr:uid="{00000000-0005-0000-0000-00009A180000}"/>
    <cellStyle name="Normal 5 2 3 3 3 2 2" xfId="7360" xr:uid="{00000000-0005-0000-0000-00009B180000}"/>
    <cellStyle name="Normal 5 2 3 3 3 2 2 2" xfId="25986" xr:uid="{F72EF2C3-2A0E-4626-A09D-A00B36554C30}"/>
    <cellStyle name="Normal 5 2 3 3 3 2 2 3" xfId="34433" xr:uid="{C8B4DC11-5675-4F13-BFB3-ABA796697AE0}"/>
    <cellStyle name="Normal 5 2 3 3 3 2 2 4" xfId="42880" xr:uid="{09A8A5E5-FB5C-45F4-82B4-495B721DAEAC}"/>
    <cellStyle name="Normal 5 2 3 3 3 2 2 5" xfId="16686" xr:uid="{607103B8-8385-442E-8649-A0E9EA2BE210}"/>
    <cellStyle name="Normal 5 2 3 3 3 2 3" xfId="21769" xr:uid="{C23EB374-7C8E-4DC3-811B-BBE13A9CA982}"/>
    <cellStyle name="Normal 5 2 3 3 3 2 4" xfId="30216" xr:uid="{414C43C8-A34B-4973-9837-575AFDBCC6A4}"/>
    <cellStyle name="Normal 5 2 3 3 3 2 5" xfId="38663" xr:uid="{C3EDAC55-7D66-4A6F-AB43-6BE4FA38E527}"/>
    <cellStyle name="Normal 5 2 3 3 3 2 6" xfId="12469" xr:uid="{7F8F5695-005E-4D7E-8F3F-4B5B83B7D37B}"/>
    <cellStyle name="Normal 5 2 3 3 3 3" xfId="5215" xr:uid="{00000000-0005-0000-0000-00009C180000}"/>
    <cellStyle name="Normal 5 2 3 3 3 3 2" xfId="23841" xr:uid="{7B896D2A-359E-449F-9928-69DF82789041}"/>
    <cellStyle name="Normal 5 2 3 3 3 3 3" xfId="32288" xr:uid="{371CA80F-C9BB-43E5-BB12-1C6C2112A6F0}"/>
    <cellStyle name="Normal 5 2 3 3 3 3 4" xfId="40735" xr:uid="{0C1508B2-09AD-4887-8F69-1195558AF8E3}"/>
    <cellStyle name="Normal 5 2 3 3 3 3 5" xfId="14541" xr:uid="{69931D27-C9EC-47A5-9EB3-12A27207E638}"/>
    <cellStyle name="Normal 5 2 3 3 3 4" xfId="9304" xr:uid="{2C783A77-F32A-4E64-807E-062B95DB0310}"/>
    <cellStyle name="Normal 5 2 3 3 3 4 2" xfId="18620" xr:uid="{7C0A3994-E473-416B-B677-72904E40E356}"/>
    <cellStyle name="Normal 5 2 3 3 3 5" xfId="19624" xr:uid="{DCADAB57-2CF5-4840-BF1F-0B23206F1DE9}"/>
    <cellStyle name="Normal 5 2 3 3 3 6" xfId="28071" xr:uid="{C2136D26-41F2-43E9-BC78-B46ABAA16A69}"/>
    <cellStyle name="Normal 5 2 3 3 3 7" xfId="36518" xr:uid="{BB7F3169-44D1-4C4F-B393-BB85B3C7BB4E}"/>
    <cellStyle name="Normal 5 2 3 3 3 8" xfId="10324" xr:uid="{FA944969-0124-4233-8DC2-087096AC2060}"/>
    <cellStyle name="Normal 5 2 3 3 4" xfId="1321" xr:uid="{00000000-0005-0000-0000-00009D180000}"/>
    <cellStyle name="Normal 5 2 3 3 4 2" xfId="3551" xr:uid="{00000000-0005-0000-0000-00009E180000}"/>
    <cellStyle name="Normal 5 2 3 3 4 2 2" xfId="7773" xr:uid="{00000000-0005-0000-0000-00009F180000}"/>
    <cellStyle name="Normal 5 2 3 3 4 2 2 2" xfId="26399" xr:uid="{6FA345ED-0AF8-469C-96E9-948A3C92B318}"/>
    <cellStyle name="Normal 5 2 3 3 4 2 2 3" xfId="34846" xr:uid="{58817684-7B51-43DD-90AA-12748384803C}"/>
    <cellStyle name="Normal 5 2 3 3 4 2 2 4" xfId="43293" xr:uid="{BE714E62-6911-4731-9A3D-6276E26807E4}"/>
    <cellStyle name="Normal 5 2 3 3 4 2 2 5" xfId="17099" xr:uid="{40BC1089-1CB5-4FBC-800A-64519B2486C4}"/>
    <cellStyle name="Normal 5 2 3 3 4 2 3" xfId="22182" xr:uid="{9D5830FD-E3BC-4B57-9DD3-230B45B45C1E}"/>
    <cellStyle name="Normal 5 2 3 3 4 2 4" xfId="30629" xr:uid="{F8E898A2-34B6-45A6-89EB-FFF56FAE863D}"/>
    <cellStyle name="Normal 5 2 3 3 4 2 5" xfId="39076" xr:uid="{DADB5CDF-66FF-416E-AC48-48021939CD10}"/>
    <cellStyle name="Normal 5 2 3 3 4 2 6" xfId="12882" xr:uid="{1BDED881-01A3-4818-A2A6-F6CAC582C6B7}"/>
    <cellStyle name="Normal 5 2 3 3 4 3" xfId="5628" xr:uid="{00000000-0005-0000-0000-0000A0180000}"/>
    <cellStyle name="Normal 5 2 3 3 4 3 2" xfId="24254" xr:uid="{28456FCD-E91B-4632-A4F5-213E53722FAD}"/>
    <cellStyle name="Normal 5 2 3 3 4 3 3" xfId="32701" xr:uid="{11576A44-2A1F-4DBF-A1A2-F0E7C020C49F}"/>
    <cellStyle name="Normal 5 2 3 3 4 3 4" xfId="41148" xr:uid="{FC0666FF-05DB-4F48-AE37-C2A763CAA8C4}"/>
    <cellStyle name="Normal 5 2 3 3 4 3 5" xfId="14954" xr:uid="{73907B9E-1E6C-4074-9EB6-0816675B33E1}"/>
    <cellStyle name="Normal 5 2 3 3 4 4" xfId="20037" xr:uid="{AE618095-8373-433B-9136-898BCD9C237E}"/>
    <cellStyle name="Normal 5 2 3 3 4 5" xfId="28484" xr:uid="{B8013DFF-8051-435B-B369-707E3902F1CD}"/>
    <cellStyle name="Normal 5 2 3 3 4 6" xfId="36931" xr:uid="{7A5C1974-C99E-4E19-8EC4-41AE6E5CCB77}"/>
    <cellStyle name="Normal 5 2 3 3 4 7" xfId="10737" xr:uid="{0B6BB865-A7A2-4791-93D0-3B41DFCBCC8D}"/>
    <cellStyle name="Normal 5 2 3 3 5" xfId="1734" xr:uid="{00000000-0005-0000-0000-0000A1180000}"/>
    <cellStyle name="Normal 5 2 3 3 5 2" xfId="3964" xr:uid="{00000000-0005-0000-0000-0000A2180000}"/>
    <cellStyle name="Normal 5 2 3 3 5 2 2" xfId="8186" xr:uid="{00000000-0005-0000-0000-0000A3180000}"/>
    <cellStyle name="Normal 5 2 3 3 5 2 2 2" xfId="26812" xr:uid="{28704A3E-B39D-446E-B5D1-6DFF4BBFF8EE}"/>
    <cellStyle name="Normal 5 2 3 3 5 2 2 3" xfId="35259" xr:uid="{C3BC0ED5-FA43-4055-BC1A-18ABEDC9A759}"/>
    <cellStyle name="Normal 5 2 3 3 5 2 2 4" xfId="43706" xr:uid="{492B851F-03F7-47B7-8DCC-DEA299E480E5}"/>
    <cellStyle name="Normal 5 2 3 3 5 2 2 5" xfId="17512" xr:uid="{DC481CE5-A487-45C5-A6DB-5759456AF47D}"/>
    <cellStyle name="Normal 5 2 3 3 5 2 3" xfId="22595" xr:uid="{FE1A9B91-A19D-46EB-80AC-29827F1367A3}"/>
    <cellStyle name="Normal 5 2 3 3 5 2 4" xfId="31042" xr:uid="{DE5CA50A-7A03-4C26-A806-0F2883B1EC80}"/>
    <cellStyle name="Normal 5 2 3 3 5 2 5" xfId="39489" xr:uid="{29860ABE-B8EB-4DF0-AF42-B3198035CB67}"/>
    <cellStyle name="Normal 5 2 3 3 5 2 6" xfId="13295" xr:uid="{84601D86-23F8-4D4C-8D8C-F7811B81AD69}"/>
    <cellStyle name="Normal 5 2 3 3 5 3" xfId="6041" xr:uid="{00000000-0005-0000-0000-0000A4180000}"/>
    <cellStyle name="Normal 5 2 3 3 5 3 2" xfId="24667" xr:uid="{4930E5D3-E799-41F4-9C58-BA4BA3ECFF93}"/>
    <cellStyle name="Normal 5 2 3 3 5 3 3" xfId="33114" xr:uid="{09D66FF9-317C-456E-9D8D-2DFA25ABF41F}"/>
    <cellStyle name="Normal 5 2 3 3 5 3 4" xfId="41561" xr:uid="{2A0FF005-C5A2-4556-9FCE-15CC8B09A080}"/>
    <cellStyle name="Normal 5 2 3 3 5 3 5" xfId="15367" xr:uid="{F3B374BD-65BC-481F-86A5-69BB59E20953}"/>
    <cellStyle name="Normal 5 2 3 3 5 4" xfId="20450" xr:uid="{A11A5EA8-560A-4222-85D7-CAB9151814E7}"/>
    <cellStyle name="Normal 5 2 3 3 5 5" xfId="28897" xr:uid="{41432FD3-DF5A-4E32-BC29-2BD7394C9FC8}"/>
    <cellStyle name="Normal 5 2 3 3 5 6" xfId="37344" xr:uid="{4B2C07E5-A231-4D5C-92B7-CC8CB4FDA0B0}"/>
    <cellStyle name="Normal 5 2 3 3 5 7" xfId="11150" xr:uid="{B720D9A9-BB95-43FF-A245-FF6E6700803B}"/>
    <cellStyle name="Normal 5 2 3 3 6" xfId="2148" xr:uid="{00000000-0005-0000-0000-0000A5180000}"/>
    <cellStyle name="Normal 5 2 3 3 6 2" xfId="4377" xr:uid="{00000000-0005-0000-0000-0000A6180000}"/>
    <cellStyle name="Normal 5 2 3 3 6 2 2" xfId="8599" xr:uid="{00000000-0005-0000-0000-0000A7180000}"/>
    <cellStyle name="Normal 5 2 3 3 6 2 2 2" xfId="27225" xr:uid="{4290563C-0FF3-4366-BCF9-33877882D6BF}"/>
    <cellStyle name="Normal 5 2 3 3 6 2 2 3" xfId="35672" xr:uid="{867BFD92-D24D-4232-956B-A667980684A6}"/>
    <cellStyle name="Normal 5 2 3 3 6 2 2 4" xfId="44119" xr:uid="{8628E0A7-77A6-49EB-97A6-C9C1098F003C}"/>
    <cellStyle name="Normal 5 2 3 3 6 2 2 5" xfId="17925" xr:uid="{082A14F8-2008-45CD-A495-DEE747B72EA5}"/>
    <cellStyle name="Normal 5 2 3 3 6 2 3" xfId="23008" xr:uid="{DC78A16C-F480-4B93-BA79-F34FDB163B72}"/>
    <cellStyle name="Normal 5 2 3 3 6 2 4" xfId="31455" xr:uid="{C1AADB26-A5B4-40F1-8818-DDCEFC69CE17}"/>
    <cellStyle name="Normal 5 2 3 3 6 2 5" xfId="39902" xr:uid="{003199E2-4915-47DE-857D-3B9526E4A2FE}"/>
    <cellStyle name="Normal 5 2 3 3 6 2 6" xfId="13708" xr:uid="{49FB0D74-6869-4A46-A2B0-08898B327FC0}"/>
    <cellStyle name="Normal 5 2 3 3 6 3" xfId="6454" xr:uid="{00000000-0005-0000-0000-0000A8180000}"/>
    <cellStyle name="Normal 5 2 3 3 6 3 2" xfId="25080" xr:uid="{059AB6D9-3BE9-4C9F-B5E8-72015674C59C}"/>
    <cellStyle name="Normal 5 2 3 3 6 3 3" xfId="33527" xr:uid="{4CF4A3FE-3779-49AF-928C-F85E0C8BA27C}"/>
    <cellStyle name="Normal 5 2 3 3 6 3 4" xfId="41974" xr:uid="{5DEE72B8-CE40-4601-AE16-2522BA91788C}"/>
    <cellStyle name="Normal 5 2 3 3 6 3 5" xfId="15780" xr:uid="{A65366FA-3D67-466A-AD1B-4149E1A47335}"/>
    <cellStyle name="Normal 5 2 3 3 6 4" xfId="20863" xr:uid="{49EE1A6C-DEFA-4864-BD12-F02CEA57D16B}"/>
    <cellStyle name="Normal 5 2 3 3 6 5" xfId="29310" xr:uid="{62E514BA-C52D-49A9-93A6-ADF0136150BA}"/>
    <cellStyle name="Normal 5 2 3 3 6 6" xfId="37757" xr:uid="{82A51E5A-A11C-44C6-8884-933A411E17DD}"/>
    <cellStyle name="Normal 5 2 3 3 6 7" xfId="11563" xr:uid="{88638B94-A33B-4A06-A15B-020A1BD08537}"/>
    <cellStyle name="Normal 5 2 3 3 7" xfId="2584" xr:uid="{00000000-0005-0000-0000-0000A9180000}"/>
    <cellStyle name="Normal 5 2 3 3 7 2" xfId="6867" xr:uid="{00000000-0005-0000-0000-0000AA180000}"/>
    <cellStyle name="Normal 5 2 3 3 7 2 2" xfId="25493" xr:uid="{A072CD9A-4602-4BDA-BE25-6A672B3909DA}"/>
    <cellStyle name="Normal 5 2 3 3 7 2 3" xfId="33940" xr:uid="{B7A005C7-B49C-4207-AEF3-D3FD3E0E8B6C}"/>
    <cellStyle name="Normal 5 2 3 3 7 2 4" xfId="42387" xr:uid="{0FB750A2-E8C4-4CBC-A08D-449DC0075C7A}"/>
    <cellStyle name="Normal 5 2 3 3 7 2 5" xfId="16193" xr:uid="{DACA6248-0053-44C9-ABA6-6585163A282A}"/>
    <cellStyle name="Normal 5 2 3 3 7 3" xfId="21276" xr:uid="{F860E5B6-D909-4D75-97CE-2CA606D5D550}"/>
    <cellStyle name="Normal 5 2 3 3 7 4" xfId="29723" xr:uid="{E77DBF0F-7A96-4C2F-9614-17C7C045B7CB}"/>
    <cellStyle name="Normal 5 2 3 3 7 5" xfId="38170" xr:uid="{4F056EE7-9EF7-4D66-987F-C720D515C60A}"/>
    <cellStyle name="Normal 5 2 3 3 7 6" xfId="11976" xr:uid="{DB2E93DB-9631-4853-9E70-6FDA690CC1A2}"/>
    <cellStyle name="Normal 5 2 3 3 8" xfId="4802" xr:uid="{00000000-0005-0000-0000-0000AB180000}"/>
    <cellStyle name="Normal 5 2 3 3 8 2" xfId="23428" xr:uid="{9960C50E-1B1D-4269-97A7-8067780C4EAE}"/>
    <cellStyle name="Normal 5 2 3 3 8 3" xfId="31875" xr:uid="{729C3C0B-EA39-4AF0-8524-BC5CB9573EFB}"/>
    <cellStyle name="Normal 5 2 3 3 8 4" xfId="40322" xr:uid="{3AB60CE4-3917-46E5-A39F-86767EF32345}"/>
    <cellStyle name="Normal 5 2 3 3 8 5" xfId="14128" xr:uid="{105DDEC9-3BFD-4911-90E8-BFBC50A1A3AD}"/>
    <cellStyle name="Normal 5 2 3 3 9" xfId="8879" xr:uid="{F521005C-E3E0-4B64-9C0A-0C510FB9AAB2}"/>
    <cellStyle name="Normal 5 2 3 3 9 2" xfId="18203" xr:uid="{2B43D776-0616-43E1-8091-CBC2D1DFF74F}"/>
    <cellStyle name="Normal 5 2 3 4" xfId="431" xr:uid="{00000000-0005-0000-0000-0000AC180000}"/>
    <cellStyle name="Normal 5 2 3 4 10" xfId="27660" xr:uid="{A3B68F80-A21B-435B-A55E-FAA65A02D09E}"/>
    <cellStyle name="Normal 5 2 3 4 11" xfId="36107" xr:uid="{E6B68112-A882-4D86-8011-696617297811}"/>
    <cellStyle name="Normal 5 2 3 4 12" xfId="9913" xr:uid="{B5F31FF1-37C3-4222-88F2-E0FD90EC5D17}"/>
    <cellStyle name="Normal 5 2 3 4 2" xfId="905" xr:uid="{00000000-0005-0000-0000-0000AD180000}"/>
    <cellStyle name="Normal 5 2 3 4 2 2" xfId="3140" xr:uid="{00000000-0005-0000-0000-0000AE180000}"/>
    <cellStyle name="Normal 5 2 3 4 2 2 2" xfId="7362" xr:uid="{00000000-0005-0000-0000-0000AF180000}"/>
    <cellStyle name="Normal 5 2 3 4 2 2 2 2" xfId="25988" xr:uid="{FDEE19FF-2DB2-48EA-8415-F37E486750DF}"/>
    <cellStyle name="Normal 5 2 3 4 2 2 2 3" xfId="34435" xr:uid="{8557A42D-28DA-4423-97E7-951C74C73F29}"/>
    <cellStyle name="Normal 5 2 3 4 2 2 2 4" xfId="42882" xr:uid="{D3BDA68C-0CD7-4D23-8721-99FE8801FB6F}"/>
    <cellStyle name="Normal 5 2 3 4 2 2 2 5" xfId="16688" xr:uid="{172222D5-C2BD-493D-B258-06EA0FAEF7A2}"/>
    <cellStyle name="Normal 5 2 3 4 2 2 3" xfId="21771" xr:uid="{94ABA3EA-9372-49CF-86B3-4D460A71D253}"/>
    <cellStyle name="Normal 5 2 3 4 2 2 4" xfId="30218" xr:uid="{8EFEB1B4-CBB8-414E-9A21-E1521BD54CCC}"/>
    <cellStyle name="Normal 5 2 3 4 2 2 5" xfId="38665" xr:uid="{846E9803-5913-4C12-947B-C71F54DFBA21}"/>
    <cellStyle name="Normal 5 2 3 4 2 2 6" xfId="12471" xr:uid="{DEECCAE5-5C93-43AA-BBCA-3CFB408AC398}"/>
    <cellStyle name="Normal 5 2 3 4 2 3" xfId="5217" xr:uid="{00000000-0005-0000-0000-0000B0180000}"/>
    <cellStyle name="Normal 5 2 3 4 2 3 2" xfId="23843" xr:uid="{CAB6DDE4-BE7B-42F3-877B-C9569D65DDE3}"/>
    <cellStyle name="Normal 5 2 3 4 2 3 3" xfId="32290" xr:uid="{7B54995F-4579-4CDA-A2A1-29AD25B009A2}"/>
    <cellStyle name="Normal 5 2 3 4 2 3 4" xfId="40737" xr:uid="{16B20E58-3E7A-4CE9-96EB-1A505724637B}"/>
    <cellStyle name="Normal 5 2 3 4 2 3 5" xfId="14543" xr:uid="{D962EFD6-7DCA-4371-993A-ED7ACE961700}"/>
    <cellStyle name="Normal 5 2 3 4 2 4" xfId="9408" xr:uid="{3B6F9C6F-3D7C-45F8-99FE-451C0F8CED36}"/>
    <cellStyle name="Normal 5 2 3 4 2 4 2" xfId="18724" xr:uid="{A94F66CF-4559-41EA-8BDD-02AE508FDB2F}"/>
    <cellStyle name="Normal 5 2 3 4 2 5" xfId="19626" xr:uid="{369029F1-BBA6-451B-86D1-B039BE5D28DF}"/>
    <cellStyle name="Normal 5 2 3 4 2 6" xfId="28073" xr:uid="{3AABF7DC-8A83-413E-8D6F-E88260355CFC}"/>
    <cellStyle name="Normal 5 2 3 4 2 7" xfId="36520" xr:uid="{14F03EF2-8C12-4BCB-A8A2-972CDEF6F322}"/>
    <cellStyle name="Normal 5 2 3 4 2 8" xfId="10326" xr:uid="{CF41EF22-4FBD-4AC6-837C-B087EB2C111B}"/>
    <cellStyle name="Normal 5 2 3 4 3" xfId="1323" xr:uid="{00000000-0005-0000-0000-0000B1180000}"/>
    <cellStyle name="Normal 5 2 3 4 3 2" xfId="3553" xr:uid="{00000000-0005-0000-0000-0000B2180000}"/>
    <cellStyle name="Normal 5 2 3 4 3 2 2" xfId="7775" xr:uid="{00000000-0005-0000-0000-0000B3180000}"/>
    <cellStyle name="Normal 5 2 3 4 3 2 2 2" xfId="26401" xr:uid="{A38E91D7-6A02-434F-8DE0-AB5B9EADBF06}"/>
    <cellStyle name="Normal 5 2 3 4 3 2 2 3" xfId="34848" xr:uid="{7E6C6D7E-F31C-42B5-B225-DE444EC145DF}"/>
    <cellStyle name="Normal 5 2 3 4 3 2 2 4" xfId="43295" xr:uid="{698EA9C9-057E-47E5-922E-5C1290D904FF}"/>
    <cellStyle name="Normal 5 2 3 4 3 2 2 5" xfId="17101" xr:uid="{37AFCF61-8EC7-42A4-B7B7-AD7B2082DFB4}"/>
    <cellStyle name="Normal 5 2 3 4 3 2 3" xfId="22184" xr:uid="{FB1670DC-9840-477F-81E8-AE0B531166EA}"/>
    <cellStyle name="Normal 5 2 3 4 3 2 4" xfId="30631" xr:uid="{7261CA35-9237-4F02-A9FB-6A7B4DCCFEBB}"/>
    <cellStyle name="Normal 5 2 3 4 3 2 5" xfId="39078" xr:uid="{55E5B420-66BF-4004-A751-6F5DE75BA6CB}"/>
    <cellStyle name="Normal 5 2 3 4 3 2 6" xfId="12884" xr:uid="{E4C364CC-2F74-4793-84F5-7EF96BCA2EF8}"/>
    <cellStyle name="Normal 5 2 3 4 3 3" xfId="5630" xr:uid="{00000000-0005-0000-0000-0000B4180000}"/>
    <cellStyle name="Normal 5 2 3 4 3 3 2" xfId="24256" xr:uid="{972F0F76-61E1-40A2-AC27-DA63F4023FF7}"/>
    <cellStyle name="Normal 5 2 3 4 3 3 3" xfId="32703" xr:uid="{4B75B57B-F957-4AFA-9A85-E19433FDAA5A}"/>
    <cellStyle name="Normal 5 2 3 4 3 3 4" xfId="41150" xr:uid="{058659A8-8843-4E2A-A55B-E9D6EBBE70C6}"/>
    <cellStyle name="Normal 5 2 3 4 3 3 5" xfId="14956" xr:uid="{A679F646-49C2-40C3-9231-67445A253398}"/>
    <cellStyle name="Normal 5 2 3 4 3 4" xfId="20039" xr:uid="{14B41CC4-7CCB-4EF3-A284-F100F13FE47D}"/>
    <cellStyle name="Normal 5 2 3 4 3 5" xfId="28486" xr:uid="{91D562A7-4CF2-48EB-AF72-A905712ADA7C}"/>
    <cellStyle name="Normal 5 2 3 4 3 6" xfId="36933" xr:uid="{083300C4-A0A2-4A17-A033-A1FC660975A5}"/>
    <cellStyle name="Normal 5 2 3 4 3 7" xfId="10739" xr:uid="{9B473A87-3192-4D82-8731-96BBB82BD198}"/>
    <cellStyle name="Normal 5 2 3 4 4" xfId="1736" xr:uid="{00000000-0005-0000-0000-0000B5180000}"/>
    <cellStyle name="Normal 5 2 3 4 4 2" xfId="3966" xr:uid="{00000000-0005-0000-0000-0000B6180000}"/>
    <cellStyle name="Normal 5 2 3 4 4 2 2" xfId="8188" xr:uid="{00000000-0005-0000-0000-0000B7180000}"/>
    <cellStyle name="Normal 5 2 3 4 4 2 2 2" xfId="26814" xr:uid="{C1FEE20B-BED0-4B9D-B762-2CBBA94B3B21}"/>
    <cellStyle name="Normal 5 2 3 4 4 2 2 3" xfId="35261" xr:uid="{4113D866-3D25-42DD-8912-F59DC4F7A4D9}"/>
    <cellStyle name="Normal 5 2 3 4 4 2 2 4" xfId="43708" xr:uid="{F47E19AF-BF14-4DE4-9098-B556B049C147}"/>
    <cellStyle name="Normal 5 2 3 4 4 2 2 5" xfId="17514" xr:uid="{5207011F-3A5B-4319-B104-A10137DC29B7}"/>
    <cellStyle name="Normal 5 2 3 4 4 2 3" xfId="22597" xr:uid="{8C51C72D-F74D-4136-B85D-244CCB6A779D}"/>
    <cellStyle name="Normal 5 2 3 4 4 2 4" xfId="31044" xr:uid="{E46955CC-290A-40B4-8056-CEE5AD4E821C}"/>
    <cellStyle name="Normal 5 2 3 4 4 2 5" xfId="39491" xr:uid="{C20DF089-F05C-4801-8A28-DB4AEFF1B52B}"/>
    <cellStyle name="Normal 5 2 3 4 4 2 6" xfId="13297" xr:uid="{2531EDA4-66CE-48C2-91F4-10166C1E8877}"/>
    <cellStyle name="Normal 5 2 3 4 4 3" xfId="6043" xr:uid="{00000000-0005-0000-0000-0000B8180000}"/>
    <cellStyle name="Normal 5 2 3 4 4 3 2" xfId="24669" xr:uid="{25D78BFD-150D-4F11-A3FB-D2C0329C00D6}"/>
    <cellStyle name="Normal 5 2 3 4 4 3 3" xfId="33116" xr:uid="{AED41270-A8C7-446A-8597-D227BB543572}"/>
    <cellStyle name="Normal 5 2 3 4 4 3 4" xfId="41563" xr:uid="{4CA76627-92BB-4FCC-B899-AF53DD37A250}"/>
    <cellStyle name="Normal 5 2 3 4 4 3 5" xfId="15369" xr:uid="{4EEF1766-9F1C-4FF2-AFBD-4586CE3C73F3}"/>
    <cellStyle name="Normal 5 2 3 4 4 4" xfId="20452" xr:uid="{7B0A4182-2327-43B5-B871-8E44B90D1951}"/>
    <cellStyle name="Normal 5 2 3 4 4 5" xfId="28899" xr:uid="{293A6052-D0BA-4BCB-AA30-52BFE23D3944}"/>
    <cellStyle name="Normal 5 2 3 4 4 6" xfId="37346" xr:uid="{05B70F8C-17D9-43DB-8D2C-B7A110FDEB45}"/>
    <cellStyle name="Normal 5 2 3 4 4 7" xfId="11152" xr:uid="{257A9F99-7155-411C-8FB4-B60E649099C5}"/>
    <cellStyle name="Normal 5 2 3 4 5" xfId="2150" xr:uid="{00000000-0005-0000-0000-0000B9180000}"/>
    <cellStyle name="Normal 5 2 3 4 5 2" xfId="4379" xr:uid="{00000000-0005-0000-0000-0000BA180000}"/>
    <cellStyle name="Normal 5 2 3 4 5 2 2" xfId="8601" xr:uid="{00000000-0005-0000-0000-0000BB180000}"/>
    <cellStyle name="Normal 5 2 3 4 5 2 2 2" xfId="27227" xr:uid="{57C338F5-9B86-4BCB-A246-CF434415100D}"/>
    <cellStyle name="Normal 5 2 3 4 5 2 2 3" xfId="35674" xr:uid="{30836E67-6A97-4B89-8F0B-D548EC0C4939}"/>
    <cellStyle name="Normal 5 2 3 4 5 2 2 4" xfId="44121" xr:uid="{FD9565D0-0F61-4253-BD88-286A82AB5F6D}"/>
    <cellStyle name="Normal 5 2 3 4 5 2 2 5" xfId="17927" xr:uid="{6C988C62-1750-40C4-BE0E-28638F142763}"/>
    <cellStyle name="Normal 5 2 3 4 5 2 3" xfId="23010" xr:uid="{482B9DE8-D2E7-413C-A9A9-F98997E770A7}"/>
    <cellStyle name="Normal 5 2 3 4 5 2 4" xfId="31457" xr:uid="{8407A28D-6B4A-4B69-BDF5-3DC465EEF856}"/>
    <cellStyle name="Normal 5 2 3 4 5 2 5" xfId="39904" xr:uid="{53973A62-DAA8-47FA-8C32-2FCC65419D93}"/>
    <cellStyle name="Normal 5 2 3 4 5 2 6" xfId="13710" xr:uid="{269F6CA6-6517-4363-B835-F0E4DE540DE8}"/>
    <cellStyle name="Normal 5 2 3 4 5 3" xfId="6456" xr:uid="{00000000-0005-0000-0000-0000BC180000}"/>
    <cellStyle name="Normal 5 2 3 4 5 3 2" xfId="25082" xr:uid="{162A6DC5-7AA7-4AB4-975E-1E32935B1A48}"/>
    <cellStyle name="Normal 5 2 3 4 5 3 3" xfId="33529" xr:uid="{CEFEFA41-C33C-4208-B1CA-C8BDD90A1325}"/>
    <cellStyle name="Normal 5 2 3 4 5 3 4" xfId="41976" xr:uid="{3598F25F-3FE8-4597-B30D-0D8444331B85}"/>
    <cellStyle name="Normal 5 2 3 4 5 3 5" xfId="15782" xr:uid="{2AC709B1-96E3-4C87-8122-CF4B4A4842F0}"/>
    <cellStyle name="Normal 5 2 3 4 5 4" xfId="20865" xr:uid="{D718C442-C585-4762-A800-74A840A79771}"/>
    <cellStyle name="Normal 5 2 3 4 5 5" xfId="29312" xr:uid="{1EBA27A4-DBA7-45C6-BE57-C89B8CF3C286}"/>
    <cellStyle name="Normal 5 2 3 4 5 6" xfId="37759" xr:uid="{0F7B0459-7DD1-4665-BE79-DCBB8084A02A}"/>
    <cellStyle name="Normal 5 2 3 4 5 7" xfId="11565" xr:uid="{87766E36-437B-4C0A-8E78-97F33593C285}"/>
    <cellStyle name="Normal 5 2 3 4 6" xfId="2586" xr:uid="{00000000-0005-0000-0000-0000BD180000}"/>
    <cellStyle name="Normal 5 2 3 4 6 2" xfId="6869" xr:uid="{00000000-0005-0000-0000-0000BE180000}"/>
    <cellStyle name="Normal 5 2 3 4 6 2 2" xfId="25495" xr:uid="{19D65EEF-D387-4C8E-B8DB-A5A9A8E92117}"/>
    <cellStyle name="Normal 5 2 3 4 6 2 3" xfId="33942" xr:uid="{775A97DB-2E83-47A3-A0C2-CBEC1A60F2BA}"/>
    <cellStyle name="Normal 5 2 3 4 6 2 4" xfId="42389" xr:uid="{78808289-0028-4467-B822-3AED683513F1}"/>
    <cellStyle name="Normal 5 2 3 4 6 2 5" xfId="16195" xr:uid="{2E7E110C-87B4-41F3-A558-47D716DB50F1}"/>
    <cellStyle name="Normal 5 2 3 4 6 3" xfId="21278" xr:uid="{165CEEA8-8A0A-4850-960D-80CBB57AA945}"/>
    <cellStyle name="Normal 5 2 3 4 6 4" xfId="29725" xr:uid="{56173412-51E0-4B04-8051-E43244CD16F6}"/>
    <cellStyle name="Normal 5 2 3 4 6 5" xfId="38172" xr:uid="{B9974BBA-CE9D-4DE3-9326-A6049433975B}"/>
    <cellStyle name="Normal 5 2 3 4 6 6" xfId="11978" xr:uid="{E02B08D1-FC6F-4CD6-A3A8-FB9355B60EAE}"/>
    <cellStyle name="Normal 5 2 3 4 7" xfId="4804" xr:uid="{00000000-0005-0000-0000-0000BF180000}"/>
    <cellStyle name="Normal 5 2 3 4 7 2" xfId="23430" xr:uid="{18CA8407-C81F-47BF-A1EF-845C9066A03E}"/>
    <cellStyle name="Normal 5 2 3 4 7 3" xfId="31877" xr:uid="{4AC23FDF-8499-409C-883E-282EF7B13DA4}"/>
    <cellStyle name="Normal 5 2 3 4 7 4" xfId="40324" xr:uid="{53ACC976-B218-4E9F-84A9-2C1D4840F818}"/>
    <cellStyle name="Normal 5 2 3 4 7 5" xfId="14130" xr:uid="{D935A98A-E149-4A36-A4BE-1A77B762EF46}"/>
    <cellStyle name="Normal 5 2 3 4 8" xfId="8983" xr:uid="{07388FCC-03DE-4CE8-89CB-9C92F8174E24}"/>
    <cellStyle name="Normal 5 2 3 4 8 2" xfId="18307" xr:uid="{F0CB5FD7-85AB-4762-ADC3-0D00064BD91B}"/>
    <cellStyle name="Normal 5 2 3 4 9" xfId="19213" xr:uid="{D567EBAE-DD61-4D52-8A2B-EAE6A2A68ED0}"/>
    <cellStyle name="Normal 5 2 3 5" xfId="898" xr:uid="{00000000-0005-0000-0000-0000C0180000}"/>
    <cellStyle name="Normal 5 2 3 5 2" xfId="3133" xr:uid="{00000000-0005-0000-0000-0000C1180000}"/>
    <cellStyle name="Normal 5 2 3 5 2 2" xfId="7355" xr:uid="{00000000-0005-0000-0000-0000C2180000}"/>
    <cellStyle name="Normal 5 2 3 5 2 2 2" xfId="25981" xr:uid="{B127DF32-CAE3-42FA-84AE-E6D6C2C50AF3}"/>
    <cellStyle name="Normal 5 2 3 5 2 2 3" xfId="34428" xr:uid="{0B4F39A9-EAEB-4BA6-8676-1039C4479D81}"/>
    <cellStyle name="Normal 5 2 3 5 2 2 4" xfId="42875" xr:uid="{035513BE-37E8-4123-84E4-8932CE1E12F7}"/>
    <cellStyle name="Normal 5 2 3 5 2 2 5" xfId="16681" xr:uid="{96A2E651-19DE-419A-AA1E-06207DCF01D6}"/>
    <cellStyle name="Normal 5 2 3 5 2 3" xfId="21764" xr:uid="{823C16A5-208D-42CF-A363-8B62B188D670}"/>
    <cellStyle name="Normal 5 2 3 5 2 4" xfId="30211" xr:uid="{83315A44-8F88-4CD1-9BCC-27548EB2A515}"/>
    <cellStyle name="Normal 5 2 3 5 2 5" xfId="38658" xr:uid="{17AC1CC7-B874-4CE4-BEF9-5173683E0787}"/>
    <cellStyle name="Normal 5 2 3 5 2 6" xfId="12464" xr:uid="{E61840A2-1CD4-44E1-82B6-A255480E23D0}"/>
    <cellStyle name="Normal 5 2 3 5 3" xfId="5210" xr:uid="{00000000-0005-0000-0000-0000C3180000}"/>
    <cellStyle name="Normal 5 2 3 5 3 2" xfId="23836" xr:uid="{2542AE76-70FB-4BF5-A499-5857634AB39B}"/>
    <cellStyle name="Normal 5 2 3 5 3 3" xfId="32283" xr:uid="{8A6809CC-7FAC-47A1-81AF-BC1859EED6C7}"/>
    <cellStyle name="Normal 5 2 3 5 3 4" xfId="40730" xr:uid="{2179F7E1-FDAE-4E55-BEAF-FD28BE4DF5DE}"/>
    <cellStyle name="Normal 5 2 3 5 3 5" xfId="14536" xr:uid="{6011D2C9-EFDD-464E-9F22-1127BA6AAEF4}"/>
    <cellStyle name="Normal 5 2 3 5 4" xfId="9200" xr:uid="{13DE827A-4007-427A-9869-ADBBE6B70993}"/>
    <cellStyle name="Normal 5 2 3 5 4 2" xfId="18517" xr:uid="{1FCFD60E-9B0E-4645-8DE8-8B8B43D8C79B}"/>
    <cellStyle name="Normal 5 2 3 5 5" xfId="19619" xr:uid="{EFA4E296-21B1-4AB6-A61B-EC52C21803F2}"/>
    <cellStyle name="Normal 5 2 3 5 6" xfId="28066" xr:uid="{2D230B6C-52B0-4F8E-84F1-FDCE885F14E7}"/>
    <cellStyle name="Normal 5 2 3 5 7" xfId="36513" xr:uid="{DA7D8C03-7BC8-4C9A-9301-FC674A3C79E5}"/>
    <cellStyle name="Normal 5 2 3 5 8" xfId="10319" xr:uid="{57AA661D-52B4-461A-828D-7BA92AA074BF}"/>
    <cellStyle name="Normal 5 2 3 6" xfId="1316" xr:uid="{00000000-0005-0000-0000-0000C4180000}"/>
    <cellStyle name="Normal 5 2 3 6 2" xfId="3546" xr:uid="{00000000-0005-0000-0000-0000C5180000}"/>
    <cellStyle name="Normal 5 2 3 6 2 2" xfId="7768" xr:uid="{00000000-0005-0000-0000-0000C6180000}"/>
    <cellStyle name="Normal 5 2 3 6 2 2 2" xfId="26394" xr:uid="{9A8234C8-1BF8-45B9-9C56-30C9F4747239}"/>
    <cellStyle name="Normal 5 2 3 6 2 2 3" xfId="34841" xr:uid="{4457BEF9-F874-4E97-9CEE-446758AE3B91}"/>
    <cellStyle name="Normal 5 2 3 6 2 2 4" xfId="43288" xr:uid="{EA24F7CD-1CDE-4244-BA88-2DC9839BD303}"/>
    <cellStyle name="Normal 5 2 3 6 2 2 5" xfId="17094" xr:uid="{C7AC7059-4797-42AA-9B39-A8776830E3D3}"/>
    <cellStyle name="Normal 5 2 3 6 2 3" xfId="22177" xr:uid="{A7599383-B3B1-4BE7-9487-333A64BA8753}"/>
    <cellStyle name="Normal 5 2 3 6 2 4" xfId="30624" xr:uid="{280A2222-D48F-4E05-B318-4E0AB181A03A}"/>
    <cellStyle name="Normal 5 2 3 6 2 5" xfId="39071" xr:uid="{DCD6F54B-C4FF-44C1-A5BB-6084B2B82DF6}"/>
    <cellStyle name="Normal 5 2 3 6 2 6" xfId="12877" xr:uid="{C1D2080A-B533-42E0-B0B8-3799D76F1018}"/>
    <cellStyle name="Normal 5 2 3 6 3" xfId="5623" xr:uid="{00000000-0005-0000-0000-0000C7180000}"/>
    <cellStyle name="Normal 5 2 3 6 3 2" xfId="24249" xr:uid="{1C5D08D8-9832-41C7-BDDC-06739C95E857}"/>
    <cellStyle name="Normal 5 2 3 6 3 3" xfId="32696" xr:uid="{FD30DB46-9AEC-43CB-8D24-0680D82641C3}"/>
    <cellStyle name="Normal 5 2 3 6 3 4" xfId="41143" xr:uid="{3D2789A5-A47D-4713-A4C6-E898A6B9BAF6}"/>
    <cellStyle name="Normal 5 2 3 6 3 5" xfId="14949" xr:uid="{3060B24A-9C74-45C0-A270-4316D5BEE46A}"/>
    <cellStyle name="Normal 5 2 3 6 4" xfId="20032" xr:uid="{2E2C0C41-5700-4821-A9E6-1BE7F670F992}"/>
    <cellStyle name="Normal 5 2 3 6 5" xfId="28479" xr:uid="{CD4ADE6C-0376-4106-930D-FD0045F19FA4}"/>
    <cellStyle name="Normal 5 2 3 6 6" xfId="36926" xr:uid="{664F1698-5188-4893-BCD9-74E3719C2198}"/>
    <cellStyle name="Normal 5 2 3 6 7" xfId="10732" xr:uid="{8B607EE6-9F84-4A57-8F1B-E579C3053C89}"/>
    <cellStyle name="Normal 5 2 3 7" xfId="1729" xr:uid="{00000000-0005-0000-0000-0000C8180000}"/>
    <cellStyle name="Normal 5 2 3 7 2" xfId="3959" xr:uid="{00000000-0005-0000-0000-0000C9180000}"/>
    <cellStyle name="Normal 5 2 3 7 2 2" xfId="8181" xr:uid="{00000000-0005-0000-0000-0000CA180000}"/>
    <cellStyle name="Normal 5 2 3 7 2 2 2" xfId="26807" xr:uid="{2B88C664-B96A-4D0C-A8CC-BE66617A41CD}"/>
    <cellStyle name="Normal 5 2 3 7 2 2 3" xfId="35254" xr:uid="{F74D16D2-5313-47BD-9EDA-AE53BDB30887}"/>
    <cellStyle name="Normal 5 2 3 7 2 2 4" xfId="43701" xr:uid="{378F91BB-2ECC-414A-A8C5-7F5D18AD5FCD}"/>
    <cellStyle name="Normal 5 2 3 7 2 2 5" xfId="17507" xr:uid="{FF9FAA59-706B-48D9-894E-7B8628885FAF}"/>
    <cellStyle name="Normal 5 2 3 7 2 3" xfId="22590" xr:uid="{1DD978B7-0F00-43E9-9C44-E2759CCA882B}"/>
    <cellStyle name="Normal 5 2 3 7 2 4" xfId="31037" xr:uid="{E2F1CAA5-1041-45F1-9A3B-2DB0E6C130A6}"/>
    <cellStyle name="Normal 5 2 3 7 2 5" xfId="39484" xr:uid="{BAE7C8B4-42DA-4606-B285-710E960AB333}"/>
    <cellStyle name="Normal 5 2 3 7 2 6" xfId="13290" xr:uid="{2421D8AA-0851-4048-883D-38384CF7FA88}"/>
    <cellStyle name="Normal 5 2 3 7 3" xfId="6036" xr:uid="{00000000-0005-0000-0000-0000CB180000}"/>
    <cellStyle name="Normal 5 2 3 7 3 2" xfId="24662" xr:uid="{616337B8-51E9-4CBF-853A-D0C0A13B9BDF}"/>
    <cellStyle name="Normal 5 2 3 7 3 3" xfId="33109" xr:uid="{8BB1DE21-20A7-4A9E-9F95-F4BAF9568E03}"/>
    <cellStyle name="Normal 5 2 3 7 3 4" xfId="41556" xr:uid="{A70B0017-8818-4862-813C-ABF1552CA96D}"/>
    <cellStyle name="Normal 5 2 3 7 3 5" xfId="15362" xr:uid="{79127D8E-0291-462C-8AC4-D22FECEA56BE}"/>
    <cellStyle name="Normal 5 2 3 7 4" xfId="20445" xr:uid="{3A2EDB7F-F4E2-4BFF-BAFA-9CCE0A5D2613}"/>
    <cellStyle name="Normal 5 2 3 7 5" xfId="28892" xr:uid="{DF06CB1D-6E1B-46EE-B0A5-2668CA317A3B}"/>
    <cellStyle name="Normal 5 2 3 7 6" xfId="37339" xr:uid="{AB5C469C-FA57-4C50-9F8F-7BB3432EAF9E}"/>
    <cellStyle name="Normal 5 2 3 7 7" xfId="11145" xr:uid="{32885FFC-31F0-4266-998E-618DFE5C7874}"/>
    <cellStyle name="Normal 5 2 3 8" xfId="2143" xr:uid="{00000000-0005-0000-0000-0000CC180000}"/>
    <cellStyle name="Normal 5 2 3 8 2" xfId="4372" xr:uid="{00000000-0005-0000-0000-0000CD180000}"/>
    <cellStyle name="Normal 5 2 3 8 2 2" xfId="8594" xr:uid="{00000000-0005-0000-0000-0000CE180000}"/>
    <cellStyle name="Normal 5 2 3 8 2 2 2" xfId="27220" xr:uid="{75466A01-AB41-4454-B85C-687F0422F357}"/>
    <cellStyle name="Normal 5 2 3 8 2 2 3" xfId="35667" xr:uid="{ED9C6E9D-C233-4062-8279-DC28B0844BD9}"/>
    <cellStyle name="Normal 5 2 3 8 2 2 4" xfId="44114" xr:uid="{80E7A6B7-00C1-460B-ADE5-841069F70E11}"/>
    <cellStyle name="Normal 5 2 3 8 2 2 5" xfId="17920" xr:uid="{0A06B363-CE27-4C07-9B83-7C780F6384DE}"/>
    <cellStyle name="Normal 5 2 3 8 2 3" xfId="23003" xr:uid="{A1CB2CC9-70BB-4700-8BB6-055D91404AFD}"/>
    <cellStyle name="Normal 5 2 3 8 2 4" xfId="31450" xr:uid="{62430390-EE89-4224-992D-234352464A0E}"/>
    <cellStyle name="Normal 5 2 3 8 2 5" xfId="39897" xr:uid="{5C48E734-5226-41BE-9D56-7078E48A954B}"/>
    <cellStyle name="Normal 5 2 3 8 2 6" xfId="13703" xr:uid="{D8BF3F77-1618-4EA5-9E2D-7E1A398E6707}"/>
    <cellStyle name="Normal 5 2 3 8 3" xfId="6449" xr:uid="{00000000-0005-0000-0000-0000CF180000}"/>
    <cellStyle name="Normal 5 2 3 8 3 2" xfId="25075" xr:uid="{E4CFD024-2BAD-4C30-A741-0888F8665358}"/>
    <cellStyle name="Normal 5 2 3 8 3 3" xfId="33522" xr:uid="{FAD80349-5FDF-422E-B98E-2CD2DB7AB959}"/>
    <cellStyle name="Normal 5 2 3 8 3 4" xfId="41969" xr:uid="{95BB1F48-5FCE-448A-86DF-164D7DA0A0FA}"/>
    <cellStyle name="Normal 5 2 3 8 3 5" xfId="15775" xr:uid="{F38E2121-8DDC-4C3D-A494-B23AEDD58A86}"/>
    <cellStyle name="Normal 5 2 3 8 4" xfId="20858" xr:uid="{842AACCB-15B0-4EAD-AEE3-EF9C8336BD1E}"/>
    <cellStyle name="Normal 5 2 3 8 5" xfId="29305" xr:uid="{7C8443FD-BD04-4E2F-BDBA-578163D397FE}"/>
    <cellStyle name="Normal 5 2 3 8 6" xfId="37752" xr:uid="{4B72BB97-6D06-4AEA-BBCC-63249E654FBE}"/>
    <cellStyle name="Normal 5 2 3 8 7" xfId="11558" xr:uid="{B956FDB4-0424-49E5-B37C-BEA7776D32A2}"/>
    <cellStyle name="Normal 5 2 3 9" xfId="2579" xr:uid="{00000000-0005-0000-0000-0000D0180000}"/>
    <cellStyle name="Normal 5 2 3 9 2" xfId="6862" xr:uid="{00000000-0005-0000-0000-0000D1180000}"/>
    <cellStyle name="Normal 5 2 3 9 2 2" xfId="25488" xr:uid="{57BC338C-CBA4-4A0C-B572-71D017DC162C}"/>
    <cellStyle name="Normal 5 2 3 9 2 3" xfId="33935" xr:uid="{20D0DE78-8B16-46A9-AF65-45768F9667A7}"/>
    <cellStyle name="Normal 5 2 3 9 2 4" xfId="42382" xr:uid="{97039754-8D97-4C04-BF3C-50FA7590A492}"/>
    <cellStyle name="Normal 5 2 3 9 2 5" xfId="16188" xr:uid="{AD7B91CF-A8A9-45F5-BBDE-34E9E58C1BCE}"/>
    <cellStyle name="Normal 5 2 3 9 3" xfId="21271" xr:uid="{8F8F70B1-1C78-48B7-98E6-2926A5151F63}"/>
    <cellStyle name="Normal 5 2 3 9 4" xfId="29718" xr:uid="{4BFD69DF-2D5B-42A2-9F58-9FA84BE69684}"/>
    <cellStyle name="Normal 5 2 3 9 5" xfId="38165" xr:uid="{B67F3A26-527A-415F-9AFB-EE666439AD4E}"/>
    <cellStyle name="Normal 5 2 3 9 6" xfId="11971" xr:uid="{B08C4B35-289A-4811-9EFA-E161B9C1986F}"/>
    <cellStyle name="Normal 5 2 4" xfId="432" xr:uid="{00000000-0005-0000-0000-0000D2180000}"/>
    <cellStyle name="Normal 5 2 4 10" xfId="8827" xr:uid="{1EC4F605-F0BA-487E-A3C0-2CBAE7C22D8A}"/>
    <cellStyle name="Normal 5 2 4 10 2" xfId="18151" xr:uid="{125D4710-EE2C-4E39-A0AF-9470062326B1}"/>
    <cellStyle name="Normal 5 2 4 11" xfId="19214" xr:uid="{77F7C792-9C44-4B85-9119-27DC7615D472}"/>
    <cellStyle name="Normal 5 2 4 12" xfId="27661" xr:uid="{4446D287-4D01-4B12-BD9F-2AA930188A6D}"/>
    <cellStyle name="Normal 5 2 4 13" xfId="36108" xr:uid="{C91774B6-4212-48C7-9615-8F3FB82D2235}"/>
    <cellStyle name="Normal 5 2 4 14" xfId="9914" xr:uid="{85774559-A60E-4BC1-935E-843DEA7F6A0D}"/>
    <cellStyle name="Normal 5 2 4 2" xfId="433" xr:uid="{00000000-0005-0000-0000-0000D3180000}"/>
    <cellStyle name="Normal 5 2 4 2 10" xfId="19215" xr:uid="{DD002B40-53BE-4DCB-AD6D-3ED04C6DC8AF}"/>
    <cellStyle name="Normal 5 2 4 2 11" xfId="27662" xr:uid="{9EB194C5-23D6-4816-B10D-F7A0A5BCD094}"/>
    <cellStyle name="Normal 5 2 4 2 12" xfId="36109" xr:uid="{5C978AA3-D851-48E4-B272-33277E38721F}"/>
    <cellStyle name="Normal 5 2 4 2 13" xfId="9915" xr:uid="{3DE08642-A2DB-4522-ADBA-A2A9C5F39937}"/>
    <cellStyle name="Normal 5 2 4 2 2" xfId="434" xr:uid="{00000000-0005-0000-0000-0000D4180000}"/>
    <cellStyle name="Normal 5 2 4 2 2 10" xfId="27663" xr:uid="{24C1CE8F-987B-467E-88D9-9B7D7A952EFA}"/>
    <cellStyle name="Normal 5 2 4 2 2 11" xfId="36110" xr:uid="{8FD1FAB7-62D0-4C73-9603-898A81F2567C}"/>
    <cellStyle name="Normal 5 2 4 2 2 12" xfId="9916" xr:uid="{6B28D0F9-144D-4D0A-A15B-2511D3B0C45E}"/>
    <cellStyle name="Normal 5 2 4 2 2 2" xfId="908" xr:uid="{00000000-0005-0000-0000-0000D5180000}"/>
    <cellStyle name="Normal 5 2 4 2 2 2 2" xfId="3143" xr:uid="{00000000-0005-0000-0000-0000D6180000}"/>
    <cellStyle name="Normal 5 2 4 2 2 2 2 2" xfId="7365" xr:uid="{00000000-0005-0000-0000-0000D7180000}"/>
    <cellStyle name="Normal 5 2 4 2 2 2 2 2 2" xfId="25991" xr:uid="{1A890C4D-96C5-4188-B9E0-ADE55782DA01}"/>
    <cellStyle name="Normal 5 2 4 2 2 2 2 2 3" xfId="34438" xr:uid="{D41FC7CC-0B48-4D51-851C-6536D1496F1B}"/>
    <cellStyle name="Normal 5 2 4 2 2 2 2 2 4" xfId="42885" xr:uid="{9478B73B-45E4-45E9-B26B-37C0FA3EF7E8}"/>
    <cellStyle name="Normal 5 2 4 2 2 2 2 2 5" xfId="16691" xr:uid="{E0639DCA-1B96-4E8B-8196-CC74EE4563BD}"/>
    <cellStyle name="Normal 5 2 4 2 2 2 2 3" xfId="21774" xr:uid="{2C6BB67F-E445-426B-AF6A-9016A48D6F0B}"/>
    <cellStyle name="Normal 5 2 4 2 2 2 2 4" xfId="30221" xr:uid="{D3E17986-FFE1-4A04-8BA0-47F11A5C599A}"/>
    <cellStyle name="Normal 5 2 4 2 2 2 2 5" xfId="38668" xr:uid="{DFE71FE8-1AFD-40C9-9F05-241570DADCF1}"/>
    <cellStyle name="Normal 5 2 4 2 2 2 2 6" xfId="12474" xr:uid="{802F7A53-4C66-4A93-9102-5A26D7F2455C}"/>
    <cellStyle name="Normal 5 2 4 2 2 2 3" xfId="5220" xr:uid="{00000000-0005-0000-0000-0000D8180000}"/>
    <cellStyle name="Normal 5 2 4 2 2 2 3 2" xfId="23846" xr:uid="{0BA85B20-85CF-40C2-9F56-0E11C0D6B996}"/>
    <cellStyle name="Normal 5 2 4 2 2 2 3 3" xfId="32293" xr:uid="{716B082C-5706-43A8-8D39-5DC6ED513E99}"/>
    <cellStyle name="Normal 5 2 4 2 2 2 3 4" xfId="40740" xr:uid="{1D6E784E-868E-4BD8-8864-D077D3EDC523}"/>
    <cellStyle name="Normal 5 2 4 2 2 2 3 5" xfId="14546" xr:uid="{403B048B-9CE0-4DF8-AD25-2084D975FCF3}"/>
    <cellStyle name="Normal 5 2 4 2 2 2 4" xfId="9562" xr:uid="{5E243FB4-F3B1-4B34-B377-1444454AD19E}"/>
    <cellStyle name="Normal 5 2 4 2 2 2 4 2" xfId="18878" xr:uid="{34E73EBE-06B6-487E-A663-AA42DA7D2F9D}"/>
    <cellStyle name="Normal 5 2 4 2 2 2 5" xfId="19629" xr:uid="{0DD288DE-FF55-4126-8952-7A47CCF27A25}"/>
    <cellStyle name="Normal 5 2 4 2 2 2 6" xfId="28076" xr:uid="{3905B97B-8F3B-4CC5-B6AF-695CCB1213F5}"/>
    <cellStyle name="Normal 5 2 4 2 2 2 7" xfId="36523" xr:uid="{C02C9334-F5CA-450D-9DF8-DD17154052F2}"/>
    <cellStyle name="Normal 5 2 4 2 2 2 8" xfId="10329" xr:uid="{C51D5318-AA11-4229-BAF5-70000F5084A4}"/>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2 2 2" xfId="26404" xr:uid="{8DC8F4E9-0288-4178-85BF-DFFB1FC2A04C}"/>
    <cellStyle name="Normal 5 2 4 2 2 3 2 2 3" xfId="34851" xr:uid="{9F66DC66-BB11-477D-8D9B-3C0ADBE5D59D}"/>
    <cellStyle name="Normal 5 2 4 2 2 3 2 2 4" xfId="43298" xr:uid="{91EA1084-2DE0-4506-AA0D-B230B61E602E}"/>
    <cellStyle name="Normal 5 2 4 2 2 3 2 2 5" xfId="17104" xr:uid="{59E0F842-BCF7-4C61-A3C1-0554AA77ADC7}"/>
    <cellStyle name="Normal 5 2 4 2 2 3 2 3" xfId="22187" xr:uid="{BBB95BB1-30B7-471A-B0FD-74FDC25E7D8F}"/>
    <cellStyle name="Normal 5 2 4 2 2 3 2 4" xfId="30634" xr:uid="{04C741AB-C737-413D-8642-92C521D76ECD}"/>
    <cellStyle name="Normal 5 2 4 2 2 3 2 5" xfId="39081" xr:uid="{5C047143-8F59-4C38-8872-0F186F2EDD29}"/>
    <cellStyle name="Normal 5 2 4 2 2 3 2 6" xfId="12887" xr:uid="{2EC534FF-BB23-43A1-B9E7-F7FB860A446D}"/>
    <cellStyle name="Normal 5 2 4 2 2 3 3" xfId="5633" xr:uid="{00000000-0005-0000-0000-0000DC180000}"/>
    <cellStyle name="Normal 5 2 4 2 2 3 3 2" xfId="24259" xr:uid="{FFC29AF5-9C79-4163-B499-EAA36EFE3CA9}"/>
    <cellStyle name="Normal 5 2 4 2 2 3 3 3" xfId="32706" xr:uid="{21582189-10E0-4B74-A2C8-39E06A4A9844}"/>
    <cellStyle name="Normal 5 2 4 2 2 3 3 4" xfId="41153" xr:uid="{FF03BDC9-5F9F-418F-926B-8551DBAE25F0}"/>
    <cellStyle name="Normal 5 2 4 2 2 3 3 5" xfId="14959" xr:uid="{B59A8E03-AE9E-4B3D-9E15-DF9C24D74332}"/>
    <cellStyle name="Normal 5 2 4 2 2 3 4" xfId="20042" xr:uid="{BA6B5677-66D2-48A0-B887-DBC7F9A4C256}"/>
    <cellStyle name="Normal 5 2 4 2 2 3 5" xfId="28489" xr:uid="{628CDA5C-05EA-4642-B905-E2F0EB3D9AAA}"/>
    <cellStyle name="Normal 5 2 4 2 2 3 6" xfId="36936" xr:uid="{69A3573F-7ED5-4621-9B85-08FD4B3E3974}"/>
    <cellStyle name="Normal 5 2 4 2 2 3 7" xfId="10742" xr:uid="{EEC9E617-A846-421F-8753-AD018EA7E93D}"/>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2 2 2" xfId="26817" xr:uid="{18371E5C-1ECE-466F-8ADA-440977AD45F5}"/>
    <cellStyle name="Normal 5 2 4 2 2 4 2 2 3" xfId="35264" xr:uid="{05931C5F-7A73-4DA7-BEB1-687984F817FD}"/>
    <cellStyle name="Normal 5 2 4 2 2 4 2 2 4" xfId="43711" xr:uid="{6B933984-B091-410A-99B2-5FE2B681DD05}"/>
    <cellStyle name="Normal 5 2 4 2 2 4 2 2 5" xfId="17517" xr:uid="{98B473B1-1C4C-42E6-874B-BE9DE3A774A6}"/>
    <cellStyle name="Normal 5 2 4 2 2 4 2 3" xfId="22600" xr:uid="{A09605ED-6FBE-4879-9408-6918E13FF62C}"/>
    <cellStyle name="Normal 5 2 4 2 2 4 2 4" xfId="31047" xr:uid="{2BD1275C-3A7A-4A93-AF41-C27608749F16}"/>
    <cellStyle name="Normal 5 2 4 2 2 4 2 5" xfId="39494" xr:uid="{4650412B-2875-435A-B180-93AE48B8D549}"/>
    <cellStyle name="Normal 5 2 4 2 2 4 2 6" xfId="13300" xr:uid="{5EA78789-CF39-49A1-B4A1-9C444F65D181}"/>
    <cellStyle name="Normal 5 2 4 2 2 4 3" xfId="6046" xr:uid="{00000000-0005-0000-0000-0000E0180000}"/>
    <cellStyle name="Normal 5 2 4 2 2 4 3 2" xfId="24672" xr:uid="{ABF3AB5D-00A8-4DC5-8D63-045B623B798C}"/>
    <cellStyle name="Normal 5 2 4 2 2 4 3 3" xfId="33119" xr:uid="{4F6A5D59-DC8A-4266-A8E8-595B1D9919D1}"/>
    <cellStyle name="Normal 5 2 4 2 2 4 3 4" xfId="41566" xr:uid="{24241220-1C32-42FF-9E19-E214F69C9E17}"/>
    <cellStyle name="Normal 5 2 4 2 2 4 3 5" xfId="15372" xr:uid="{5A50DEA0-CB0D-467B-A09D-F05C0E675CD8}"/>
    <cellStyle name="Normal 5 2 4 2 2 4 4" xfId="20455" xr:uid="{AC1FCFA4-826E-4804-A8E5-E5C35F8D1439}"/>
    <cellStyle name="Normal 5 2 4 2 2 4 5" xfId="28902" xr:uid="{CC3E9702-2EA1-4A54-B009-40CDE3C0E7A2}"/>
    <cellStyle name="Normal 5 2 4 2 2 4 6" xfId="37349" xr:uid="{91BBB2BA-E414-43D2-BFCE-9F7AAE1D6068}"/>
    <cellStyle name="Normal 5 2 4 2 2 4 7" xfId="11155" xr:uid="{0060AC51-0493-4C2E-A4E7-EF371D9529A5}"/>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2 2 2" xfId="27230" xr:uid="{4E3D9FE7-5F72-4C92-8D98-2D8BACD0923D}"/>
    <cellStyle name="Normal 5 2 4 2 2 5 2 2 3" xfId="35677" xr:uid="{8BCF5908-AED8-4616-B51B-72111A7A94C6}"/>
    <cellStyle name="Normal 5 2 4 2 2 5 2 2 4" xfId="44124" xr:uid="{CBB9656D-8944-4D17-8628-7BBDF36ACBD9}"/>
    <cellStyle name="Normal 5 2 4 2 2 5 2 2 5" xfId="17930" xr:uid="{9E88C642-4548-4353-B66A-4498C21A2EDE}"/>
    <cellStyle name="Normal 5 2 4 2 2 5 2 3" xfId="23013" xr:uid="{46BF273F-87DE-405A-B6DE-2B6101EB64CA}"/>
    <cellStyle name="Normal 5 2 4 2 2 5 2 4" xfId="31460" xr:uid="{6422E441-2DF5-471D-B9E1-1E0B18718983}"/>
    <cellStyle name="Normal 5 2 4 2 2 5 2 5" xfId="39907" xr:uid="{7518F6FE-C1A9-4966-ACBB-10D485BF1676}"/>
    <cellStyle name="Normal 5 2 4 2 2 5 2 6" xfId="13713" xr:uid="{B3E810D0-D325-4AFB-82FE-575ED9BB2995}"/>
    <cellStyle name="Normal 5 2 4 2 2 5 3" xfId="6459" xr:uid="{00000000-0005-0000-0000-0000E4180000}"/>
    <cellStyle name="Normal 5 2 4 2 2 5 3 2" xfId="25085" xr:uid="{23E104E2-8A48-482D-9F33-431844DD97A2}"/>
    <cellStyle name="Normal 5 2 4 2 2 5 3 3" xfId="33532" xr:uid="{35EA9F05-ABAD-442B-9E3C-8494C8F3B465}"/>
    <cellStyle name="Normal 5 2 4 2 2 5 3 4" xfId="41979" xr:uid="{0DA3BD65-25D4-49EC-B37C-EE1848BE08E1}"/>
    <cellStyle name="Normal 5 2 4 2 2 5 3 5" xfId="15785" xr:uid="{5E0843AB-140C-4184-A514-9F68EC9036E7}"/>
    <cellStyle name="Normal 5 2 4 2 2 5 4" xfId="20868" xr:uid="{6646E927-51CE-4B36-A183-DB714E986E9C}"/>
    <cellStyle name="Normal 5 2 4 2 2 5 5" xfId="29315" xr:uid="{721C9846-079B-4FD6-A9A6-0BE3BF3B3127}"/>
    <cellStyle name="Normal 5 2 4 2 2 5 6" xfId="37762" xr:uid="{9B70E1E5-43E4-47E4-9080-4833AFB00205}"/>
    <cellStyle name="Normal 5 2 4 2 2 5 7" xfId="11568" xr:uid="{D1622319-14A1-4F6D-A0E2-8371AC50163A}"/>
    <cellStyle name="Normal 5 2 4 2 2 6" xfId="2589" xr:uid="{00000000-0005-0000-0000-0000E5180000}"/>
    <cellStyle name="Normal 5 2 4 2 2 6 2" xfId="6872" xr:uid="{00000000-0005-0000-0000-0000E6180000}"/>
    <cellStyle name="Normal 5 2 4 2 2 6 2 2" xfId="25498" xr:uid="{C3FEE0FD-5BFF-4369-A595-D55E955C7F62}"/>
    <cellStyle name="Normal 5 2 4 2 2 6 2 3" xfId="33945" xr:uid="{766558B1-F8A4-44F2-A5D1-C6C879F42704}"/>
    <cellStyle name="Normal 5 2 4 2 2 6 2 4" xfId="42392" xr:uid="{29EA5B0E-53F2-4924-A12F-2BEECC7218ED}"/>
    <cellStyle name="Normal 5 2 4 2 2 6 2 5" xfId="16198" xr:uid="{89055FF2-C8F1-4D2E-B790-B5BB6846E6DC}"/>
    <cellStyle name="Normal 5 2 4 2 2 6 3" xfId="21281" xr:uid="{08C87CC4-3CD6-41CD-B95A-A5FEFAFB4BFB}"/>
    <cellStyle name="Normal 5 2 4 2 2 6 4" xfId="29728" xr:uid="{7DC0509C-0285-4ADC-80C5-01EBC69DDC84}"/>
    <cellStyle name="Normal 5 2 4 2 2 6 5" xfId="38175" xr:uid="{A5D6ABAE-699D-44FB-9DDD-1D69511CF2D5}"/>
    <cellStyle name="Normal 5 2 4 2 2 6 6" xfId="11981" xr:uid="{60352DC5-9462-43B8-864D-219A5AA413CE}"/>
    <cellStyle name="Normal 5 2 4 2 2 7" xfId="4807" xr:uid="{00000000-0005-0000-0000-0000E7180000}"/>
    <cellStyle name="Normal 5 2 4 2 2 7 2" xfId="23433" xr:uid="{ED7E009C-9106-491E-B897-BFD472084178}"/>
    <cellStyle name="Normal 5 2 4 2 2 7 3" xfId="31880" xr:uid="{9436B18C-8836-4E86-83FE-AFCD1DEBFBC6}"/>
    <cellStyle name="Normal 5 2 4 2 2 7 4" xfId="40327" xr:uid="{71A4E4C7-DFDE-4947-9727-803CAD79FF64}"/>
    <cellStyle name="Normal 5 2 4 2 2 7 5" xfId="14133" xr:uid="{ADB5A6A0-8FFD-4685-8CB8-D624AE31899E}"/>
    <cellStyle name="Normal 5 2 4 2 2 8" xfId="9137" xr:uid="{C80E4B27-40CA-4953-ABB8-99E2C575F775}"/>
    <cellStyle name="Normal 5 2 4 2 2 8 2" xfId="18461" xr:uid="{A92917CF-37B5-46F5-B57E-D9A18F3C3741}"/>
    <cellStyle name="Normal 5 2 4 2 2 9" xfId="19216" xr:uid="{62BB812B-BF3E-47DC-9AF4-BFAC59CD570B}"/>
    <cellStyle name="Normal 5 2 4 2 3" xfId="907" xr:uid="{00000000-0005-0000-0000-0000E8180000}"/>
    <cellStyle name="Normal 5 2 4 2 3 2" xfId="3142" xr:uid="{00000000-0005-0000-0000-0000E9180000}"/>
    <cellStyle name="Normal 5 2 4 2 3 2 2" xfId="7364" xr:uid="{00000000-0005-0000-0000-0000EA180000}"/>
    <cellStyle name="Normal 5 2 4 2 3 2 2 2" xfId="25990" xr:uid="{1243DE35-C980-4711-87FF-3B5C60F4C78C}"/>
    <cellStyle name="Normal 5 2 4 2 3 2 2 3" xfId="34437" xr:uid="{B3FBA140-E049-4A22-985B-5FF652D1DCCE}"/>
    <cellStyle name="Normal 5 2 4 2 3 2 2 4" xfId="42884" xr:uid="{9BE8F673-5A62-4907-9139-E83C673AE766}"/>
    <cellStyle name="Normal 5 2 4 2 3 2 2 5" xfId="16690" xr:uid="{047808F1-1A1D-487F-90B6-A29F3E3311BB}"/>
    <cellStyle name="Normal 5 2 4 2 3 2 3" xfId="21773" xr:uid="{869B18E6-D519-4607-8B6A-7D0ECF4ABAF9}"/>
    <cellStyle name="Normal 5 2 4 2 3 2 4" xfId="30220" xr:uid="{60D98DF6-3F17-4742-9B75-A484469B63F7}"/>
    <cellStyle name="Normal 5 2 4 2 3 2 5" xfId="38667" xr:uid="{B1BAF15B-F867-4798-BBAF-74A7C3405601}"/>
    <cellStyle name="Normal 5 2 4 2 3 2 6" xfId="12473" xr:uid="{40441EDE-86D1-4AA4-B316-A70F94996DB6}"/>
    <cellStyle name="Normal 5 2 4 2 3 3" xfId="5219" xr:uid="{00000000-0005-0000-0000-0000EB180000}"/>
    <cellStyle name="Normal 5 2 4 2 3 3 2" xfId="23845" xr:uid="{37FCF4F8-3AB7-4FBC-8027-D83F06423501}"/>
    <cellStyle name="Normal 5 2 4 2 3 3 3" xfId="32292" xr:uid="{5567B9E3-4777-4209-B568-A3FC46B0F256}"/>
    <cellStyle name="Normal 5 2 4 2 3 3 4" xfId="40739" xr:uid="{5C8FD1BD-4F8D-4D53-95C4-7DB2B3234E77}"/>
    <cellStyle name="Normal 5 2 4 2 3 3 5" xfId="14545" xr:uid="{56615C10-85AB-45B9-8797-00AF96851F9B}"/>
    <cellStyle name="Normal 5 2 4 2 3 4" xfId="9355" xr:uid="{9D38A6AA-2F63-4275-9FB8-F86A15F6A4D3}"/>
    <cellStyle name="Normal 5 2 4 2 3 4 2" xfId="18671" xr:uid="{19F83008-B419-47FA-A4FE-8B1D7C1D7B2E}"/>
    <cellStyle name="Normal 5 2 4 2 3 5" xfId="19628" xr:uid="{095FA036-7F54-4ECF-BE57-DBF3D0F1E856}"/>
    <cellStyle name="Normal 5 2 4 2 3 6" xfId="28075" xr:uid="{3CC3B2F2-C801-4EFC-B39A-547DEC929994}"/>
    <cellStyle name="Normal 5 2 4 2 3 7" xfId="36522" xr:uid="{7757A459-48DB-4E5D-AC5A-53A4ED9F7280}"/>
    <cellStyle name="Normal 5 2 4 2 3 8" xfId="10328" xr:uid="{CF387FA2-4688-4328-BFDB-23D9AE865D06}"/>
    <cellStyle name="Normal 5 2 4 2 4" xfId="1325" xr:uid="{00000000-0005-0000-0000-0000EC180000}"/>
    <cellStyle name="Normal 5 2 4 2 4 2" xfId="3555" xr:uid="{00000000-0005-0000-0000-0000ED180000}"/>
    <cellStyle name="Normal 5 2 4 2 4 2 2" xfId="7777" xr:uid="{00000000-0005-0000-0000-0000EE180000}"/>
    <cellStyle name="Normal 5 2 4 2 4 2 2 2" xfId="26403" xr:uid="{855A295B-FC3E-471F-9D22-B8897DA5B1A8}"/>
    <cellStyle name="Normal 5 2 4 2 4 2 2 3" xfId="34850" xr:uid="{AD55DABA-0E59-4EDB-AD3A-CAD53DD54613}"/>
    <cellStyle name="Normal 5 2 4 2 4 2 2 4" xfId="43297" xr:uid="{50668A12-1461-49CE-8FBF-EAFB39268AE9}"/>
    <cellStyle name="Normal 5 2 4 2 4 2 2 5" xfId="17103" xr:uid="{A5104600-E59A-4AB0-B510-53C928D6CF00}"/>
    <cellStyle name="Normal 5 2 4 2 4 2 3" xfId="22186" xr:uid="{947F1D9B-5B06-4EDD-827F-2D85F1D454E5}"/>
    <cellStyle name="Normal 5 2 4 2 4 2 4" xfId="30633" xr:uid="{4E09D18D-11D3-49C6-8D3D-A73101968F4A}"/>
    <cellStyle name="Normal 5 2 4 2 4 2 5" xfId="39080" xr:uid="{CB86CBA5-FFDD-4BD6-B1EF-101A78736D54}"/>
    <cellStyle name="Normal 5 2 4 2 4 2 6" xfId="12886" xr:uid="{1558EE67-43F6-4577-B16C-9D60563F11C8}"/>
    <cellStyle name="Normal 5 2 4 2 4 3" xfId="5632" xr:uid="{00000000-0005-0000-0000-0000EF180000}"/>
    <cellStyle name="Normal 5 2 4 2 4 3 2" xfId="24258" xr:uid="{8DCB7BB0-A3A4-4F82-ADF6-144863CD90FA}"/>
    <cellStyle name="Normal 5 2 4 2 4 3 3" xfId="32705" xr:uid="{49FDF402-E6B9-440F-A0DE-AC49E14A10AA}"/>
    <cellStyle name="Normal 5 2 4 2 4 3 4" xfId="41152" xr:uid="{BBFCABBA-3308-4431-B6D6-EE695548DEFF}"/>
    <cellStyle name="Normal 5 2 4 2 4 3 5" xfId="14958" xr:uid="{5E4BD3E4-9F73-4249-977E-10B792A21C58}"/>
    <cellStyle name="Normal 5 2 4 2 4 4" xfId="20041" xr:uid="{83977DCB-BBED-47BE-A670-8C55DBB85208}"/>
    <cellStyle name="Normal 5 2 4 2 4 5" xfId="28488" xr:uid="{CA74D9C2-3219-415A-8B57-ED9A694E546C}"/>
    <cellStyle name="Normal 5 2 4 2 4 6" xfId="36935" xr:uid="{BA6EAEBD-EC9C-4D9F-A835-3EE05BD2CD11}"/>
    <cellStyle name="Normal 5 2 4 2 4 7" xfId="10741" xr:uid="{86A3799B-EBB9-4FA5-A905-C853D4F6EDA4}"/>
    <cellStyle name="Normal 5 2 4 2 5" xfId="1738" xr:uid="{00000000-0005-0000-0000-0000F0180000}"/>
    <cellStyle name="Normal 5 2 4 2 5 2" xfId="3968" xr:uid="{00000000-0005-0000-0000-0000F1180000}"/>
    <cellStyle name="Normal 5 2 4 2 5 2 2" xfId="8190" xr:uid="{00000000-0005-0000-0000-0000F2180000}"/>
    <cellStyle name="Normal 5 2 4 2 5 2 2 2" xfId="26816" xr:uid="{F7691466-EFBB-4CEA-ABB6-9E4F7A6E2915}"/>
    <cellStyle name="Normal 5 2 4 2 5 2 2 3" xfId="35263" xr:uid="{B4769D39-3C9C-49EF-9C73-E2FB97DD15BF}"/>
    <cellStyle name="Normal 5 2 4 2 5 2 2 4" xfId="43710" xr:uid="{43B8802D-5519-4E63-AF66-C7185AB62DA3}"/>
    <cellStyle name="Normal 5 2 4 2 5 2 2 5" xfId="17516" xr:uid="{70011927-5139-4721-810C-BD7C0152B58C}"/>
    <cellStyle name="Normal 5 2 4 2 5 2 3" xfId="22599" xr:uid="{4800DFFB-3E7A-4057-934F-463C2080DD18}"/>
    <cellStyle name="Normal 5 2 4 2 5 2 4" xfId="31046" xr:uid="{8EA20D37-146E-48A2-9516-9D077E54CDC7}"/>
    <cellStyle name="Normal 5 2 4 2 5 2 5" xfId="39493" xr:uid="{675BF01E-5FE6-46BC-89F3-CC7F0990C034}"/>
    <cellStyle name="Normal 5 2 4 2 5 2 6" xfId="13299" xr:uid="{FD19635B-5834-4758-A37E-FD458E8D6B71}"/>
    <cellStyle name="Normal 5 2 4 2 5 3" xfId="6045" xr:uid="{00000000-0005-0000-0000-0000F3180000}"/>
    <cellStyle name="Normal 5 2 4 2 5 3 2" xfId="24671" xr:uid="{2A8C58AE-6AD7-499A-AC87-A34E20A36276}"/>
    <cellStyle name="Normal 5 2 4 2 5 3 3" xfId="33118" xr:uid="{791F1811-2847-4D6B-8528-FFCFC3DDC44E}"/>
    <cellStyle name="Normal 5 2 4 2 5 3 4" xfId="41565" xr:uid="{786F6024-D285-40E2-8DBE-DB26B731FD48}"/>
    <cellStyle name="Normal 5 2 4 2 5 3 5" xfId="15371" xr:uid="{98B51996-155D-4026-9DE8-428A8DA21BA5}"/>
    <cellStyle name="Normal 5 2 4 2 5 4" xfId="20454" xr:uid="{0D57D236-A524-4E38-B0E2-6EBF83008138}"/>
    <cellStyle name="Normal 5 2 4 2 5 5" xfId="28901" xr:uid="{AE77B608-48F9-4A24-AB24-F0FFAC0400C5}"/>
    <cellStyle name="Normal 5 2 4 2 5 6" xfId="37348" xr:uid="{3B853D53-66E9-4938-B050-F1B4E058767D}"/>
    <cellStyle name="Normal 5 2 4 2 5 7" xfId="11154" xr:uid="{1078853C-22B0-4EAB-9CA3-75F31B09E059}"/>
    <cellStyle name="Normal 5 2 4 2 6" xfId="2152" xr:uid="{00000000-0005-0000-0000-0000F4180000}"/>
    <cellStyle name="Normal 5 2 4 2 6 2" xfId="4381" xr:uid="{00000000-0005-0000-0000-0000F5180000}"/>
    <cellStyle name="Normal 5 2 4 2 6 2 2" xfId="8603" xr:uid="{00000000-0005-0000-0000-0000F6180000}"/>
    <cellStyle name="Normal 5 2 4 2 6 2 2 2" xfId="27229" xr:uid="{DF61E7CE-A3F9-4031-91CC-FECB67322812}"/>
    <cellStyle name="Normal 5 2 4 2 6 2 2 3" xfId="35676" xr:uid="{C9148203-C43D-4110-8363-AC1DBFD024B5}"/>
    <cellStyle name="Normal 5 2 4 2 6 2 2 4" xfId="44123" xr:uid="{D60371E8-9FAE-494A-8554-8761AB18DC48}"/>
    <cellStyle name="Normal 5 2 4 2 6 2 2 5" xfId="17929" xr:uid="{3289EC57-A86C-4040-B109-6D556FDE8AC4}"/>
    <cellStyle name="Normal 5 2 4 2 6 2 3" xfId="23012" xr:uid="{A2F6B4FC-D0A0-48E6-9199-C857E1100CD3}"/>
    <cellStyle name="Normal 5 2 4 2 6 2 4" xfId="31459" xr:uid="{A13BAEF2-D219-4FE4-8698-B646F87A359B}"/>
    <cellStyle name="Normal 5 2 4 2 6 2 5" xfId="39906" xr:uid="{4F0FC2C0-E6BF-415A-8269-31D964BA311B}"/>
    <cellStyle name="Normal 5 2 4 2 6 2 6" xfId="13712" xr:uid="{99503DC8-F2E4-40ED-9E4F-A0A193D6DF82}"/>
    <cellStyle name="Normal 5 2 4 2 6 3" xfId="6458" xr:uid="{00000000-0005-0000-0000-0000F7180000}"/>
    <cellStyle name="Normal 5 2 4 2 6 3 2" xfId="25084" xr:uid="{C908AB4A-B88C-4C67-B7A8-F4C7D33D51F7}"/>
    <cellStyle name="Normal 5 2 4 2 6 3 3" xfId="33531" xr:uid="{A31E37CB-F9EF-46B5-97D4-3C29D036B61B}"/>
    <cellStyle name="Normal 5 2 4 2 6 3 4" xfId="41978" xr:uid="{A32863D2-8C64-49B3-B91B-E8C0804480FA}"/>
    <cellStyle name="Normal 5 2 4 2 6 3 5" xfId="15784" xr:uid="{BBB95816-7DE4-4CA1-982B-D150240BCC75}"/>
    <cellStyle name="Normal 5 2 4 2 6 4" xfId="20867" xr:uid="{22D96740-586B-4F1C-B98E-5A0FED332B72}"/>
    <cellStyle name="Normal 5 2 4 2 6 5" xfId="29314" xr:uid="{E2312232-9ABB-48AD-A9DE-1D61951E3934}"/>
    <cellStyle name="Normal 5 2 4 2 6 6" xfId="37761" xr:uid="{7D92F6DF-611A-4279-9603-FA01ED16C33C}"/>
    <cellStyle name="Normal 5 2 4 2 6 7" xfId="11567" xr:uid="{096E3593-2143-4CB7-9EBF-E7561F132B6F}"/>
    <cellStyle name="Normal 5 2 4 2 7" xfId="2588" xr:uid="{00000000-0005-0000-0000-0000F8180000}"/>
    <cellStyle name="Normal 5 2 4 2 7 2" xfId="6871" xr:uid="{00000000-0005-0000-0000-0000F9180000}"/>
    <cellStyle name="Normal 5 2 4 2 7 2 2" xfId="25497" xr:uid="{BA64D827-F229-47A9-8E39-7B3709E3FC61}"/>
    <cellStyle name="Normal 5 2 4 2 7 2 3" xfId="33944" xr:uid="{C5024F5D-689B-4C4B-8E3A-7362EEA5C7A6}"/>
    <cellStyle name="Normal 5 2 4 2 7 2 4" xfId="42391" xr:uid="{5A48B685-7A8C-424C-8F05-A81A5F43CCB8}"/>
    <cellStyle name="Normal 5 2 4 2 7 2 5" xfId="16197" xr:uid="{6DEBBCC9-146E-425C-A831-F0C6DA4A9045}"/>
    <cellStyle name="Normal 5 2 4 2 7 3" xfId="21280" xr:uid="{3F556199-6977-4853-8F0B-A16215B504B0}"/>
    <cellStyle name="Normal 5 2 4 2 7 4" xfId="29727" xr:uid="{7FBCA74B-2E1A-4101-BAD8-C3E3ACEC7927}"/>
    <cellStyle name="Normal 5 2 4 2 7 5" xfId="38174" xr:uid="{B84B57F5-EA09-4BFC-AB08-4CAA50095CAA}"/>
    <cellStyle name="Normal 5 2 4 2 7 6" xfId="11980" xr:uid="{CC9A0738-85A1-478F-9F10-35A62B2C8CB7}"/>
    <cellStyle name="Normal 5 2 4 2 8" xfId="4806" xr:uid="{00000000-0005-0000-0000-0000FA180000}"/>
    <cellStyle name="Normal 5 2 4 2 8 2" xfId="23432" xr:uid="{0E148539-28F2-4C66-B176-C5126588D342}"/>
    <cellStyle name="Normal 5 2 4 2 8 3" xfId="31879" xr:uid="{298A6225-23F1-4929-95B6-229A897E697C}"/>
    <cellStyle name="Normal 5 2 4 2 8 4" xfId="40326" xr:uid="{A9FB6373-CDDE-4D92-B465-3C052DC932E0}"/>
    <cellStyle name="Normal 5 2 4 2 8 5" xfId="14132" xr:uid="{225D0D33-C581-4EC8-9AA6-40793D3A04DB}"/>
    <cellStyle name="Normal 5 2 4 2 9" xfId="8930" xr:uid="{66B84ABA-CAF3-4BBE-9026-E7A47CB6006F}"/>
    <cellStyle name="Normal 5 2 4 2 9 2" xfId="18254" xr:uid="{6E3FA158-CC7E-44F7-8F82-6A350AE4A44C}"/>
    <cellStyle name="Normal 5 2 4 3" xfId="435" xr:uid="{00000000-0005-0000-0000-0000FB180000}"/>
    <cellStyle name="Normal 5 2 4 3 10" xfId="27664" xr:uid="{6C7DEE0B-58C0-4C01-8721-792A239C4939}"/>
    <cellStyle name="Normal 5 2 4 3 11" xfId="36111" xr:uid="{D4FAC9FB-5484-4880-A999-2B640ED11E18}"/>
    <cellStyle name="Normal 5 2 4 3 12" xfId="9917" xr:uid="{90717CEC-8124-40DF-87DB-75DC3483E436}"/>
    <cellStyle name="Normal 5 2 4 3 2" xfId="909" xr:uid="{00000000-0005-0000-0000-0000FC180000}"/>
    <cellStyle name="Normal 5 2 4 3 2 2" xfId="3144" xr:uid="{00000000-0005-0000-0000-0000FD180000}"/>
    <cellStyle name="Normal 5 2 4 3 2 2 2" xfId="7366" xr:uid="{00000000-0005-0000-0000-0000FE180000}"/>
    <cellStyle name="Normal 5 2 4 3 2 2 2 2" xfId="25992" xr:uid="{4B147ABC-195F-4D70-A7C3-AAF163DE996E}"/>
    <cellStyle name="Normal 5 2 4 3 2 2 2 3" xfId="34439" xr:uid="{7F411249-6B5F-463E-A744-72F50B0F4456}"/>
    <cellStyle name="Normal 5 2 4 3 2 2 2 4" xfId="42886" xr:uid="{2915186C-BCB5-4929-986C-E8941F9822CD}"/>
    <cellStyle name="Normal 5 2 4 3 2 2 2 5" xfId="16692" xr:uid="{23337068-90BA-4697-8678-2B4CBB0F1A1A}"/>
    <cellStyle name="Normal 5 2 4 3 2 2 3" xfId="21775" xr:uid="{74EE996E-298D-4C44-9C8F-DDE9C6F88648}"/>
    <cellStyle name="Normal 5 2 4 3 2 2 4" xfId="30222" xr:uid="{1CF14239-1540-49BD-AE1A-6CD32EE93585}"/>
    <cellStyle name="Normal 5 2 4 3 2 2 5" xfId="38669" xr:uid="{8AE4654E-B7B4-47AE-AF78-1447C8EC7A2F}"/>
    <cellStyle name="Normal 5 2 4 3 2 2 6" xfId="12475" xr:uid="{CCEEABD1-9938-45CA-831C-31ACEBD947A7}"/>
    <cellStyle name="Normal 5 2 4 3 2 3" xfId="5221" xr:uid="{00000000-0005-0000-0000-0000FF180000}"/>
    <cellStyle name="Normal 5 2 4 3 2 3 2" xfId="23847" xr:uid="{14717192-0EE2-4C4D-8134-91EBC32C5460}"/>
    <cellStyle name="Normal 5 2 4 3 2 3 3" xfId="32294" xr:uid="{72153D26-B68E-4CC0-9F90-29E5DB09D9B4}"/>
    <cellStyle name="Normal 5 2 4 3 2 3 4" xfId="40741" xr:uid="{603D9ECD-DA5D-4140-A271-08120366BA7A}"/>
    <cellStyle name="Normal 5 2 4 3 2 3 5" xfId="14547" xr:uid="{19CD02BC-7C74-41B7-885D-17CDEE3F65D9}"/>
    <cellStyle name="Normal 5 2 4 3 2 4" xfId="9459" xr:uid="{ED2A936E-5624-4B26-A175-3FCE68E1BF5A}"/>
    <cellStyle name="Normal 5 2 4 3 2 4 2" xfId="18775" xr:uid="{66290CB0-177E-4433-994A-6E32BCCA12EF}"/>
    <cellStyle name="Normal 5 2 4 3 2 5" xfId="19630" xr:uid="{05984B48-94FA-4BB9-895B-C4CBC7A0F13C}"/>
    <cellStyle name="Normal 5 2 4 3 2 6" xfId="28077" xr:uid="{86D3661F-EA64-4D5D-99B5-45A2098D4678}"/>
    <cellStyle name="Normal 5 2 4 3 2 7" xfId="36524" xr:uid="{82F27837-1C73-423A-BA51-B492FC0679EA}"/>
    <cellStyle name="Normal 5 2 4 3 2 8" xfId="10330" xr:uid="{61931F00-2527-4518-BED7-CA93EF00D4E2}"/>
    <cellStyle name="Normal 5 2 4 3 3" xfId="1327" xr:uid="{00000000-0005-0000-0000-000000190000}"/>
    <cellStyle name="Normal 5 2 4 3 3 2" xfId="3557" xr:uid="{00000000-0005-0000-0000-000001190000}"/>
    <cellStyle name="Normal 5 2 4 3 3 2 2" xfId="7779" xr:uid="{00000000-0005-0000-0000-000002190000}"/>
    <cellStyle name="Normal 5 2 4 3 3 2 2 2" xfId="26405" xr:uid="{957A7A1C-EFF6-4E7A-AAC0-EB5B1A8E91C2}"/>
    <cellStyle name="Normal 5 2 4 3 3 2 2 3" xfId="34852" xr:uid="{A61625BD-7B52-4864-9661-45292EE463D1}"/>
    <cellStyle name="Normal 5 2 4 3 3 2 2 4" xfId="43299" xr:uid="{0690998D-CDCA-4E99-ABBD-35FDF74D4C7E}"/>
    <cellStyle name="Normal 5 2 4 3 3 2 2 5" xfId="17105" xr:uid="{BB1AAD8C-7340-4718-9CC5-9516C94EA11F}"/>
    <cellStyle name="Normal 5 2 4 3 3 2 3" xfId="22188" xr:uid="{DF3C6B11-785E-4FFE-9690-4B5036CBB092}"/>
    <cellStyle name="Normal 5 2 4 3 3 2 4" xfId="30635" xr:uid="{B19BE41B-FA34-4B02-93C3-5AE802BA0070}"/>
    <cellStyle name="Normal 5 2 4 3 3 2 5" xfId="39082" xr:uid="{459517DD-0BF9-47B2-8702-BE908852CBBB}"/>
    <cellStyle name="Normal 5 2 4 3 3 2 6" xfId="12888" xr:uid="{690C7400-33FE-484F-B507-91767EAF65EB}"/>
    <cellStyle name="Normal 5 2 4 3 3 3" xfId="5634" xr:uid="{00000000-0005-0000-0000-000003190000}"/>
    <cellStyle name="Normal 5 2 4 3 3 3 2" xfId="24260" xr:uid="{7AE15C17-E2CE-4DF4-8AFB-FB249700D168}"/>
    <cellStyle name="Normal 5 2 4 3 3 3 3" xfId="32707" xr:uid="{0FE4A969-1CC2-4568-BC38-383B15F4C8A9}"/>
    <cellStyle name="Normal 5 2 4 3 3 3 4" xfId="41154" xr:uid="{EF7B5C16-A66E-4448-B28E-9488A6D6B370}"/>
    <cellStyle name="Normal 5 2 4 3 3 3 5" xfId="14960" xr:uid="{21E359B5-C59E-48A4-AB7F-FAB23D710E74}"/>
    <cellStyle name="Normal 5 2 4 3 3 4" xfId="20043" xr:uid="{0E2B1E1E-906F-461B-BDF4-D5E9147FF297}"/>
    <cellStyle name="Normal 5 2 4 3 3 5" xfId="28490" xr:uid="{429BF084-552F-46E2-8E6D-11AFAE9A949C}"/>
    <cellStyle name="Normal 5 2 4 3 3 6" xfId="36937" xr:uid="{FAB3751B-42EA-433A-8C9C-2D02EE0C2AED}"/>
    <cellStyle name="Normal 5 2 4 3 3 7" xfId="10743" xr:uid="{3E0CFC63-2A8D-48E1-B0AF-B034CEFC1E8C}"/>
    <cellStyle name="Normal 5 2 4 3 4" xfId="1740" xr:uid="{00000000-0005-0000-0000-000004190000}"/>
    <cellStyle name="Normal 5 2 4 3 4 2" xfId="3970" xr:uid="{00000000-0005-0000-0000-000005190000}"/>
    <cellStyle name="Normal 5 2 4 3 4 2 2" xfId="8192" xr:uid="{00000000-0005-0000-0000-000006190000}"/>
    <cellStyle name="Normal 5 2 4 3 4 2 2 2" xfId="26818" xr:uid="{6BF2E6D6-AB2C-4928-8262-FF348388A761}"/>
    <cellStyle name="Normal 5 2 4 3 4 2 2 3" xfId="35265" xr:uid="{FFDC6742-7020-442F-8C83-161C36BFC2B3}"/>
    <cellStyle name="Normal 5 2 4 3 4 2 2 4" xfId="43712" xr:uid="{9D50CA1B-A428-4481-B5CE-FBCD31CBA554}"/>
    <cellStyle name="Normal 5 2 4 3 4 2 2 5" xfId="17518" xr:uid="{B28C4001-2F88-427F-B509-02D101912F18}"/>
    <cellStyle name="Normal 5 2 4 3 4 2 3" xfId="22601" xr:uid="{B8AC6165-2200-4AF8-9642-76723BDFB800}"/>
    <cellStyle name="Normal 5 2 4 3 4 2 4" xfId="31048" xr:uid="{B78DF928-7975-49C6-8AA0-F2BD2DEC6F00}"/>
    <cellStyle name="Normal 5 2 4 3 4 2 5" xfId="39495" xr:uid="{3A578ECA-0CF0-4AFE-9F3E-2125B22E97EC}"/>
    <cellStyle name="Normal 5 2 4 3 4 2 6" xfId="13301" xr:uid="{364153D3-84B8-4E34-8941-02437CC1BDA4}"/>
    <cellStyle name="Normal 5 2 4 3 4 3" xfId="6047" xr:uid="{00000000-0005-0000-0000-000007190000}"/>
    <cellStyle name="Normal 5 2 4 3 4 3 2" xfId="24673" xr:uid="{2BBE4243-3E94-4101-A7EB-662CD0097485}"/>
    <cellStyle name="Normal 5 2 4 3 4 3 3" xfId="33120" xr:uid="{6E105894-6513-4A47-9995-E5B5FE200D0D}"/>
    <cellStyle name="Normal 5 2 4 3 4 3 4" xfId="41567" xr:uid="{9410FD57-A6A1-441D-8966-826CB43C1FEF}"/>
    <cellStyle name="Normal 5 2 4 3 4 3 5" xfId="15373" xr:uid="{62FC4F18-2526-4D7C-93E5-1C61A5B83DAF}"/>
    <cellStyle name="Normal 5 2 4 3 4 4" xfId="20456" xr:uid="{DEDA9D3C-D9BE-494A-944E-23A262B2A5C3}"/>
    <cellStyle name="Normal 5 2 4 3 4 5" xfId="28903" xr:uid="{77C7C381-6049-484D-A5B7-621A098CC090}"/>
    <cellStyle name="Normal 5 2 4 3 4 6" xfId="37350" xr:uid="{007DAEF8-0976-447F-B0EB-1413EAE5BC81}"/>
    <cellStyle name="Normal 5 2 4 3 4 7" xfId="11156" xr:uid="{890B8994-9854-493B-9E08-637216B95F89}"/>
    <cellStyle name="Normal 5 2 4 3 5" xfId="2154" xr:uid="{00000000-0005-0000-0000-000008190000}"/>
    <cellStyle name="Normal 5 2 4 3 5 2" xfId="4383" xr:uid="{00000000-0005-0000-0000-000009190000}"/>
    <cellStyle name="Normal 5 2 4 3 5 2 2" xfId="8605" xr:uid="{00000000-0005-0000-0000-00000A190000}"/>
    <cellStyle name="Normal 5 2 4 3 5 2 2 2" xfId="27231" xr:uid="{916C6A17-D3E6-4E0D-BA40-B8AA62067FEE}"/>
    <cellStyle name="Normal 5 2 4 3 5 2 2 3" xfId="35678" xr:uid="{4BEE7A67-F159-4FC5-82A8-6A06CE3F6F54}"/>
    <cellStyle name="Normal 5 2 4 3 5 2 2 4" xfId="44125" xr:uid="{8C36BD0C-95D1-4A43-8F30-6536A466E30D}"/>
    <cellStyle name="Normal 5 2 4 3 5 2 2 5" xfId="17931" xr:uid="{185B1578-731B-4AFF-BFC3-2F1BC03DE6A0}"/>
    <cellStyle name="Normal 5 2 4 3 5 2 3" xfId="23014" xr:uid="{40A7B7C9-BEE1-4C4E-88E4-6F11D75A98B9}"/>
    <cellStyle name="Normal 5 2 4 3 5 2 4" xfId="31461" xr:uid="{30FF6118-39B0-4668-9E47-0D803B4F02DB}"/>
    <cellStyle name="Normal 5 2 4 3 5 2 5" xfId="39908" xr:uid="{B7C16E8B-1A09-4D4D-A19D-65B250763200}"/>
    <cellStyle name="Normal 5 2 4 3 5 2 6" xfId="13714" xr:uid="{11AE6ABF-BB51-4EE8-ABE4-043A1BDE5AA4}"/>
    <cellStyle name="Normal 5 2 4 3 5 3" xfId="6460" xr:uid="{00000000-0005-0000-0000-00000B190000}"/>
    <cellStyle name="Normal 5 2 4 3 5 3 2" xfId="25086" xr:uid="{E91ABC25-551C-4C25-A2C4-DA36F0B59542}"/>
    <cellStyle name="Normal 5 2 4 3 5 3 3" xfId="33533" xr:uid="{552D0D6E-3F4D-4A2D-B2F2-8728A086EBA0}"/>
    <cellStyle name="Normal 5 2 4 3 5 3 4" xfId="41980" xr:uid="{3256AD2B-2639-4FC0-BAE7-DB742B7E1064}"/>
    <cellStyle name="Normal 5 2 4 3 5 3 5" xfId="15786" xr:uid="{460AF214-22FA-409F-A1F3-7D7EF65D36E3}"/>
    <cellStyle name="Normal 5 2 4 3 5 4" xfId="20869" xr:uid="{06E0BC04-70DA-435B-86F9-BB3B05C08F6F}"/>
    <cellStyle name="Normal 5 2 4 3 5 5" xfId="29316" xr:uid="{6C87747F-334F-48F3-9946-A5E5D5A06F83}"/>
    <cellStyle name="Normal 5 2 4 3 5 6" xfId="37763" xr:uid="{3A83257C-1A3C-4F1C-BC60-CEEDE48DE25C}"/>
    <cellStyle name="Normal 5 2 4 3 5 7" xfId="11569" xr:uid="{BF9E194C-61D6-47C0-A203-F727B61CF9DD}"/>
    <cellStyle name="Normal 5 2 4 3 6" xfId="2590" xr:uid="{00000000-0005-0000-0000-00000C190000}"/>
    <cellStyle name="Normal 5 2 4 3 6 2" xfId="6873" xr:uid="{00000000-0005-0000-0000-00000D190000}"/>
    <cellStyle name="Normal 5 2 4 3 6 2 2" xfId="25499" xr:uid="{17B1A168-C5B9-44A1-BDB5-CF9F4AB6B238}"/>
    <cellStyle name="Normal 5 2 4 3 6 2 3" xfId="33946" xr:uid="{BFF51B8B-B722-4A3B-926E-C6D95AA553DB}"/>
    <cellStyle name="Normal 5 2 4 3 6 2 4" xfId="42393" xr:uid="{D21A019A-6014-4101-8D76-FCE919F18F86}"/>
    <cellStyle name="Normal 5 2 4 3 6 2 5" xfId="16199" xr:uid="{713B7E7D-4A75-40BE-99C4-908C90D395F8}"/>
    <cellStyle name="Normal 5 2 4 3 6 3" xfId="21282" xr:uid="{31D944BB-E047-41C5-B8F5-A223978C841C}"/>
    <cellStyle name="Normal 5 2 4 3 6 4" xfId="29729" xr:uid="{94397DEE-F2BD-4237-981D-604C2317FBF3}"/>
    <cellStyle name="Normal 5 2 4 3 6 5" xfId="38176" xr:uid="{6DEBA345-4798-4EF8-8DF9-C9BD02B83F87}"/>
    <cellStyle name="Normal 5 2 4 3 6 6" xfId="11982" xr:uid="{FB1887CE-FBCA-4F5A-8300-197CCBD8AF71}"/>
    <cellStyle name="Normal 5 2 4 3 7" xfId="4808" xr:uid="{00000000-0005-0000-0000-00000E190000}"/>
    <cellStyle name="Normal 5 2 4 3 7 2" xfId="23434" xr:uid="{C6B09739-F43C-4BD8-B785-1949083954A5}"/>
    <cellStyle name="Normal 5 2 4 3 7 3" xfId="31881" xr:uid="{1852168C-A48C-4DEE-935B-54E1A8E1DD64}"/>
    <cellStyle name="Normal 5 2 4 3 7 4" xfId="40328" xr:uid="{2D4B7FFF-4194-41FC-8C9E-8FDA96AF559F}"/>
    <cellStyle name="Normal 5 2 4 3 7 5" xfId="14134" xr:uid="{11A05202-F7E0-4AA5-BB21-FC3D32D206B8}"/>
    <cellStyle name="Normal 5 2 4 3 8" xfId="9034" xr:uid="{82D3DE5B-E868-4CF9-BA07-6E197DA4FAA5}"/>
    <cellStyle name="Normal 5 2 4 3 8 2" xfId="18358" xr:uid="{7D6A6FEC-3A16-4E47-AEE5-A45395057851}"/>
    <cellStyle name="Normal 5 2 4 3 9" xfId="19217" xr:uid="{4AA44F3A-2BA6-49E9-B931-1084CEDA2249}"/>
    <cellStyle name="Normal 5 2 4 4" xfId="906" xr:uid="{00000000-0005-0000-0000-00000F190000}"/>
    <cellStyle name="Normal 5 2 4 4 2" xfId="3141" xr:uid="{00000000-0005-0000-0000-000010190000}"/>
    <cellStyle name="Normal 5 2 4 4 2 2" xfId="7363" xr:uid="{00000000-0005-0000-0000-000011190000}"/>
    <cellStyle name="Normal 5 2 4 4 2 2 2" xfId="25989" xr:uid="{878C8B9C-D04E-4C03-8DDC-868E49D44D08}"/>
    <cellStyle name="Normal 5 2 4 4 2 2 3" xfId="34436" xr:uid="{32A13AE9-01B7-414C-8320-86F9F1C94FA9}"/>
    <cellStyle name="Normal 5 2 4 4 2 2 4" xfId="42883" xr:uid="{74374373-B027-4E08-99FF-1C8C082BF625}"/>
    <cellStyle name="Normal 5 2 4 4 2 2 5" xfId="16689" xr:uid="{2DEACF06-DCE8-457C-84FA-3D062AE908B5}"/>
    <cellStyle name="Normal 5 2 4 4 2 3" xfId="21772" xr:uid="{E2A79D40-3FCC-4744-ABA2-39B482316BDE}"/>
    <cellStyle name="Normal 5 2 4 4 2 4" xfId="30219" xr:uid="{1DF712BB-1CA2-41E1-BA51-EE02B46EC5D2}"/>
    <cellStyle name="Normal 5 2 4 4 2 5" xfId="38666" xr:uid="{99D86256-F435-47A4-94E2-DD265BEE9421}"/>
    <cellStyle name="Normal 5 2 4 4 2 6" xfId="12472" xr:uid="{E519E0AB-EE74-419A-98B5-76940AAFA709}"/>
    <cellStyle name="Normal 5 2 4 4 3" xfId="5218" xr:uid="{00000000-0005-0000-0000-000012190000}"/>
    <cellStyle name="Normal 5 2 4 4 3 2" xfId="23844" xr:uid="{93E469A1-90AD-44CE-9B85-B34834843CB1}"/>
    <cellStyle name="Normal 5 2 4 4 3 3" xfId="32291" xr:uid="{860575B5-B9E6-4256-AD53-E7E027425F26}"/>
    <cellStyle name="Normal 5 2 4 4 3 4" xfId="40738" xr:uid="{1908875F-2EC3-43E2-9872-B9E9560873FA}"/>
    <cellStyle name="Normal 5 2 4 4 3 5" xfId="14544" xr:uid="{17DFE1F1-28CB-4D61-95F8-689843D51B6C}"/>
    <cellStyle name="Normal 5 2 4 4 4" xfId="9252" xr:uid="{1D1A8EC4-7286-46A1-B40C-E987F273E760}"/>
    <cellStyle name="Normal 5 2 4 4 4 2" xfId="18568" xr:uid="{107282CA-AA65-4F1E-AF31-298A3448F2AF}"/>
    <cellStyle name="Normal 5 2 4 4 5" xfId="19627" xr:uid="{40D062A8-859D-45C8-8FED-7176737BB985}"/>
    <cellStyle name="Normal 5 2 4 4 6" xfId="28074" xr:uid="{6A5B75F6-9829-4EF7-9BAB-F49AE46C9E4F}"/>
    <cellStyle name="Normal 5 2 4 4 7" xfId="36521" xr:uid="{03C7B514-A9B3-4D5D-8547-9122B8C5D632}"/>
    <cellStyle name="Normal 5 2 4 4 8" xfId="10327" xr:uid="{C9B59626-1BB3-42A9-A000-B197F18998AB}"/>
    <cellStyle name="Normal 5 2 4 5" xfId="1324" xr:uid="{00000000-0005-0000-0000-000013190000}"/>
    <cellStyle name="Normal 5 2 4 5 2" xfId="3554" xr:uid="{00000000-0005-0000-0000-000014190000}"/>
    <cellStyle name="Normal 5 2 4 5 2 2" xfId="7776" xr:uid="{00000000-0005-0000-0000-000015190000}"/>
    <cellStyle name="Normal 5 2 4 5 2 2 2" xfId="26402" xr:uid="{04F2F584-25AC-48AB-9959-E62272AE2371}"/>
    <cellStyle name="Normal 5 2 4 5 2 2 3" xfId="34849" xr:uid="{2FC0E165-E02C-488F-AB8D-789C65E76285}"/>
    <cellStyle name="Normal 5 2 4 5 2 2 4" xfId="43296" xr:uid="{455B616E-659A-457C-B8F8-BC22828599D0}"/>
    <cellStyle name="Normal 5 2 4 5 2 2 5" xfId="17102" xr:uid="{4EF13716-5551-4FD9-9AD8-29352A4136B1}"/>
    <cellStyle name="Normal 5 2 4 5 2 3" xfId="22185" xr:uid="{0101D0FD-8A44-4634-89CA-849F7D87322E}"/>
    <cellStyle name="Normal 5 2 4 5 2 4" xfId="30632" xr:uid="{C109EE47-E215-4A54-926C-61F55ACDFBA4}"/>
    <cellStyle name="Normal 5 2 4 5 2 5" xfId="39079" xr:uid="{00A2F199-1BAC-45C2-BF74-414A87A6238F}"/>
    <cellStyle name="Normal 5 2 4 5 2 6" xfId="12885" xr:uid="{1DBC86F7-01D4-4A3E-AA5C-65CF3E49CC3E}"/>
    <cellStyle name="Normal 5 2 4 5 3" xfId="5631" xr:uid="{00000000-0005-0000-0000-000016190000}"/>
    <cellStyle name="Normal 5 2 4 5 3 2" xfId="24257" xr:uid="{FBF46CE0-896C-48CC-B6EB-97D38316DEDB}"/>
    <cellStyle name="Normal 5 2 4 5 3 3" xfId="32704" xr:uid="{06CB82F6-3E07-471E-820E-543D04D77FC5}"/>
    <cellStyle name="Normal 5 2 4 5 3 4" xfId="41151" xr:uid="{70725E3A-55C2-465F-AB86-F4A4B8D9C990}"/>
    <cellStyle name="Normal 5 2 4 5 3 5" xfId="14957" xr:uid="{36B14A57-B820-4651-A135-1F936BCFAB74}"/>
    <cellStyle name="Normal 5 2 4 5 4" xfId="20040" xr:uid="{9B10C7F6-B77C-4AD7-A166-4317AE8DE7E6}"/>
    <cellStyle name="Normal 5 2 4 5 5" xfId="28487" xr:uid="{2F3ABA56-6911-480B-AFCD-512F491F697F}"/>
    <cellStyle name="Normal 5 2 4 5 6" xfId="36934" xr:uid="{8371B142-9610-4DA5-B2AD-DC13DF2D9A39}"/>
    <cellStyle name="Normal 5 2 4 5 7" xfId="10740" xr:uid="{8050CEA3-D555-42A5-9196-A19BDD6D5083}"/>
    <cellStyle name="Normal 5 2 4 6" xfId="1737" xr:uid="{00000000-0005-0000-0000-000017190000}"/>
    <cellStyle name="Normal 5 2 4 6 2" xfId="3967" xr:uid="{00000000-0005-0000-0000-000018190000}"/>
    <cellStyle name="Normal 5 2 4 6 2 2" xfId="8189" xr:uid="{00000000-0005-0000-0000-000019190000}"/>
    <cellStyle name="Normal 5 2 4 6 2 2 2" xfId="26815" xr:uid="{6BE28FE9-EBC1-46AA-BAA8-52487BE97742}"/>
    <cellStyle name="Normal 5 2 4 6 2 2 3" xfId="35262" xr:uid="{8BF74372-A97F-4122-A457-4A40609F1A5F}"/>
    <cellStyle name="Normal 5 2 4 6 2 2 4" xfId="43709" xr:uid="{9C90ECB4-129E-492A-88C2-A48B200A9C0F}"/>
    <cellStyle name="Normal 5 2 4 6 2 2 5" xfId="17515" xr:uid="{7F0CB6A7-7A37-4E27-8A2B-51F49A9800BC}"/>
    <cellStyle name="Normal 5 2 4 6 2 3" xfId="22598" xr:uid="{0F93E204-314A-4464-81FA-2D88DBCE696B}"/>
    <cellStyle name="Normal 5 2 4 6 2 4" xfId="31045" xr:uid="{5BB4E41A-D94C-40FB-B491-DFB64A19A780}"/>
    <cellStyle name="Normal 5 2 4 6 2 5" xfId="39492" xr:uid="{62ADAF92-55A6-4440-9DDE-9F84D1AE0257}"/>
    <cellStyle name="Normal 5 2 4 6 2 6" xfId="13298" xr:uid="{475DF6AE-C06E-4548-9246-38034E4E3E14}"/>
    <cellStyle name="Normal 5 2 4 6 3" xfId="6044" xr:uid="{00000000-0005-0000-0000-00001A190000}"/>
    <cellStyle name="Normal 5 2 4 6 3 2" xfId="24670" xr:uid="{1A0620A1-39DE-4188-BDEE-F835DB54F12F}"/>
    <cellStyle name="Normal 5 2 4 6 3 3" xfId="33117" xr:uid="{5FED614F-505C-43FF-B851-B7DC64BB4EF7}"/>
    <cellStyle name="Normal 5 2 4 6 3 4" xfId="41564" xr:uid="{4AC2F3C1-242E-40F4-A6A3-2F653D047F78}"/>
    <cellStyle name="Normal 5 2 4 6 3 5" xfId="15370" xr:uid="{95D43450-D672-4FDF-A2EE-57C8EBE4EF15}"/>
    <cellStyle name="Normal 5 2 4 6 4" xfId="20453" xr:uid="{1A96D986-AB92-410B-A60B-FC503EC72704}"/>
    <cellStyle name="Normal 5 2 4 6 5" xfId="28900" xr:uid="{0C37CEA7-2DFD-485C-A55A-D32CCB199D8D}"/>
    <cellStyle name="Normal 5 2 4 6 6" xfId="37347" xr:uid="{CE95DBE2-77F7-4443-994E-B577D7F47298}"/>
    <cellStyle name="Normal 5 2 4 6 7" xfId="11153" xr:uid="{774549D3-B19F-41A1-8396-683CB244E4FC}"/>
    <cellStyle name="Normal 5 2 4 7" xfId="2151" xr:uid="{00000000-0005-0000-0000-00001B190000}"/>
    <cellStyle name="Normal 5 2 4 7 2" xfId="4380" xr:uid="{00000000-0005-0000-0000-00001C190000}"/>
    <cellStyle name="Normal 5 2 4 7 2 2" xfId="8602" xr:uid="{00000000-0005-0000-0000-00001D190000}"/>
    <cellStyle name="Normal 5 2 4 7 2 2 2" xfId="27228" xr:uid="{6F2B1722-B93C-4EA3-99C7-5D240AEBC6E8}"/>
    <cellStyle name="Normal 5 2 4 7 2 2 3" xfId="35675" xr:uid="{6796ADD9-F3BC-4C21-B5B1-4020A0D193DE}"/>
    <cellStyle name="Normal 5 2 4 7 2 2 4" xfId="44122" xr:uid="{5E54F189-3F99-4C06-83F1-7D898AC13A5E}"/>
    <cellStyle name="Normal 5 2 4 7 2 2 5" xfId="17928" xr:uid="{937B7973-67D4-4727-AB2F-1A5DA1B0792D}"/>
    <cellStyle name="Normal 5 2 4 7 2 3" xfId="23011" xr:uid="{26CF45D1-BDC9-4FA9-A43F-B5D1F1BE3031}"/>
    <cellStyle name="Normal 5 2 4 7 2 4" xfId="31458" xr:uid="{5979A258-4369-4D4D-99E3-A20BA566FA5D}"/>
    <cellStyle name="Normal 5 2 4 7 2 5" xfId="39905" xr:uid="{A46F8DF6-77BD-4325-A854-7A2D17761B83}"/>
    <cellStyle name="Normal 5 2 4 7 2 6" xfId="13711" xr:uid="{B162B994-7AE2-4993-AA19-13FC5F7B45CE}"/>
    <cellStyle name="Normal 5 2 4 7 3" xfId="6457" xr:uid="{00000000-0005-0000-0000-00001E190000}"/>
    <cellStyle name="Normal 5 2 4 7 3 2" xfId="25083" xr:uid="{5DFC729E-70EC-4258-8B5F-D3F2492DE765}"/>
    <cellStyle name="Normal 5 2 4 7 3 3" xfId="33530" xr:uid="{FE47CABF-5561-4BAF-87F1-4D0259A6AB48}"/>
    <cellStyle name="Normal 5 2 4 7 3 4" xfId="41977" xr:uid="{B2D18F66-676B-4E2D-B7F6-3292E9A14BF0}"/>
    <cellStyle name="Normal 5 2 4 7 3 5" xfId="15783" xr:uid="{87E040FE-D5E4-450E-9FCF-95A1F760295D}"/>
    <cellStyle name="Normal 5 2 4 7 4" xfId="20866" xr:uid="{23CF4EE8-2DE4-4B1C-9083-5217A0A12804}"/>
    <cellStyle name="Normal 5 2 4 7 5" xfId="29313" xr:uid="{5D83EA3F-D4D9-4458-A365-4CB0E7CEA268}"/>
    <cellStyle name="Normal 5 2 4 7 6" xfId="37760" xr:uid="{FD98D133-2BCE-43E0-B686-C98702935DAB}"/>
    <cellStyle name="Normal 5 2 4 7 7" xfId="11566" xr:uid="{2FC86BEA-84A4-46A8-A128-783BAE37002E}"/>
    <cellStyle name="Normal 5 2 4 8" xfId="2587" xr:uid="{00000000-0005-0000-0000-00001F190000}"/>
    <cellStyle name="Normal 5 2 4 8 2" xfId="6870" xr:uid="{00000000-0005-0000-0000-000020190000}"/>
    <cellStyle name="Normal 5 2 4 8 2 2" xfId="25496" xr:uid="{F71788F8-EFAB-4626-8C03-1BED5D213814}"/>
    <cellStyle name="Normal 5 2 4 8 2 3" xfId="33943" xr:uid="{F61E49DA-8D2F-47A2-964E-EFA91B1B1148}"/>
    <cellStyle name="Normal 5 2 4 8 2 4" xfId="42390" xr:uid="{A092ED98-85EB-4EF3-B1E1-0793A34ACE05}"/>
    <cellStyle name="Normal 5 2 4 8 2 5" xfId="16196" xr:uid="{C93A2DFD-25EF-4A1E-B2A3-2896ED570139}"/>
    <cellStyle name="Normal 5 2 4 8 3" xfId="21279" xr:uid="{D14429B0-F040-494E-AFE0-19DB7D1E7BB1}"/>
    <cellStyle name="Normal 5 2 4 8 4" xfId="29726" xr:uid="{F65C8FDD-63EF-422F-B787-35A9787B524A}"/>
    <cellStyle name="Normal 5 2 4 8 5" xfId="38173" xr:uid="{9C7D94B9-BAC2-47C2-BFA0-0902CC9597CB}"/>
    <cellStyle name="Normal 5 2 4 8 6" xfId="11979" xr:uid="{796D4D19-A225-4B71-AE42-2233C364A048}"/>
    <cellStyle name="Normal 5 2 4 9" xfId="4805" xr:uid="{00000000-0005-0000-0000-000021190000}"/>
    <cellStyle name="Normal 5 2 4 9 2" xfId="23431" xr:uid="{27965B8F-0620-45AA-BE64-57FD919D92C1}"/>
    <cellStyle name="Normal 5 2 4 9 3" xfId="31878" xr:uid="{B899C220-D388-415A-919A-6DB1B906BC2A}"/>
    <cellStyle name="Normal 5 2 4 9 4" xfId="40325" xr:uid="{42A3A3C2-E4FB-4582-BE67-BB6691DCB809}"/>
    <cellStyle name="Normal 5 2 4 9 5" xfId="14131" xr:uid="{67093DA6-F7D9-41D3-B823-6E9F76AFE737}"/>
    <cellStyle name="Normal 5 2 5" xfId="436" xr:uid="{00000000-0005-0000-0000-000022190000}"/>
    <cellStyle name="Normal 5 2 5 10" xfId="19218" xr:uid="{68E199F0-0551-45AF-B82B-E047529B7885}"/>
    <cellStyle name="Normal 5 2 5 11" xfId="27665" xr:uid="{3441E76A-46A0-46AC-A49D-074DCF4F01E6}"/>
    <cellStyle name="Normal 5 2 5 12" xfId="36112" xr:uid="{14EB27D8-4650-4D03-84B8-1B30E6F11216}"/>
    <cellStyle name="Normal 5 2 5 13" xfId="9918" xr:uid="{13C43FBB-A956-4197-A53F-203FDD073CF8}"/>
    <cellStyle name="Normal 5 2 5 2" xfId="437" xr:uid="{00000000-0005-0000-0000-000023190000}"/>
    <cellStyle name="Normal 5 2 5 2 10" xfId="27666" xr:uid="{BC5CB9B3-E309-4C84-B792-223D5F26C7ED}"/>
    <cellStyle name="Normal 5 2 5 2 11" xfId="36113" xr:uid="{15933B19-5525-4B8B-8A1F-77A51C851DBB}"/>
    <cellStyle name="Normal 5 2 5 2 12" xfId="9919" xr:uid="{28CDFB23-AC3D-4669-BEF3-0081AEBDE2A1}"/>
    <cellStyle name="Normal 5 2 5 2 2" xfId="911" xr:uid="{00000000-0005-0000-0000-000024190000}"/>
    <cellStyle name="Normal 5 2 5 2 2 2" xfId="3146" xr:uid="{00000000-0005-0000-0000-000025190000}"/>
    <cellStyle name="Normal 5 2 5 2 2 2 2" xfId="7368" xr:uid="{00000000-0005-0000-0000-000026190000}"/>
    <cellStyle name="Normal 5 2 5 2 2 2 2 2" xfId="25994" xr:uid="{CE5D1FA2-454D-4D8E-BD80-D045EE947838}"/>
    <cellStyle name="Normal 5 2 5 2 2 2 2 3" xfId="34441" xr:uid="{A2B16D18-A009-42B2-B222-2087192623F1}"/>
    <cellStyle name="Normal 5 2 5 2 2 2 2 4" xfId="42888" xr:uid="{0C10B8E3-FA70-43F9-8030-2D5B66C4266C}"/>
    <cellStyle name="Normal 5 2 5 2 2 2 2 5" xfId="16694" xr:uid="{F6B10B37-F98C-4A10-880D-A0A6BDCE86C1}"/>
    <cellStyle name="Normal 5 2 5 2 2 2 3" xfId="21777" xr:uid="{5FE3A2FC-20FC-4077-9EC7-CC40AB7AA605}"/>
    <cellStyle name="Normal 5 2 5 2 2 2 4" xfId="30224" xr:uid="{A8795F97-A080-4120-A456-9915B58D7829}"/>
    <cellStyle name="Normal 5 2 5 2 2 2 5" xfId="38671" xr:uid="{D0967922-6B01-4937-B5D2-63D5B9F16AC2}"/>
    <cellStyle name="Normal 5 2 5 2 2 2 6" xfId="12477" xr:uid="{A09B32C3-7C69-44DD-95D9-418D67BBF240}"/>
    <cellStyle name="Normal 5 2 5 2 2 3" xfId="5223" xr:uid="{00000000-0005-0000-0000-000027190000}"/>
    <cellStyle name="Normal 5 2 5 2 2 3 2" xfId="23849" xr:uid="{D3D2E552-B6B1-499E-A731-27EFAC927A01}"/>
    <cellStyle name="Normal 5 2 5 2 2 3 3" xfId="32296" xr:uid="{6EE246FB-0993-41C8-89AF-6A63C4A15991}"/>
    <cellStyle name="Normal 5 2 5 2 2 3 4" xfId="40743" xr:uid="{7C8717F5-7811-4F9E-A9FF-5AB83F0116EE}"/>
    <cellStyle name="Normal 5 2 5 2 2 3 5" xfId="14549" xr:uid="{22CD5BD6-7339-4907-9712-AB5F325D8A9C}"/>
    <cellStyle name="Normal 5 2 5 2 2 4" xfId="9479" xr:uid="{0DDFFFD4-5D62-4038-B6D4-9E9BD7CBA380}"/>
    <cellStyle name="Normal 5 2 5 2 2 4 2" xfId="18795" xr:uid="{FE3FCED1-0EDA-49D3-B09F-83423200DD41}"/>
    <cellStyle name="Normal 5 2 5 2 2 5" xfId="19632" xr:uid="{7BA3879B-DCA1-4F0C-BC71-76C24E0A36BA}"/>
    <cellStyle name="Normal 5 2 5 2 2 6" xfId="28079" xr:uid="{6E0FE450-7B31-418D-8743-BD3870546399}"/>
    <cellStyle name="Normal 5 2 5 2 2 7" xfId="36526" xr:uid="{9B925573-BAB0-45DB-8AFB-89EFC99045D2}"/>
    <cellStyle name="Normal 5 2 5 2 2 8" xfId="10332" xr:uid="{206F6748-2A67-401C-9E00-BBF899E2FCE8}"/>
    <cellStyle name="Normal 5 2 5 2 3" xfId="1329" xr:uid="{00000000-0005-0000-0000-000028190000}"/>
    <cellStyle name="Normal 5 2 5 2 3 2" xfId="3559" xr:uid="{00000000-0005-0000-0000-000029190000}"/>
    <cellStyle name="Normal 5 2 5 2 3 2 2" xfId="7781" xr:uid="{00000000-0005-0000-0000-00002A190000}"/>
    <cellStyle name="Normal 5 2 5 2 3 2 2 2" xfId="26407" xr:uid="{A71E7213-F1F5-4974-A9B9-408546D24ACD}"/>
    <cellStyle name="Normal 5 2 5 2 3 2 2 3" xfId="34854" xr:uid="{1C09DE8D-93BE-4714-AD6D-BFF5E8CB9634}"/>
    <cellStyle name="Normal 5 2 5 2 3 2 2 4" xfId="43301" xr:uid="{940CBA8A-1AB6-4437-AFB3-B06B29CFCA2C}"/>
    <cellStyle name="Normal 5 2 5 2 3 2 2 5" xfId="17107" xr:uid="{A33E1C15-7C94-4CBB-8B07-3DDFD2C1EB6A}"/>
    <cellStyle name="Normal 5 2 5 2 3 2 3" xfId="22190" xr:uid="{49A5E771-EA67-4DB9-97E1-98739C226FA0}"/>
    <cellStyle name="Normal 5 2 5 2 3 2 4" xfId="30637" xr:uid="{9E296BFF-82E3-4862-B5AB-6466765C0D4D}"/>
    <cellStyle name="Normal 5 2 5 2 3 2 5" xfId="39084" xr:uid="{24BE09F4-0641-4688-A7B5-F3482370AD91}"/>
    <cellStyle name="Normal 5 2 5 2 3 2 6" xfId="12890" xr:uid="{4AD17545-71FC-4AD0-B832-BFC0DDD829CE}"/>
    <cellStyle name="Normal 5 2 5 2 3 3" xfId="5636" xr:uid="{00000000-0005-0000-0000-00002B190000}"/>
    <cellStyle name="Normal 5 2 5 2 3 3 2" xfId="24262" xr:uid="{7D5B3F30-822A-44A0-BB20-56575F0A432B}"/>
    <cellStyle name="Normal 5 2 5 2 3 3 3" xfId="32709" xr:uid="{899724A1-FE89-489A-A9AE-B7F8F2092C1E}"/>
    <cellStyle name="Normal 5 2 5 2 3 3 4" xfId="41156" xr:uid="{B7AD9D65-E96E-4409-9267-B218101A012B}"/>
    <cellStyle name="Normal 5 2 5 2 3 3 5" xfId="14962" xr:uid="{2686D28F-3C3E-409D-9E02-40F0127810D2}"/>
    <cellStyle name="Normal 5 2 5 2 3 4" xfId="20045" xr:uid="{68211E8C-D887-4B51-98A2-76592B00347C}"/>
    <cellStyle name="Normal 5 2 5 2 3 5" xfId="28492" xr:uid="{3BDB7358-22EF-4F7B-B7CC-AD3B3A9ED303}"/>
    <cellStyle name="Normal 5 2 5 2 3 6" xfId="36939" xr:uid="{596DCB2D-BC2C-458D-A306-690E3B30C7FC}"/>
    <cellStyle name="Normal 5 2 5 2 3 7" xfId="10745" xr:uid="{2978B927-40FD-46B8-B108-6A0A68512605}"/>
    <cellStyle name="Normal 5 2 5 2 4" xfId="1742" xr:uid="{00000000-0005-0000-0000-00002C190000}"/>
    <cellStyle name="Normal 5 2 5 2 4 2" xfId="3972" xr:uid="{00000000-0005-0000-0000-00002D190000}"/>
    <cellStyle name="Normal 5 2 5 2 4 2 2" xfId="8194" xr:uid="{00000000-0005-0000-0000-00002E190000}"/>
    <cellStyle name="Normal 5 2 5 2 4 2 2 2" xfId="26820" xr:uid="{E9587C1B-5F7C-4FF1-A15C-82CEAECE8330}"/>
    <cellStyle name="Normal 5 2 5 2 4 2 2 3" xfId="35267" xr:uid="{DBBCE2A6-B7AC-4B77-8B02-F061C1A8F770}"/>
    <cellStyle name="Normal 5 2 5 2 4 2 2 4" xfId="43714" xr:uid="{FC236038-696A-4CD9-ABAD-72CF67CD0443}"/>
    <cellStyle name="Normal 5 2 5 2 4 2 2 5" xfId="17520" xr:uid="{70430E9A-EE18-4887-9E61-3A5B5C65E4F8}"/>
    <cellStyle name="Normal 5 2 5 2 4 2 3" xfId="22603" xr:uid="{71AC53ED-FD61-46CB-9D20-BC58F310A798}"/>
    <cellStyle name="Normal 5 2 5 2 4 2 4" xfId="31050" xr:uid="{862092DA-32AF-4D91-98CE-0ECB829F3110}"/>
    <cellStyle name="Normal 5 2 5 2 4 2 5" xfId="39497" xr:uid="{49031742-5ED2-4595-A93A-26F2EBD0BFFB}"/>
    <cellStyle name="Normal 5 2 5 2 4 2 6" xfId="13303" xr:uid="{8A7E2393-7605-42D9-AC47-EE93C5074FAD}"/>
    <cellStyle name="Normal 5 2 5 2 4 3" xfId="6049" xr:uid="{00000000-0005-0000-0000-00002F190000}"/>
    <cellStyle name="Normal 5 2 5 2 4 3 2" xfId="24675" xr:uid="{31A72B54-7A29-4C7D-8ABD-04CA8AC414B5}"/>
    <cellStyle name="Normal 5 2 5 2 4 3 3" xfId="33122" xr:uid="{B0E624C5-9CFA-4846-9034-E42007EBF637}"/>
    <cellStyle name="Normal 5 2 5 2 4 3 4" xfId="41569" xr:uid="{CB0A1394-C970-4A87-8047-ACFB7A3FEF86}"/>
    <cellStyle name="Normal 5 2 5 2 4 3 5" xfId="15375" xr:uid="{E7A54EF0-2C13-471B-8A18-00297E2AD520}"/>
    <cellStyle name="Normal 5 2 5 2 4 4" xfId="20458" xr:uid="{014A642F-019F-4983-81EF-616BA3EE213E}"/>
    <cellStyle name="Normal 5 2 5 2 4 5" xfId="28905" xr:uid="{E9DF0905-4056-4249-A48C-5490EBB9235E}"/>
    <cellStyle name="Normal 5 2 5 2 4 6" xfId="37352" xr:uid="{45E3173B-205E-40AA-A32D-0AC4E51D053B}"/>
    <cellStyle name="Normal 5 2 5 2 4 7" xfId="11158" xr:uid="{29276F85-CD92-4871-AFA9-D109F91F4039}"/>
    <cellStyle name="Normal 5 2 5 2 5" xfId="2156" xr:uid="{00000000-0005-0000-0000-000030190000}"/>
    <cellStyle name="Normal 5 2 5 2 5 2" xfId="4385" xr:uid="{00000000-0005-0000-0000-000031190000}"/>
    <cellStyle name="Normal 5 2 5 2 5 2 2" xfId="8607" xr:uid="{00000000-0005-0000-0000-000032190000}"/>
    <cellStyle name="Normal 5 2 5 2 5 2 2 2" xfId="27233" xr:uid="{CD702312-0110-46FE-95BF-6D5976B2EBD8}"/>
    <cellStyle name="Normal 5 2 5 2 5 2 2 3" xfId="35680" xr:uid="{E9F5B525-F5D1-4E44-B29C-0DBA0A19604E}"/>
    <cellStyle name="Normal 5 2 5 2 5 2 2 4" xfId="44127" xr:uid="{29E36C42-D7B9-43D6-9E9E-61B8D2B1547C}"/>
    <cellStyle name="Normal 5 2 5 2 5 2 2 5" xfId="17933" xr:uid="{19B39CCC-2F46-4C0C-BDF2-C004D388CF48}"/>
    <cellStyle name="Normal 5 2 5 2 5 2 3" xfId="23016" xr:uid="{158B6498-0C59-4202-AFEB-BA95743C76F5}"/>
    <cellStyle name="Normal 5 2 5 2 5 2 4" xfId="31463" xr:uid="{FF6E1F61-D31F-47EC-BB7B-20A11DF97806}"/>
    <cellStyle name="Normal 5 2 5 2 5 2 5" xfId="39910" xr:uid="{B3788185-9097-422A-9165-ADC1F1FC7C45}"/>
    <cellStyle name="Normal 5 2 5 2 5 2 6" xfId="13716" xr:uid="{070617D2-C2A7-4134-AABB-CFAD439DBB5B}"/>
    <cellStyle name="Normal 5 2 5 2 5 3" xfId="6462" xr:uid="{00000000-0005-0000-0000-000033190000}"/>
    <cellStyle name="Normal 5 2 5 2 5 3 2" xfId="25088" xr:uid="{ACF5D186-42A7-48E8-81BC-E72F7C3401F4}"/>
    <cellStyle name="Normal 5 2 5 2 5 3 3" xfId="33535" xr:uid="{6CFCB078-A1E1-4060-9F07-BA2110405068}"/>
    <cellStyle name="Normal 5 2 5 2 5 3 4" xfId="41982" xr:uid="{9103772D-A5E6-4EB3-AC11-B2993C6186BD}"/>
    <cellStyle name="Normal 5 2 5 2 5 3 5" xfId="15788" xr:uid="{42B4CE40-0DA3-44A8-8C86-AED9848CAC37}"/>
    <cellStyle name="Normal 5 2 5 2 5 4" xfId="20871" xr:uid="{1F1A41B4-28D2-412E-8807-BC193A9F9F15}"/>
    <cellStyle name="Normal 5 2 5 2 5 5" xfId="29318" xr:uid="{D1D29D09-B3E7-432D-8EDE-9A20D817A8A8}"/>
    <cellStyle name="Normal 5 2 5 2 5 6" xfId="37765" xr:uid="{1A94D728-B78E-46FA-BBB5-DF92E030B94A}"/>
    <cellStyle name="Normal 5 2 5 2 5 7" xfId="11571" xr:uid="{A35831BF-17B9-4F27-873A-63606F0CEC74}"/>
    <cellStyle name="Normal 5 2 5 2 6" xfId="2592" xr:uid="{00000000-0005-0000-0000-000034190000}"/>
    <cellStyle name="Normal 5 2 5 2 6 2" xfId="6875" xr:uid="{00000000-0005-0000-0000-000035190000}"/>
    <cellStyle name="Normal 5 2 5 2 6 2 2" xfId="25501" xr:uid="{37561785-3CF5-441B-97B1-F09A1DC2C84A}"/>
    <cellStyle name="Normal 5 2 5 2 6 2 3" xfId="33948" xr:uid="{079D17DF-342B-4887-91F6-9FE9B0AB1A4D}"/>
    <cellStyle name="Normal 5 2 5 2 6 2 4" xfId="42395" xr:uid="{FD991B18-B8AC-49AA-BC3C-CEA06DF2BDAF}"/>
    <cellStyle name="Normal 5 2 5 2 6 2 5" xfId="16201" xr:uid="{6B20D262-AE5A-4406-BDA3-BC2B54C8549C}"/>
    <cellStyle name="Normal 5 2 5 2 6 3" xfId="21284" xr:uid="{0C85A30B-C82D-48FF-88A8-BFC7082B7F6A}"/>
    <cellStyle name="Normal 5 2 5 2 6 4" xfId="29731" xr:uid="{BB6F0725-D75C-4F47-AC85-150BDBF80422}"/>
    <cellStyle name="Normal 5 2 5 2 6 5" xfId="38178" xr:uid="{6DE7D295-2801-4E74-BB5E-355814B412D2}"/>
    <cellStyle name="Normal 5 2 5 2 6 6" xfId="11984" xr:uid="{B510FD3A-F897-4C21-A295-A9B27B174A60}"/>
    <cellStyle name="Normal 5 2 5 2 7" xfId="4810" xr:uid="{00000000-0005-0000-0000-000036190000}"/>
    <cellStyle name="Normal 5 2 5 2 7 2" xfId="23436" xr:uid="{297BB9B6-9AD2-4405-BC17-AAC1CC5A969E}"/>
    <cellStyle name="Normal 5 2 5 2 7 3" xfId="31883" xr:uid="{B9D00B48-1A44-4B59-8303-F1565D09F99B}"/>
    <cellStyle name="Normal 5 2 5 2 7 4" xfId="40330" xr:uid="{F01A45F2-2F70-4B4F-A557-4FE45F122373}"/>
    <cellStyle name="Normal 5 2 5 2 7 5" xfId="14136" xr:uid="{A319A435-81DB-48DC-999B-DDCCAF5FBE9D}"/>
    <cellStyle name="Normal 5 2 5 2 8" xfId="9054" xr:uid="{844F6476-DDB9-4C38-A2B2-83AB0DCF1773}"/>
    <cellStyle name="Normal 5 2 5 2 8 2" xfId="18378" xr:uid="{1C2D4024-6EB3-47B6-B456-738D6288321E}"/>
    <cellStyle name="Normal 5 2 5 2 9" xfId="19219" xr:uid="{D70B2EEA-AA65-4AC0-87BE-D287EDAA80A7}"/>
    <cellStyle name="Normal 5 2 5 3" xfId="910" xr:uid="{00000000-0005-0000-0000-000037190000}"/>
    <cellStyle name="Normal 5 2 5 3 2" xfId="3145" xr:uid="{00000000-0005-0000-0000-000038190000}"/>
    <cellStyle name="Normal 5 2 5 3 2 2" xfId="7367" xr:uid="{00000000-0005-0000-0000-000039190000}"/>
    <cellStyle name="Normal 5 2 5 3 2 2 2" xfId="25993" xr:uid="{C9742797-5446-4508-B706-E71CBF8902CE}"/>
    <cellStyle name="Normal 5 2 5 3 2 2 3" xfId="34440" xr:uid="{9E34028A-6538-4293-88FF-4D64E53F7310}"/>
    <cellStyle name="Normal 5 2 5 3 2 2 4" xfId="42887" xr:uid="{9696D2F3-6C46-4B0E-8447-930E3C462554}"/>
    <cellStyle name="Normal 5 2 5 3 2 2 5" xfId="16693" xr:uid="{D3F1AE77-D934-43BE-9CCF-631E21279482}"/>
    <cellStyle name="Normal 5 2 5 3 2 3" xfId="21776" xr:uid="{F602757B-A2DF-4FCA-A945-71B1B0CB7191}"/>
    <cellStyle name="Normal 5 2 5 3 2 4" xfId="30223" xr:uid="{36B5FDB3-DEE3-4CB5-B3F7-5F84BEA4F0EB}"/>
    <cellStyle name="Normal 5 2 5 3 2 5" xfId="38670" xr:uid="{553B8300-FC35-40E2-962A-4C6285A54EF0}"/>
    <cellStyle name="Normal 5 2 5 3 2 6" xfId="12476" xr:uid="{1369B1C5-0E7A-4C1B-A191-2ADE4915972B}"/>
    <cellStyle name="Normal 5 2 5 3 3" xfId="5222" xr:uid="{00000000-0005-0000-0000-00003A190000}"/>
    <cellStyle name="Normal 5 2 5 3 3 2" xfId="23848" xr:uid="{E0566D02-0A06-4D18-B62B-A213F2369A8A}"/>
    <cellStyle name="Normal 5 2 5 3 3 3" xfId="32295" xr:uid="{146D0689-8A8B-466D-89F8-8932D91FB661}"/>
    <cellStyle name="Normal 5 2 5 3 3 4" xfId="40742" xr:uid="{F4B9403B-8EA0-4CFC-9509-15208B33599E}"/>
    <cellStyle name="Normal 5 2 5 3 3 5" xfId="14548" xr:uid="{4F2D0086-85D0-4C2B-A7EE-1DC3DA07E8E0}"/>
    <cellStyle name="Normal 5 2 5 3 4" xfId="9272" xr:uid="{8865498C-CC61-4C5F-A1F4-57A1D301E1CE}"/>
    <cellStyle name="Normal 5 2 5 3 4 2" xfId="18588" xr:uid="{1148CAC9-6025-447F-94FE-CCEC657F7922}"/>
    <cellStyle name="Normal 5 2 5 3 5" xfId="19631" xr:uid="{88F76432-A0F9-4366-8362-60B2E6EC9646}"/>
    <cellStyle name="Normal 5 2 5 3 6" xfId="28078" xr:uid="{7EBF1C20-E1EC-4BCA-AFE5-B59EAA0A578A}"/>
    <cellStyle name="Normal 5 2 5 3 7" xfId="36525" xr:uid="{50DD48CA-E1FD-49B9-B639-4A1B8ADBB8A8}"/>
    <cellStyle name="Normal 5 2 5 3 8" xfId="10331" xr:uid="{1A974FB4-E19E-43B4-BA53-8BC9CA314306}"/>
    <cellStyle name="Normal 5 2 5 4" xfId="1328" xr:uid="{00000000-0005-0000-0000-00003B190000}"/>
    <cellStyle name="Normal 5 2 5 4 2" xfId="3558" xr:uid="{00000000-0005-0000-0000-00003C190000}"/>
    <cellStyle name="Normal 5 2 5 4 2 2" xfId="7780" xr:uid="{00000000-0005-0000-0000-00003D190000}"/>
    <cellStyle name="Normal 5 2 5 4 2 2 2" xfId="26406" xr:uid="{59D7CE67-713B-4F81-A86C-79488E4018B0}"/>
    <cellStyle name="Normal 5 2 5 4 2 2 3" xfId="34853" xr:uid="{D2232D5C-678A-40CF-864D-58D5222684A1}"/>
    <cellStyle name="Normal 5 2 5 4 2 2 4" xfId="43300" xr:uid="{5DCCE343-B025-4EEB-903D-28A6B8E1CBB9}"/>
    <cellStyle name="Normal 5 2 5 4 2 2 5" xfId="17106" xr:uid="{B1097ED4-9EBA-4E96-BB26-D471AE1D8FFB}"/>
    <cellStyle name="Normal 5 2 5 4 2 3" xfId="22189" xr:uid="{B5F43246-C681-4C9E-A7BA-76970BE706BD}"/>
    <cellStyle name="Normal 5 2 5 4 2 4" xfId="30636" xr:uid="{D5816D4A-57C9-4521-BB69-5F581AE48F5F}"/>
    <cellStyle name="Normal 5 2 5 4 2 5" xfId="39083" xr:uid="{7CDA218C-6686-4AA1-9C2A-B080CDCD38E8}"/>
    <cellStyle name="Normal 5 2 5 4 2 6" xfId="12889" xr:uid="{0ED91C64-2565-4053-A1EA-965AB133C4C3}"/>
    <cellStyle name="Normal 5 2 5 4 3" xfId="5635" xr:uid="{00000000-0005-0000-0000-00003E190000}"/>
    <cellStyle name="Normal 5 2 5 4 3 2" xfId="24261" xr:uid="{9D4E64F7-435D-446A-8BEE-F84DC389FB87}"/>
    <cellStyle name="Normal 5 2 5 4 3 3" xfId="32708" xr:uid="{108554B9-9A12-4652-86F8-887C2AF46D0C}"/>
    <cellStyle name="Normal 5 2 5 4 3 4" xfId="41155" xr:uid="{2BA5DC47-5BC0-499E-AF61-5D1F6EC42EA0}"/>
    <cellStyle name="Normal 5 2 5 4 3 5" xfId="14961" xr:uid="{334C4886-3DFB-4D61-A875-DF2D0ED1E01D}"/>
    <cellStyle name="Normal 5 2 5 4 4" xfId="20044" xr:uid="{20432225-FC87-427F-825A-8F26A0205792}"/>
    <cellStyle name="Normal 5 2 5 4 5" xfId="28491" xr:uid="{BF92A452-8E14-42A8-BDF7-02713B3EF87E}"/>
    <cellStyle name="Normal 5 2 5 4 6" xfId="36938" xr:uid="{6F5B9D2D-B88B-469E-A375-7AA83AA57E8C}"/>
    <cellStyle name="Normal 5 2 5 4 7" xfId="10744" xr:uid="{22949286-08A4-4384-8A7E-572A59A0F938}"/>
    <cellStyle name="Normal 5 2 5 5" xfId="1741" xr:uid="{00000000-0005-0000-0000-00003F190000}"/>
    <cellStyle name="Normal 5 2 5 5 2" xfId="3971" xr:uid="{00000000-0005-0000-0000-000040190000}"/>
    <cellStyle name="Normal 5 2 5 5 2 2" xfId="8193" xr:uid="{00000000-0005-0000-0000-000041190000}"/>
    <cellStyle name="Normal 5 2 5 5 2 2 2" xfId="26819" xr:uid="{B84E1A7B-4BAC-44F7-BF36-D8595F0B061D}"/>
    <cellStyle name="Normal 5 2 5 5 2 2 3" xfId="35266" xr:uid="{55F0CAB2-BF5E-4AA8-B391-A039F47429EB}"/>
    <cellStyle name="Normal 5 2 5 5 2 2 4" xfId="43713" xr:uid="{E0482F44-602F-444E-8762-9027895FF2FF}"/>
    <cellStyle name="Normal 5 2 5 5 2 2 5" xfId="17519" xr:uid="{FD5BA940-FDC2-44AB-9A91-8EE801B503A3}"/>
    <cellStyle name="Normal 5 2 5 5 2 3" xfId="22602" xr:uid="{99E4AF79-4DAE-4229-8062-A64F933BF757}"/>
    <cellStyle name="Normal 5 2 5 5 2 4" xfId="31049" xr:uid="{FAB85AA9-0EBB-467C-B740-C07D5B7A71C7}"/>
    <cellStyle name="Normal 5 2 5 5 2 5" xfId="39496" xr:uid="{05D648AC-22B9-4AC9-9DA5-4FAC8301E61D}"/>
    <cellStyle name="Normal 5 2 5 5 2 6" xfId="13302" xr:uid="{18995B19-305B-4A50-9471-8FECD43FDB97}"/>
    <cellStyle name="Normal 5 2 5 5 3" xfId="6048" xr:uid="{00000000-0005-0000-0000-000042190000}"/>
    <cellStyle name="Normal 5 2 5 5 3 2" xfId="24674" xr:uid="{F6D7FFEB-BFCA-42BA-B8B1-265AA82A204E}"/>
    <cellStyle name="Normal 5 2 5 5 3 3" xfId="33121" xr:uid="{99DAF8D8-9977-4B03-AE98-227E0BC6ED6B}"/>
    <cellStyle name="Normal 5 2 5 5 3 4" xfId="41568" xr:uid="{13438F05-B3EA-4C42-B2E5-468C48869652}"/>
    <cellStyle name="Normal 5 2 5 5 3 5" xfId="15374" xr:uid="{A1D7D394-120C-4609-B1D6-B1B678A75541}"/>
    <cellStyle name="Normal 5 2 5 5 4" xfId="20457" xr:uid="{63D37B75-C5A9-4593-B5AE-70D11E3E58F2}"/>
    <cellStyle name="Normal 5 2 5 5 5" xfId="28904" xr:uid="{EEF5A087-75E2-4C8B-A812-EDAFFA9E8AE8}"/>
    <cellStyle name="Normal 5 2 5 5 6" xfId="37351" xr:uid="{949E6B6F-3501-464D-B88C-E8440B5D5513}"/>
    <cellStyle name="Normal 5 2 5 5 7" xfId="11157" xr:uid="{C2DDC66E-D189-49A7-B76D-5194129A5AA7}"/>
    <cellStyle name="Normal 5 2 5 6" xfId="2155" xr:uid="{00000000-0005-0000-0000-000043190000}"/>
    <cellStyle name="Normal 5 2 5 6 2" xfId="4384" xr:uid="{00000000-0005-0000-0000-000044190000}"/>
    <cellStyle name="Normal 5 2 5 6 2 2" xfId="8606" xr:uid="{00000000-0005-0000-0000-000045190000}"/>
    <cellStyle name="Normal 5 2 5 6 2 2 2" xfId="27232" xr:uid="{D47A8A12-7EB4-42C3-90A8-BF98E5E34773}"/>
    <cellStyle name="Normal 5 2 5 6 2 2 3" xfId="35679" xr:uid="{2C935462-A8AB-42CD-87DC-CAD8B95AB064}"/>
    <cellStyle name="Normal 5 2 5 6 2 2 4" xfId="44126" xr:uid="{8A7743D0-8501-477F-AB20-F96E1777ED1E}"/>
    <cellStyle name="Normal 5 2 5 6 2 2 5" xfId="17932" xr:uid="{AB5812DA-ECFA-44D8-9714-19D9FAE3D1A2}"/>
    <cellStyle name="Normal 5 2 5 6 2 3" xfId="23015" xr:uid="{6AB798A7-8B74-4720-84F7-0E8BC4266DE2}"/>
    <cellStyle name="Normal 5 2 5 6 2 4" xfId="31462" xr:uid="{769050A5-BCB4-4491-92BC-DD8618D27B66}"/>
    <cellStyle name="Normal 5 2 5 6 2 5" xfId="39909" xr:uid="{5ACDEBAE-32D0-4A8B-A25A-3D458B2A26E7}"/>
    <cellStyle name="Normal 5 2 5 6 2 6" xfId="13715" xr:uid="{E2FBE8D3-6F35-4934-9D69-7D8EEF2B893A}"/>
    <cellStyle name="Normal 5 2 5 6 3" xfId="6461" xr:uid="{00000000-0005-0000-0000-000046190000}"/>
    <cellStyle name="Normal 5 2 5 6 3 2" xfId="25087" xr:uid="{1CB431E9-7FA9-42C9-8A7C-8083A49EAB98}"/>
    <cellStyle name="Normal 5 2 5 6 3 3" xfId="33534" xr:uid="{F6F396E3-7FCF-417F-A904-468C23FD5609}"/>
    <cellStyle name="Normal 5 2 5 6 3 4" xfId="41981" xr:uid="{A2264687-B539-4CAF-BEF2-430B4EE6335D}"/>
    <cellStyle name="Normal 5 2 5 6 3 5" xfId="15787" xr:uid="{62E507BD-FEA7-4993-A171-B0AE1B4C5AF6}"/>
    <cellStyle name="Normal 5 2 5 6 4" xfId="20870" xr:uid="{E7D5BE9B-F11E-4B23-8FC6-BE17957D9EF5}"/>
    <cellStyle name="Normal 5 2 5 6 5" xfId="29317" xr:uid="{2BC55E40-34C9-4D7D-9866-D76C92CFF535}"/>
    <cellStyle name="Normal 5 2 5 6 6" xfId="37764" xr:uid="{C26BD921-C9AB-42F6-9AD0-0CF8CB4F45ED}"/>
    <cellStyle name="Normal 5 2 5 6 7" xfId="11570" xr:uid="{AA5F24E0-702B-4BB2-B1AC-A098E3B394E8}"/>
    <cellStyle name="Normal 5 2 5 7" xfId="2591" xr:uid="{00000000-0005-0000-0000-000047190000}"/>
    <cellStyle name="Normal 5 2 5 7 2" xfId="6874" xr:uid="{00000000-0005-0000-0000-000048190000}"/>
    <cellStyle name="Normal 5 2 5 7 2 2" xfId="25500" xr:uid="{9BD5F6B7-9FB5-42F5-8DC1-899639F0A08A}"/>
    <cellStyle name="Normal 5 2 5 7 2 3" xfId="33947" xr:uid="{0EC41BDF-E485-4937-A3B1-BA8F9C6F5B2E}"/>
    <cellStyle name="Normal 5 2 5 7 2 4" xfId="42394" xr:uid="{FE8C5515-E433-4D06-90C4-0D855921C81D}"/>
    <cellStyle name="Normal 5 2 5 7 2 5" xfId="16200" xr:uid="{4F8E7297-8F9E-46BE-9305-9D1334CD2D10}"/>
    <cellStyle name="Normal 5 2 5 7 3" xfId="21283" xr:uid="{6E1E55B2-0BCB-4936-93EC-30B6B43AB67F}"/>
    <cellStyle name="Normal 5 2 5 7 4" xfId="29730" xr:uid="{FDF72E34-DCBE-4C65-B2C7-E8C0137526E6}"/>
    <cellStyle name="Normal 5 2 5 7 5" xfId="38177" xr:uid="{60DB83BD-3C91-41A4-9794-DB12F12AAC42}"/>
    <cellStyle name="Normal 5 2 5 7 6" xfId="11983" xr:uid="{F7523A1F-C47A-42EB-ABDC-403F6E81B3A4}"/>
    <cellStyle name="Normal 5 2 5 8" xfId="4809" xr:uid="{00000000-0005-0000-0000-000049190000}"/>
    <cellStyle name="Normal 5 2 5 8 2" xfId="23435" xr:uid="{7466166D-7C4F-4006-87D1-6D0144BEF941}"/>
    <cellStyle name="Normal 5 2 5 8 3" xfId="31882" xr:uid="{53EC6614-33FA-47CC-A9A1-BA87BF8818A8}"/>
    <cellStyle name="Normal 5 2 5 8 4" xfId="40329" xr:uid="{5F2BDC02-70A9-4A1E-9F59-4906B1456634}"/>
    <cellStyle name="Normal 5 2 5 8 5" xfId="14135" xr:uid="{67BE7851-0096-4363-A16F-D8B4A46F4109}"/>
    <cellStyle name="Normal 5 2 5 9" xfId="8847" xr:uid="{504334B5-BB84-4906-81A5-68746D711AC3}"/>
    <cellStyle name="Normal 5 2 5 9 2" xfId="18171" xr:uid="{5776FEF8-79CD-49D5-A386-D81BFF159CEC}"/>
    <cellStyle name="Normal 5 2 6" xfId="438" xr:uid="{00000000-0005-0000-0000-00004A190000}"/>
    <cellStyle name="Normal 5 2 6 10" xfId="27667" xr:uid="{20829BA6-FCBD-4E74-B501-98E493FF651C}"/>
    <cellStyle name="Normal 5 2 6 11" xfId="36114" xr:uid="{130BB041-1569-48E5-958A-FBED2B70B93E}"/>
    <cellStyle name="Normal 5 2 6 12" xfId="9920" xr:uid="{5B509989-538D-4047-986D-EC25E92B15D9}"/>
    <cellStyle name="Normal 5 2 6 2" xfId="912" xr:uid="{00000000-0005-0000-0000-00004B190000}"/>
    <cellStyle name="Normal 5 2 6 2 2" xfId="3147" xr:uid="{00000000-0005-0000-0000-00004C190000}"/>
    <cellStyle name="Normal 5 2 6 2 2 2" xfId="7369" xr:uid="{00000000-0005-0000-0000-00004D190000}"/>
    <cellStyle name="Normal 5 2 6 2 2 2 2" xfId="25995" xr:uid="{B9A61BC6-11F1-4705-949E-471164BB471E}"/>
    <cellStyle name="Normal 5 2 6 2 2 2 3" xfId="34442" xr:uid="{F44CF234-A691-43D3-95D2-E77F95E41F0B}"/>
    <cellStyle name="Normal 5 2 6 2 2 2 4" xfId="42889" xr:uid="{0F0925B6-8FCD-4A36-904E-08C9DC9CD7C6}"/>
    <cellStyle name="Normal 5 2 6 2 2 2 5" xfId="16695" xr:uid="{A014D86E-1A20-4E2A-8884-F3970B2B5095}"/>
    <cellStyle name="Normal 5 2 6 2 2 3" xfId="21778" xr:uid="{60222DE2-C4AF-4B0F-B0BD-C1297330C4EA}"/>
    <cellStyle name="Normal 5 2 6 2 2 4" xfId="30225" xr:uid="{195B55F5-A56E-487D-AC76-1DBE228DFEF9}"/>
    <cellStyle name="Normal 5 2 6 2 2 5" xfId="38672" xr:uid="{9AB2AD34-EEEC-41AE-BCB8-2508BF07E695}"/>
    <cellStyle name="Normal 5 2 6 2 2 6" xfId="12478" xr:uid="{836984FB-FEAF-40AB-BE3A-E3D92D56AD3D}"/>
    <cellStyle name="Normal 5 2 6 2 3" xfId="5224" xr:uid="{00000000-0005-0000-0000-00004E190000}"/>
    <cellStyle name="Normal 5 2 6 2 3 2" xfId="23850" xr:uid="{B4115CCB-18F4-4CCC-B99D-15474B058172}"/>
    <cellStyle name="Normal 5 2 6 2 3 3" xfId="32297" xr:uid="{6ED201C9-BE9B-4B8B-9034-831F07677F2E}"/>
    <cellStyle name="Normal 5 2 6 2 3 4" xfId="40744" xr:uid="{55AC8527-F1C5-4B17-ADAD-FB150B399BE0}"/>
    <cellStyle name="Normal 5 2 6 2 3 5" xfId="14550" xr:uid="{3E8D21AE-ACF5-420B-BF52-540753BF991E}"/>
    <cellStyle name="Normal 5 2 6 2 4" xfId="9388" xr:uid="{38BE55A5-085B-499D-8766-DF826B77D03C}"/>
    <cellStyle name="Normal 5 2 6 2 4 2" xfId="18704" xr:uid="{2BF50DF6-CBB7-47CB-A4EB-8B9E498B337E}"/>
    <cellStyle name="Normal 5 2 6 2 5" xfId="19633" xr:uid="{276E8BB3-76B7-48C4-943E-9F638F7C5A59}"/>
    <cellStyle name="Normal 5 2 6 2 6" xfId="28080" xr:uid="{B2E73955-A443-42DF-ADF6-9BD2D9F9C5CE}"/>
    <cellStyle name="Normal 5 2 6 2 7" xfId="36527" xr:uid="{F0403E5B-2E4F-41B3-B9DC-3A6D5BF7C8B0}"/>
    <cellStyle name="Normal 5 2 6 2 8" xfId="10333" xr:uid="{A9E2666C-160F-4A75-A4EA-F565701E939C}"/>
    <cellStyle name="Normal 5 2 6 3" xfId="1330" xr:uid="{00000000-0005-0000-0000-00004F190000}"/>
    <cellStyle name="Normal 5 2 6 3 2" xfId="3560" xr:uid="{00000000-0005-0000-0000-000050190000}"/>
    <cellStyle name="Normal 5 2 6 3 2 2" xfId="7782" xr:uid="{00000000-0005-0000-0000-000051190000}"/>
    <cellStyle name="Normal 5 2 6 3 2 2 2" xfId="26408" xr:uid="{65C01074-9EBF-4E03-A3F0-E7ED7B8D1663}"/>
    <cellStyle name="Normal 5 2 6 3 2 2 3" xfId="34855" xr:uid="{97EC7005-7C1D-431A-945F-D8E7A9760791}"/>
    <cellStyle name="Normal 5 2 6 3 2 2 4" xfId="43302" xr:uid="{3C68E7CB-3B41-4129-BA54-F3F55A1A385E}"/>
    <cellStyle name="Normal 5 2 6 3 2 2 5" xfId="17108" xr:uid="{5A47A562-0F2A-4953-AD70-5BEBEAACEC9E}"/>
    <cellStyle name="Normal 5 2 6 3 2 3" xfId="22191" xr:uid="{EAEBB78E-CBE6-4F18-8DAC-CD13C592F506}"/>
    <cellStyle name="Normal 5 2 6 3 2 4" xfId="30638" xr:uid="{CA17486F-5FE5-4C39-8C12-BE3B52246077}"/>
    <cellStyle name="Normal 5 2 6 3 2 5" xfId="39085" xr:uid="{2C043CE5-FA95-4137-A485-0E2841AB69C3}"/>
    <cellStyle name="Normal 5 2 6 3 2 6" xfId="12891" xr:uid="{9B279BB9-7B48-4B08-9AB9-4440D815A5E0}"/>
    <cellStyle name="Normal 5 2 6 3 3" xfId="5637" xr:uid="{00000000-0005-0000-0000-000052190000}"/>
    <cellStyle name="Normal 5 2 6 3 3 2" xfId="24263" xr:uid="{3DF36582-71CB-4AB1-A059-66BD8DFF586A}"/>
    <cellStyle name="Normal 5 2 6 3 3 3" xfId="32710" xr:uid="{A9969D05-09B9-4672-9083-30D0E7773A80}"/>
    <cellStyle name="Normal 5 2 6 3 3 4" xfId="41157" xr:uid="{04199302-99E1-418F-98D5-E754E8E2637B}"/>
    <cellStyle name="Normal 5 2 6 3 3 5" xfId="14963" xr:uid="{A752FFE3-5499-4B01-AA02-8C3009DE5F5F}"/>
    <cellStyle name="Normal 5 2 6 3 4" xfId="20046" xr:uid="{99DDBC33-430D-43E9-9BBF-5575FC31047E}"/>
    <cellStyle name="Normal 5 2 6 3 5" xfId="28493" xr:uid="{68BFA84B-8C27-41F5-B196-8E561D4A14DE}"/>
    <cellStyle name="Normal 5 2 6 3 6" xfId="36940" xr:uid="{B67CF53D-5550-4F34-8EB0-AD6632CC9CD6}"/>
    <cellStyle name="Normal 5 2 6 3 7" xfId="10746" xr:uid="{EE092D23-8C2B-4071-A6E0-2C4543CA0581}"/>
    <cellStyle name="Normal 5 2 6 4" xfId="1743" xr:uid="{00000000-0005-0000-0000-000053190000}"/>
    <cellStyle name="Normal 5 2 6 4 2" xfId="3973" xr:uid="{00000000-0005-0000-0000-000054190000}"/>
    <cellStyle name="Normal 5 2 6 4 2 2" xfId="8195" xr:uid="{00000000-0005-0000-0000-000055190000}"/>
    <cellStyle name="Normal 5 2 6 4 2 2 2" xfId="26821" xr:uid="{18C7A5A5-6166-4B5E-B1B7-075DD42F5C83}"/>
    <cellStyle name="Normal 5 2 6 4 2 2 3" xfId="35268" xr:uid="{CCB1E5CA-A370-4266-ABC8-043CD0EA6EDF}"/>
    <cellStyle name="Normal 5 2 6 4 2 2 4" xfId="43715" xr:uid="{F47CCE15-55B2-4DEE-B17D-E01F67E81CC4}"/>
    <cellStyle name="Normal 5 2 6 4 2 2 5" xfId="17521" xr:uid="{510081BF-03CA-4872-BE7D-85178BB0A297}"/>
    <cellStyle name="Normal 5 2 6 4 2 3" xfId="22604" xr:uid="{EDCDD9D0-1C53-4E7D-99BA-463F14B97A40}"/>
    <cellStyle name="Normal 5 2 6 4 2 4" xfId="31051" xr:uid="{1B1F0924-865D-47E9-B61F-F71409A3BA89}"/>
    <cellStyle name="Normal 5 2 6 4 2 5" xfId="39498" xr:uid="{D5F350EA-4465-4323-A380-DE2332BE6F0F}"/>
    <cellStyle name="Normal 5 2 6 4 2 6" xfId="13304" xr:uid="{DF43FE8E-ABF1-4725-AA5A-0EF86BBB3C07}"/>
    <cellStyle name="Normal 5 2 6 4 3" xfId="6050" xr:uid="{00000000-0005-0000-0000-000056190000}"/>
    <cellStyle name="Normal 5 2 6 4 3 2" xfId="24676" xr:uid="{680EF552-5D22-40B5-8456-8AA9E13BB1F1}"/>
    <cellStyle name="Normal 5 2 6 4 3 3" xfId="33123" xr:uid="{38504845-F154-4173-9DEE-F6FC40BC11CC}"/>
    <cellStyle name="Normal 5 2 6 4 3 4" xfId="41570" xr:uid="{B4229F44-F0E3-426D-B0E3-20B98AF845F6}"/>
    <cellStyle name="Normal 5 2 6 4 3 5" xfId="15376" xr:uid="{842F650D-6A92-4ED6-BA89-D4B314F061A5}"/>
    <cellStyle name="Normal 5 2 6 4 4" xfId="20459" xr:uid="{07FABBB8-56F5-40E0-9CA8-9C60C50EB559}"/>
    <cellStyle name="Normal 5 2 6 4 5" xfId="28906" xr:uid="{687BB36A-E418-48AC-B256-AE4E24FC69DB}"/>
    <cellStyle name="Normal 5 2 6 4 6" xfId="37353" xr:uid="{EA549024-BC69-403E-876D-1D852FC9841C}"/>
    <cellStyle name="Normal 5 2 6 4 7" xfId="11159" xr:uid="{48FBD654-3F85-4DB2-A149-8AE7F7071F73}"/>
    <cellStyle name="Normal 5 2 6 5" xfId="2157" xr:uid="{00000000-0005-0000-0000-000057190000}"/>
    <cellStyle name="Normal 5 2 6 5 2" xfId="4386" xr:uid="{00000000-0005-0000-0000-000058190000}"/>
    <cellStyle name="Normal 5 2 6 5 2 2" xfId="8608" xr:uid="{00000000-0005-0000-0000-000059190000}"/>
    <cellStyle name="Normal 5 2 6 5 2 2 2" xfId="27234" xr:uid="{111DF657-2451-4578-A1B8-8D4CA1FF0C1E}"/>
    <cellStyle name="Normal 5 2 6 5 2 2 3" xfId="35681" xr:uid="{0D6E7FC0-9F59-49DD-8CB9-2C4F8EEE32B4}"/>
    <cellStyle name="Normal 5 2 6 5 2 2 4" xfId="44128" xr:uid="{7D6225FD-2F36-47B7-97D0-7E111F51AA46}"/>
    <cellStyle name="Normal 5 2 6 5 2 2 5" xfId="17934" xr:uid="{164CAA35-4F79-4FA7-9CDA-A76FFAC3CA13}"/>
    <cellStyle name="Normal 5 2 6 5 2 3" xfId="23017" xr:uid="{7BDABBCB-9516-4CD7-96B6-D03B1851A9B0}"/>
    <cellStyle name="Normal 5 2 6 5 2 4" xfId="31464" xr:uid="{CB9BA9AF-BD1F-4F3D-8D14-12779AC0290F}"/>
    <cellStyle name="Normal 5 2 6 5 2 5" xfId="39911" xr:uid="{C048D7BD-A9A9-442C-A8E6-54DE71397784}"/>
    <cellStyle name="Normal 5 2 6 5 2 6" xfId="13717" xr:uid="{6B240485-58C1-476E-B596-1F270757FDDF}"/>
    <cellStyle name="Normal 5 2 6 5 3" xfId="6463" xr:uid="{00000000-0005-0000-0000-00005A190000}"/>
    <cellStyle name="Normal 5 2 6 5 3 2" xfId="25089" xr:uid="{091C96F4-40CE-4393-B47D-5DC55511CABF}"/>
    <cellStyle name="Normal 5 2 6 5 3 3" xfId="33536" xr:uid="{8A9A64FD-E426-4EC7-87C6-AED125678BDB}"/>
    <cellStyle name="Normal 5 2 6 5 3 4" xfId="41983" xr:uid="{380F6F63-3366-4CD6-B4FC-E2482DA32FEB}"/>
    <cellStyle name="Normal 5 2 6 5 3 5" xfId="15789" xr:uid="{75B4EA05-A619-4850-A6D1-E647F026E904}"/>
    <cellStyle name="Normal 5 2 6 5 4" xfId="20872" xr:uid="{16600BB8-67F0-4390-B549-EA89D98CE939}"/>
    <cellStyle name="Normal 5 2 6 5 5" xfId="29319" xr:uid="{A9D5688F-82C2-4354-84A8-0B05186E5286}"/>
    <cellStyle name="Normal 5 2 6 5 6" xfId="37766" xr:uid="{8CEF823E-4D8A-4C87-BDF0-CF7839204F38}"/>
    <cellStyle name="Normal 5 2 6 5 7" xfId="11572" xr:uid="{A6FCBD09-B4ED-4F0B-990F-A7915F6AC8A1}"/>
    <cellStyle name="Normal 5 2 6 6" xfId="2593" xr:uid="{00000000-0005-0000-0000-00005B190000}"/>
    <cellStyle name="Normal 5 2 6 6 2" xfId="6876" xr:uid="{00000000-0005-0000-0000-00005C190000}"/>
    <cellStyle name="Normal 5 2 6 6 2 2" xfId="25502" xr:uid="{7769752E-A2C4-4F42-AFD2-8CAAA4F09520}"/>
    <cellStyle name="Normal 5 2 6 6 2 3" xfId="33949" xr:uid="{F825D7D5-9B3B-47E3-AE6B-AB9862E5BE38}"/>
    <cellStyle name="Normal 5 2 6 6 2 4" xfId="42396" xr:uid="{208DFD73-389A-436C-960B-979ACDBF3A5A}"/>
    <cellStyle name="Normal 5 2 6 6 2 5" xfId="16202" xr:uid="{D3C2A52A-5135-4830-8E1E-1BE83522BE02}"/>
    <cellStyle name="Normal 5 2 6 6 3" xfId="21285" xr:uid="{EC17B03C-D89A-47A4-B269-689C626FF208}"/>
    <cellStyle name="Normal 5 2 6 6 4" xfId="29732" xr:uid="{0F93068A-2964-4F73-8589-E2154BAB8EEB}"/>
    <cellStyle name="Normal 5 2 6 6 5" xfId="38179" xr:uid="{F859545D-764D-47C7-923C-1EB88906CCC6}"/>
    <cellStyle name="Normal 5 2 6 6 6" xfId="11985" xr:uid="{B319724B-24D2-44FA-A087-09C6FFA49119}"/>
    <cellStyle name="Normal 5 2 6 7" xfId="4811" xr:uid="{00000000-0005-0000-0000-00005D190000}"/>
    <cellStyle name="Normal 5 2 6 7 2" xfId="23437" xr:uid="{2AD98ABB-4D53-478A-AEB9-1D213ACC793A}"/>
    <cellStyle name="Normal 5 2 6 7 3" xfId="31884" xr:uid="{0A971049-1306-4265-A73A-73B7704A9F35}"/>
    <cellStyle name="Normal 5 2 6 7 4" xfId="40331" xr:uid="{B28B92E7-8678-44D8-915C-65F6A50509E6}"/>
    <cellStyle name="Normal 5 2 6 7 5" xfId="14137" xr:uid="{257F3A4F-D613-4E5A-8CAB-4536FD06D9AE}"/>
    <cellStyle name="Normal 5 2 6 8" xfId="8963" xr:uid="{01BDB756-0B70-4C0D-AC32-9959EE0C8F11}"/>
    <cellStyle name="Normal 5 2 6 8 2" xfId="18287" xr:uid="{8E018355-773B-4220-8CD2-C7E1DD4F3DAD}"/>
    <cellStyle name="Normal 5 2 6 9" xfId="19220" xr:uid="{525630DD-9248-4335-9991-D9E4AEE7F085}"/>
    <cellStyle name="Normal 5 2 7" xfId="881" xr:uid="{00000000-0005-0000-0000-00005E190000}"/>
    <cellStyle name="Normal 5 2 7 2" xfId="3116" xr:uid="{00000000-0005-0000-0000-00005F190000}"/>
    <cellStyle name="Normal 5 2 7 2 2" xfId="7338" xr:uid="{00000000-0005-0000-0000-000060190000}"/>
    <cellStyle name="Normal 5 2 7 2 2 2" xfId="25964" xr:uid="{4601ADE1-DA63-4B1D-B843-244C78E82372}"/>
    <cellStyle name="Normal 5 2 7 2 2 3" xfId="34411" xr:uid="{F654EF0D-2EF7-470B-94B0-A802C0E7368A}"/>
    <cellStyle name="Normal 5 2 7 2 2 4" xfId="42858" xr:uid="{DD6EBB8A-4CA3-40BE-A697-16C485FB70D9}"/>
    <cellStyle name="Normal 5 2 7 2 2 5" xfId="16664" xr:uid="{35C17E28-472F-4078-87CC-1772D1D0746B}"/>
    <cellStyle name="Normal 5 2 7 2 3" xfId="21747" xr:uid="{BE252362-C5E3-486D-9C88-020EAF6A4192}"/>
    <cellStyle name="Normal 5 2 7 2 4" xfId="30194" xr:uid="{F065ABFC-0B3F-40A4-9678-F4972579EE76}"/>
    <cellStyle name="Normal 5 2 7 2 5" xfId="38641" xr:uid="{0B129011-C4BF-47F7-86B4-BB464FA0E31B}"/>
    <cellStyle name="Normal 5 2 7 2 6" xfId="12447" xr:uid="{E71EE414-BA99-4EC1-9713-59F68C294DB3}"/>
    <cellStyle name="Normal 5 2 7 3" xfId="5193" xr:uid="{00000000-0005-0000-0000-000061190000}"/>
    <cellStyle name="Normal 5 2 7 3 2" xfId="23819" xr:uid="{CC4C07FF-374B-4B4D-9B25-31C246D97C25}"/>
    <cellStyle name="Normal 5 2 7 3 3" xfId="32266" xr:uid="{9E693EEC-9A63-49C1-ADB9-5D12A38682A6}"/>
    <cellStyle name="Normal 5 2 7 3 4" xfId="40713" xr:uid="{7CB093DD-50FE-49C6-B210-CA5B84BA3247}"/>
    <cellStyle name="Normal 5 2 7 3 5" xfId="14519" xr:uid="{4000E598-0392-4D15-B5E6-4AF69898CE6F}"/>
    <cellStyle name="Normal 5 2 7 4" xfId="9166" xr:uid="{903BB692-5043-4803-B109-F7C532EB2A09}"/>
    <cellStyle name="Normal 5 2 7 4 2" xfId="18485" xr:uid="{60783A45-B18C-42C3-A71A-D56D7E3752E0}"/>
    <cellStyle name="Normal 5 2 7 5" xfId="19602" xr:uid="{9F5CD21B-73AC-4892-8F0D-9577CA2CBD6E}"/>
    <cellStyle name="Normal 5 2 7 6" xfId="28049" xr:uid="{E844D2FF-106D-4A90-B3A7-1E00826CC944}"/>
    <cellStyle name="Normal 5 2 7 7" xfId="36496" xr:uid="{5815722E-2E3D-4C4B-ACBD-0F6E7E1D0FAF}"/>
    <cellStyle name="Normal 5 2 7 8" xfId="10302" xr:uid="{3BCCECE8-45F1-4C02-AD2C-30A43D9BB715}"/>
    <cellStyle name="Normal 5 2 8" xfId="1299" xr:uid="{00000000-0005-0000-0000-000062190000}"/>
    <cellStyle name="Normal 5 2 8 2" xfId="3529" xr:uid="{00000000-0005-0000-0000-000063190000}"/>
    <cellStyle name="Normal 5 2 8 2 2" xfId="7751" xr:uid="{00000000-0005-0000-0000-000064190000}"/>
    <cellStyle name="Normal 5 2 8 2 2 2" xfId="26377" xr:uid="{E375B28C-5B8A-4762-9E70-14E92D9A0B07}"/>
    <cellStyle name="Normal 5 2 8 2 2 3" xfId="34824" xr:uid="{6E273E67-4D57-498F-826B-C05C957D6B7C}"/>
    <cellStyle name="Normal 5 2 8 2 2 4" xfId="43271" xr:uid="{06590B8A-4207-4184-8302-FB32447EE835}"/>
    <cellStyle name="Normal 5 2 8 2 2 5" xfId="17077" xr:uid="{7143B62C-1308-4E75-AA45-A90AB23E4CF8}"/>
    <cellStyle name="Normal 5 2 8 2 3" xfId="22160" xr:uid="{182887E3-9E90-4197-B88F-50C2193A72BD}"/>
    <cellStyle name="Normal 5 2 8 2 4" xfId="30607" xr:uid="{0F79B103-0443-40F1-9DE6-DB5D74EF9E9F}"/>
    <cellStyle name="Normal 5 2 8 2 5" xfId="39054" xr:uid="{C4A12213-CA31-4905-88AB-70E9B4DB43CC}"/>
    <cellStyle name="Normal 5 2 8 2 6" xfId="12860" xr:uid="{616D3D9C-C31E-4611-9E77-FC5848591C55}"/>
    <cellStyle name="Normal 5 2 8 3" xfId="5606" xr:uid="{00000000-0005-0000-0000-000065190000}"/>
    <cellStyle name="Normal 5 2 8 3 2" xfId="24232" xr:uid="{41980E5B-3449-4F52-A83F-2A300B8230F9}"/>
    <cellStyle name="Normal 5 2 8 3 3" xfId="32679" xr:uid="{478BA1B9-9CFB-4892-8179-81E5955E79F9}"/>
    <cellStyle name="Normal 5 2 8 3 4" xfId="41126" xr:uid="{6F4F4F69-43A7-4805-9CD6-8B9D43B8DF4B}"/>
    <cellStyle name="Normal 5 2 8 3 5" xfId="14932" xr:uid="{2A4216E7-F050-4325-8B3B-FD2F84460D61}"/>
    <cellStyle name="Normal 5 2 8 4" xfId="20015" xr:uid="{841A16D1-9D12-4596-ABE9-98FF14C20929}"/>
    <cellStyle name="Normal 5 2 8 5" xfId="28462" xr:uid="{6DE5A656-83DF-43CC-B715-2E8ACA59E78B}"/>
    <cellStyle name="Normal 5 2 8 6" xfId="36909" xr:uid="{A07DC05A-7A3B-474D-8358-112D48BA77F7}"/>
    <cellStyle name="Normal 5 2 8 7" xfId="10715" xr:uid="{4C66388E-985D-474B-B4CD-0BE9867602E2}"/>
    <cellStyle name="Normal 5 2 9" xfId="1712" xr:uid="{00000000-0005-0000-0000-000066190000}"/>
    <cellStyle name="Normal 5 2 9 2" xfId="3942" xr:uid="{00000000-0005-0000-0000-000067190000}"/>
    <cellStyle name="Normal 5 2 9 2 2" xfId="8164" xr:uid="{00000000-0005-0000-0000-000068190000}"/>
    <cellStyle name="Normal 5 2 9 2 2 2" xfId="26790" xr:uid="{FD1C67C9-29B7-48D8-A63A-651898A78712}"/>
    <cellStyle name="Normal 5 2 9 2 2 3" xfId="35237" xr:uid="{6825A2BC-BB75-4752-8A2E-D460895C39A7}"/>
    <cellStyle name="Normal 5 2 9 2 2 4" xfId="43684" xr:uid="{C80AD615-AC8C-448C-86BC-FB22B15464BA}"/>
    <cellStyle name="Normal 5 2 9 2 2 5" xfId="17490" xr:uid="{36FD9231-CD6E-41F7-8C04-1EA38F75AC1F}"/>
    <cellStyle name="Normal 5 2 9 2 3" xfId="22573" xr:uid="{AA73FAF5-C8C3-40A0-B013-6DE2B9578FE6}"/>
    <cellStyle name="Normal 5 2 9 2 4" xfId="31020" xr:uid="{943F8937-CFEF-4BF1-BA2D-A7846BF6A076}"/>
    <cellStyle name="Normal 5 2 9 2 5" xfId="39467" xr:uid="{318FB201-44D4-4F9F-89BC-7031E168E47E}"/>
    <cellStyle name="Normal 5 2 9 2 6" xfId="13273" xr:uid="{18201D78-9D49-47E9-B521-30984C91C296}"/>
    <cellStyle name="Normal 5 2 9 3" xfId="6019" xr:uid="{00000000-0005-0000-0000-000069190000}"/>
    <cellStyle name="Normal 5 2 9 3 2" xfId="24645" xr:uid="{00B2F286-C075-43E6-A6A4-BD3679D49562}"/>
    <cellStyle name="Normal 5 2 9 3 3" xfId="33092" xr:uid="{56DC6F6F-CBDC-4B49-883C-B4D3A88490CF}"/>
    <cellStyle name="Normal 5 2 9 3 4" xfId="41539" xr:uid="{3DBA7DEE-9D45-419C-BE11-FFFBA0D290E2}"/>
    <cellStyle name="Normal 5 2 9 3 5" xfId="15345" xr:uid="{9B78C6AD-9B60-4783-B04C-FD07832D145D}"/>
    <cellStyle name="Normal 5 2 9 4" xfId="20428" xr:uid="{4DAC61F3-4DCF-40D4-9511-283312128FA8}"/>
    <cellStyle name="Normal 5 2 9 5" xfId="28875" xr:uid="{959B29E3-1CB6-4A24-BF3C-13E793AD90D2}"/>
    <cellStyle name="Normal 5 2 9 6" xfId="37322" xr:uid="{940F9670-EE55-4518-8701-3BD0E23149A6}"/>
    <cellStyle name="Normal 5 2 9 7" xfId="11128" xr:uid="{107F7398-5B0F-4EBE-A45A-82A643A20796}"/>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2 2 2" xfId="27235" xr:uid="{D41B21D5-71D9-4969-8679-685DC9E01BD5}"/>
    <cellStyle name="Normal 5 3 10 2 2 3" xfId="35682" xr:uid="{9AE4637C-2F7E-4089-9F3A-D1F8715C11FB}"/>
    <cellStyle name="Normal 5 3 10 2 2 4" xfId="44129" xr:uid="{6491C44A-8B4D-43A2-9736-7BBB20470F91}"/>
    <cellStyle name="Normal 5 3 10 2 2 5" xfId="17935" xr:uid="{877C20BA-87AC-4A3B-9D14-A46F3C13BC83}"/>
    <cellStyle name="Normal 5 3 10 2 3" xfId="23018" xr:uid="{2C4B442B-1815-45FE-A002-3DB0755ACE56}"/>
    <cellStyle name="Normal 5 3 10 2 4" xfId="31465" xr:uid="{E401F0AE-11F2-4838-A880-A51F3AC82773}"/>
    <cellStyle name="Normal 5 3 10 2 5" xfId="39912" xr:uid="{33F6535F-FFC2-43FB-A234-2D15CFD721A6}"/>
    <cellStyle name="Normal 5 3 10 2 6" xfId="13718" xr:uid="{215017E3-A617-4239-8AAC-129E58AFB7B1}"/>
    <cellStyle name="Normal 5 3 10 3" xfId="6464" xr:uid="{00000000-0005-0000-0000-00006E190000}"/>
    <cellStyle name="Normal 5 3 10 3 2" xfId="25090" xr:uid="{E827FDB0-B7A4-4B1C-9A03-0FB9A8262B37}"/>
    <cellStyle name="Normal 5 3 10 3 3" xfId="33537" xr:uid="{EAD08CD4-18F6-474D-8E7E-90326B201ED3}"/>
    <cellStyle name="Normal 5 3 10 3 4" xfId="41984" xr:uid="{21F92929-7D7E-4918-A685-2A33546F04F9}"/>
    <cellStyle name="Normal 5 3 10 3 5" xfId="15790" xr:uid="{934E2080-9B55-4293-815E-5F1E24A89767}"/>
    <cellStyle name="Normal 5 3 10 4" xfId="20873" xr:uid="{15491336-6E80-4754-B037-1C73E8B4C74D}"/>
    <cellStyle name="Normal 5 3 10 5" xfId="29320" xr:uid="{8CC2AA78-0DB6-4F47-9CE8-859C17459B27}"/>
    <cellStyle name="Normal 5 3 10 6" xfId="37767" xr:uid="{86F0FD09-C1FD-4A89-A48A-12D4D1BC7D7E}"/>
    <cellStyle name="Normal 5 3 10 7" xfId="11573" xr:uid="{7B264054-F2C5-4CD8-B004-7D6C63D0B943}"/>
    <cellStyle name="Normal 5 3 11" xfId="2594" xr:uid="{00000000-0005-0000-0000-00006F190000}"/>
    <cellStyle name="Normal 5 3 11 2" xfId="6877" xr:uid="{00000000-0005-0000-0000-000070190000}"/>
    <cellStyle name="Normal 5 3 11 2 2" xfId="25503" xr:uid="{B5802F08-F95E-4DF9-B73D-BB46E3785422}"/>
    <cellStyle name="Normal 5 3 11 2 3" xfId="33950" xr:uid="{431BC7E8-76B9-4BCA-BCF4-B34796E8D402}"/>
    <cellStyle name="Normal 5 3 11 2 4" xfId="42397" xr:uid="{0F7FAAD1-EAEA-4090-AE72-A1E08E373BD1}"/>
    <cellStyle name="Normal 5 3 11 2 5" xfId="16203" xr:uid="{0FD22896-FB5D-43E7-BBE1-A279CDE344B6}"/>
    <cellStyle name="Normal 5 3 11 3" xfId="21286" xr:uid="{CBA682E0-2B21-4A58-8FF4-4A98955336A3}"/>
    <cellStyle name="Normal 5 3 11 4" xfId="29733" xr:uid="{BB39DA90-F74A-43AB-9056-01368F25F748}"/>
    <cellStyle name="Normal 5 3 11 5" xfId="38180" xr:uid="{A23D676B-06BA-42F6-A4AA-5659478FB82F}"/>
    <cellStyle name="Normal 5 3 11 6" xfId="11986" xr:uid="{5C02F8AC-C1D7-44BA-BE33-60D3E15C54F4}"/>
    <cellStyle name="Normal 5 3 12" xfId="4812" xr:uid="{00000000-0005-0000-0000-000071190000}"/>
    <cellStyle name="Normal 5 3 12 2" xfId="23438" xr:uid="{3AC68045-00B3-4400-AB6C-B44DED122B9E}"/>
    <cellStyle name="Normal 5 3 12 3" xfId="31885" xr:uid="{1047045C-FC77-4FC3-9585-65472618EDC8}"/>
    <cellStyle name="Normal 5 3 12 4" xfId="40332" xr:uid="{710D5424-DC46-45A2-8AB4-A9297B45F197}"/>
    <cellStyle name="Normal 5 3 12 5" xfId="14138" xr:uid="{EF39877A-CB3C-4B79-B870-527CAE591CE9}"/>
    <cellStyle name="Normal 5 3 13" xfId="8750" xr:uid="{36957AEF-D081-4A23-AEE3-073A5901863C}"/>
    <cellStyle name="Normal 5 3 13 2" xfId="18074" xr:uid="{3A995E28-54A6-4829-BF3A-BAF5C34D4771}"/>
    <cellStyle name="Normal 5 3 14" xfId="19221" xr:uid="{34F80A6B-1CDA-40FD-A9D0-192DFAE5B04B}"/>
    <cellStyle name="Normal 5 3 15" xfId="27668" xr:uid="{7CC9BC07-73CF-4308-9243-EEE9819DB19E}"/>
    <cellStyle name="Normal 5 3 16" xfId="36115" xr:uid="{668C0F97-3B76-4265-A3F5-41FAEA492493}"/>
    <cellStyle name="Normal 5 3 17" xfId="9921" xr:uid="{BE1B0471-477E-4AD8-B445-81DABCBEB7FB}"/>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0 2" xfId="23439" xr:uid="{56B5F9D2-2880-4328-8D91-0544F953C87D}"/>
    <cellStyle name="Normal 5 3 3 10 3" xfId="31886" xr:uid="{8551ED2A-2310-492D-828F-BB76192479B0}"/>
    <cellStyle name="Normal 5 3 3 10 4" xfId="40333" xr:uid="{604599DD-FF3D-4180-AFF1-101DA6F94A7A}"/>
    <cellStyle name="Normal 5 3 3 10 5" xfId="14139" xr:uid="{D04D91A3-353C-4BCA-8F03-AF34F2B395F9}"/>
    <cellStyle name="Normal 5 3 3 11" xfId="8782" xr:uid="{4219AD28-469A-4693-BD0B-B0536AC433E5}"/>
    <cellStyle name="Normal 5 3 3 11 2" xfId="18106" xr:uid="{F33E0844-71C0-41A0-86E6-E071EAD31F7C}"/>
    <cellStyle name="Normal 5 3 3 12" xfId="19222" xr:uid="{5644D6C4-977F-4152-9D25-548A9F25808A}"/>
    <cellStyle name="Normal 5 3 3 13" xfId="27669" xr:uid="{F7E67893-D434-41DE-A780-EFFFBEE726BA}"/>
    <cellStyle name="Normal 5 3 3 14" xfId="36116" xr:uid="{1687873E-5EAF-4BD1-850B-BF60ED0BD1C9}"/>
    <cellStyle name="Normal 5 3 3 15" xfId="9922" xr:uid="{189D48BA-6AB5-4025-97A6-6EF35B0D8C84}"/>
    <cellStyle name="Normal 5 3 3 2" xfId="442" xr:uid="{00000000-0005-0000-0000-000076190000}"/>
    <cellStyle name="Normal 5 3 3 2 10" xfId="8832" xr:uid="{03323DDB-E4E1-4078-8BBE-EA3DD4471E1B}"/>
    <cellStyle name="Normal 5 3 3 2 10 2" xfId="18156" xr:uid="{26D472A8-DAA4-4052-B00D-9FB0B465DBE9}"/>
    <cellStyle name="Normal 5 3 3 2 11" xfId="19223" xr:uid="{A52A23B4-2EFD-4F17-A530-4C4CF7B8F63A}"/>
    <cellStyle name="Normal 5 3 3 2 12" xfId="27670" xr:uid="{F62D5C3F-749D-45BC-A3E7-DD01EFBEF147}"/>
    <cellStyle name="Normal 5 3 3 2 13" xfId="36117" xr:uid="{741BF25E-DB34-4DA7-A167-C2F714B4CB06}"/>
    <cellStyle name="Normal 5 3 3 2 14" xfId="9923" xr:uid="{2D30449A-759C-4AB5-9E22-67BC2C2A3484}"/>
    <cellStyle name="Normal 5 3 3 2 2" xfId="443" xr:uid="{00000000-0005-0000-0000-000077190000}"/>
    <cellStyle name="Normal 5 3 3 2 2 10" xfId="19224" xr:uid="{7939579F-9F37-4098-98B5-99CED144A8D3}"/>
    <cellStyle name="Normal 5 3 3 2 2 11" xfId="27671" xr:uid="{CF3ECA8F-C396-410E-8355-2AEBB2B7716B}"/>
    <cellStyle name="Normal 5 3 3 2 2 12" xfId="36118" xr:uid="{944847D3-C6F0-4587-87C3-E070EFB7671B}"/>
    <cellStyle name="Normal 5 3 3 2 2 13" xfId="9924" xr:uid="{5D33AD3C-9E83-4B3C-86F2-C5AB548AE2E3}"/>
    <cellStyle name="Normal 5 3 3 2 2 2" xfId="444" xr:uid="{00000000-0005-0000-0000-000078190000}"/>
    <cellStyle name="Normal 5 3 3 2 2 2 10" xfId="27672" xr:uid="{8D2F54AF-FCE7-4728-89EB-4B53F55D6DC3}"/>
    <cellStyle name="Normal 5 3 3 2 2 2 11" xfId="36119" xr:uid="{179ACF0C-FAE5-4C2A-B685-48316C4BAF5F}"/>
    <cellStyle name="Normal 5 3 3 2 2 2 12" xfId="9925" xr:uid="{4381581C-D232-4033-AA13-BD9695BEF678}"/>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2 2 2" xfId="26000" xr:uid="{66FB3E01-32EA-4E4D-9305-C9601E5D3743}"/>
    <cellStyle name="Normal 5 3 3 2 2 2 2 2 2 3" xfId="34447" xr:uid="{62A32891-2244-48D4-AF35-7ACCA3FC1CA6}"/>
    <cellStyle name="Normal 5 3 3 2 2 2 2 2 2 4" xfId="42894" xr:uid="{FF97CC01-8D50-4C53-8FD0-5B029261E609}"/>
    <cellStyle name="Normal 5 3 3 2 2 2 2 2 2 5" xfId="16700" xr:uid="{D4EBD2F2-A2B8-4E3C-91BD-459583223738}"/>
    <cellStyle name="Normal 5 3 3 2 2 2 2 2 3" xfId="21783" xr:uid="{58B24A87-8E13-48C4-9446-12A44A20C3DF}"/>
    <cellStyle name="Normal 5 3 3 2 2 2 2 2 4" xfId="30230" xr:uid="{A4F254B4-1D18-4BF5-B62C-13FF429B503D}"/>
    <cellStyle name="Normal 5 3 3 2 2 2 2 2 5" xfId="38677" xr:uid="{588BF71B-D3DF-4BE1-A1DB-3C8869BD5538}"/>
    <cellStyle name="Normal 5 3 3 2 2 2 2 2 6" xfId="12483" xr:uid="{7032B0CC-78EE-4ED0-94D5-BDD7888729E4}"/>
    <cellStyle name="Normal 5 3 3 2 2 2 2 3" xfId="5229" xr:uid="{00000000-0005-0000-0000-00007C190000}"/>
    <cellStyle name="Normal 5 3 3 2 2 2 2 3 2" xfId="23855" xr:uid="{E8D90B85-00F2-44B1-B0BB-ACBC51E62A8C}"/>
    <cellStyle name="Normal 5 3 3 2 2 2 2 3 3" xfId="32302" xr:uid="{4040820B-F963-47EB-96FF-51655A0D11C1}"/>
    <cellStyle name="Normal 5 3 3 2 2 2 2 3 4" xfId="40749" xr:uid="{B702363D-3A9E-4413-8139-98D902C5EF46}"/>
    <cellStyle name="Normal 5 3 3 2 2 2 2 3 5" xfId="14555" xr:uid="{B3128EEF-EE39-47F8-9820-4CABA632D216}"/>
    <cellStyle name="Normal 5 3 3 2 2 2 2 4" xfId="9567" xr:uid="{C2519486-6BC5-47D1-879F-EC6040BC9E9D}"/>
    <cellStyle name="Normal 5 3 3 2 2 2 2 4 2" xfId="18883" xr:uid="{68EEBFBF-AB29-4C77-B47F-D5C17C9D03DC}"/>
    <cellStyle name="Normal 5 3 3 2 2 2 2 5" xfId="19638" xr:uid="{8AE492AE-E8C7-4943-BB8B-6646B2BD14CF}"/>
    <cellStyle name="Normal 5 3 3 2 2 2 2 6" xfId="28085" xr:uid="{7F6A8B8F-FAE3-4C1F-9B30-BBF69608F683}"/>
    <cellStyle name="Normal 5 3 3 2 2 2 2 7" xfId="36532" xr:uid="{FC7D2316-D91F-43CA-803B-3FD750EBD475}"/>
    <cellStyle name="Normal 5 3 3 2 2 2 2 8" xfId="10338" xr:uid="{DEEC3D8F-F861-48A5-9FE5-659D1A95C379}"/>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2 2 2" xfId="26413" xr:uid="{7504EAA9-7F74-4503-8E73-46D58355763D}"/>
    <cellStyle name="Normal 5 3 3 2 2 2 3 2 2 3" xfId="34860" xr:uid="{D1F0FF5F-8275-4A74-8DF1-FFE626EE56DA}"/>
    <cellStyle name="Normal 5 3 3 2 2 2 3 2 2 4" xfId="43307" xr:uid="{C3FC5D01-CADF-4972-9912-0422F3AF62F5}"/>
    <cellStyle name="Normal 5 3 3 2 2 2 3 2 2 5" xfId="17113" xr:uid="{1B8F3882-F9D1-4B63-9AFA-3096C23F63AD}"/>
    <cellStyle name="Normal 5 3 3 2 2 2 3 2 3" xfId="22196" xr:uid="{077F0F70-7FF7-465B-9736-6694A610DC13}"/>
    <cellStyle name="Normal 5 3 3 2 2 2 3 2 4" xfId="30643" xr:uid="{CA2EF97F-5086-4972-A603-B1241930ED94}"/>
    <cellStyle name="Normal 5 3 3 2 2 2 3 2 5" xfId="39090" xr:uid="{A050D2FE-1B67-4749-B4AF-F7013B928201}"/>
    <cellStyle name="Normal 5 3 3 2 2 2 3 2 6" xfId="12896" xr:uid="{BCDCC8A7-CA30-45EA-886F-C5C5FC0DDDA4}"/>
    <cellStyle name="Normal 5 3 3 2 2 2 3 3" xfId="5642" xr:uid="{00000000-0005-0000-0000-000080190000}"/>
    <cellStyle name="Normal 5 3 3 2 2 2 3 3 2" xfId="24268" xr:uid="{46B27E73-605D-4818-BB9C-DFAACE33C916}"/>
    <cellStyle name="Normal 5 3 3 2 2 2 3 3 3" xfId="32715" xr:uid="{F4B6AA53-A157-4D93-BE09-9C3BA4A344DB}"/>
    <cellStyle name="Normal 5 3 3 2 2 2 3 3 4" xfId="41162" xr:uid="{0D3E5D9A-59DE-4FDB-B1F2-B97252AA440E}"/>
    <cellStyle name="Normal 5 3 3 2 2 2 3 3 5" xfId="14968" xr:uid="{49585534-9ECE-45A1-AF39-1B53D181A735}"/>
    <cellStyle name="Normal 5 3 3 2 2 2 3 4" xfId="20051" xr:uid="{D5535292-E02F-4600-8885-8B892124269F}"/>
    <cellStyle name="Normal 5 3 3 2 2 2 3 5" xfId="28498" xr:uid="{F612E1FE-0FFA-4A98-8F7C-6516A74CF61C}"/>
    <cellStyle name="Normal 5 3 3 2 2 2 3 6" xfId="36945" xr:uid="{D3E39F71-AA1E-4863-9D6D-B28F04EA7B34}"/>
    <cellStyle name="Normal 5 3 3 2 2 2 3 7" xfId="10751" xr:uid="{ED740F28-AD1D-4EB8-B424-2FF868CC4E0F}"/>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2 2 2" xfId="26826" xr:uid="{084F2222-FD0C-4651-80B8-AD05ECD81B64}"/>
    <cellStyle name="Normal 5 3 3 2 2 2 4 2 2 3" xfId="35273" xr:uid="{A5993C9A-6DB1-4F2B-A87A-CF3C3C421D86}"/>
    <cellStyle name="Normal 5 3 3 2 2 2 4 2 2 4" xfId="43720" xr:uid="{A3B83327-607C-465C-8E69-7135E49994C9}"/>
    <cellStyle name="Normal 5 3 3 2 2 2 4 2 2 5" xfId="17526" xr:uid="{214B79A0-E8A4-41DA-A95A-D98FCD224926}"/>
    <cellStyle name="Normal 5 3 3 2 2 2 4 2 3" xfId="22609" xr:uid="{F5783359-A6D1-4E67-BA27-7B631366FD41}"/>
    <cellStyle name="Normal 5 3 3 2 2 2 4 2 4" xfId="31056" xr:uid="{450E92BD-619D-4103-A0A5-2E9F1FEDDE1B}"/>
    <cellStyle name="Normal 5 3 3 2 2 2 4 2 5" xfId="39503" xr:uid="{8FCB3888-108B-469A-9F37-AB87C409B377}"/>
    <cellStyle name="Normal 5 3 3 2 2 2 4 2 6" xfId="13309" xr:uid="{B3A8B8D3-86BB-43B3-B3C1-92C0BB468F72}"/>
    <cellStyle name="Normal 5 3 3 2 2 2 4 3" xfId="6055" xr:uid="{00000000-0005-0000-0000-000084190000}"/>
    <cellStyle name="Normal 5 3 3 2 2 2 4 3 2" xfId="24681" xr:uid="{CF6C2881-B353-4E44-A6EF-687861E0334F}"/>
    <cellStyle name="Normal 5 3 3 2 2 2 4 3 3" xfId="33128" xr:uid="{E45A2D0A-0FB3-4964-9ADA-A5983FCBF1DD}"/>
    <cellStyle name="Normal 5 3 3 2 2 2 4 3 4" xfId="41575" xr:uid="{AE45FD6E-BF12-4878-90AF-116B9DEEAA02}"/>
    <cellStyle name="Normal 5 3 3 2 2 2 4 3 5" xfId="15381" xr:uid="{CC16C6D0-C309-44C3-B93E-2BA918F4C6AF}"/>
    <cellStyle name="Normal 5 3 3 2 2 2 4 4" xfId="20464" xr:uid="{26D7DBEB-DCBD-407A-ADBE-4CE25E8C9C9B}"/>
    <cellStyle name="Normal 5 3 3 2 2 2 4 5" xfId="28911" xr:uid="{9BEDEE84-0ECE-4D11-A56C-963A9D576F40}"/>
    <cellStyle name="Normal 5 3 3 2 2 2 4 6" xfId="37358" xr:uid="{A343241E-DEF6-448C-9302-D143F7B22249}"/>
    <cellStyle name="Normal 5 3 3 2 2 2 4 7" xfId="11164" xr:uid="{F7E6BD16-1F42-48C4-9217-17C8A6A21768}"/>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2 2 2" xfId="27239" xr:uid="{AC41327E-BE06-4C0B-85EC-98FC688889C3}"/>
    <cellStyle name="Normal 5 3 3 2 2 2 5 2 2 3" xfId="35686" xr:uid="{15195653-7D8E-4B66-A31C-A034328E22BB}"/>
    <cellStyle name="Normal 5 3 3 2 2 2 5 2 2 4" xfId="44133" xr:uid="{E9F5D526-2700-4860-9B29-7FECB9323D0A}"/>
    <cellStyle name="Normal 5 3 3 2 2 2 5 2 2 5" xfId="17939" xr:uid="{10EBE44B-3101-41EB-841B-59E6F164A5AC}"/>
    <cellStyle name="Normal 5 3 3 2 2 2 5 2 3" xfId="23022" xr:uid="{15706BBA-13F5-4268-8950-CA9A325383EA}"/>
    <cellStyle name="Normal 5 3 3 2 2 2 5 2 4" xfId="31469" xr:uid="{12D2D3B3-7BA3-48DD-814F-3B2B90793EBF}"/>
    <cellStyle name="Normal 5 3 3 2 2 2 5 2 5" xfId="39916" xr:uid="{5A9BFD2C-9FCF-4701-85D5-C7064712DF76}"/>
    <cellStyle name="Normal 5 3 3 2 2 2 5 2 6" xfId="13722" xr:uid="{06B9B406-ED65-405A-AAAF-A7C18162FADB}"/>
    <cellStyle name="Normal 5 3 3 2 2 2 5 3" xfId="6468" xr:uid="{00000000-0005-0000-0000-000088190000}"/>
    <cellStyle name="Normal 5 3 3 2 2 2 5 3 2" xfId="25094" xr:uid="{BE7A3B89-8AA4-422F-8BCE-44D641C4FA78}"/>
    <cellStyle name="Normal 5 3 3 2 2 2 5 3 3" xfId="33541" xr:uid="{BEE1B44F-EA9C-4279-9FAB-353E2F55DBDB}"/>
    <cellStyle name="Normal 5 3 3 2 2 2 5 3 4" xfId="41988" xr:uid="{E4B107AA-AB4C-4062-A14F-16D23D4ACECB}"/>
    <cellStyle name="Normal 5 3 3 2 2 2 5 3 5" xfId="15794" xr:uid="{A875B5DA-9358-403C-86EA-3E673DC9CDE5}"/>
    <cellStyle name="Normal 5 3 3 2 2 2 5 4" xfId="20877" xr:uid="{74C91CA4-59A4-4060-8D8D-E4132CE9C77A}"/>
    <cellStyle name="Normal 5 3 3 2 2 2 5 5" xfId="29324" xr:uid="{09D3B614-22E3-456D-A07B-2AED4B9FBEB0}"/>
    <cellStyle name="Normal 5 3 3 2 2 2 5 6" xfId="37771" xr:uid="{9F23637C-2D7D-489D-9A7E-36315D0F6DF8}"/>
    <cellStyle name="Normal 5 3 3 2 2 2 5 7" xfId="11577" xr:uid="{2B04AD8B-4A6D-4BFF-9363-76AA3A81A324}"/>
    <cellStyle name="Normal 5 3 3 2 2 2 6" xfId="2598" xr:uid="{00000000-0005-0000-0000-000089190000}"/>
    <cellStyle name="Normal 5 3 3 2 2 2 6 2" xfId="6881" xr:uid="{00000000-0005-0000-0000-00008A190000}"/>
    <cellStyle name="Normal 5 3 3 2 2 2 6 2 2" xfId="25507" xr:uid="{0D42387F-CF73-4384-8E2B-8DE369CB81B4}"/>
    <cellStyle name="Normal 5 3 3 2 2 2 6 2 3" xfId="33954" xr:uid="{AF61A6C0-8CEB-4331-8D72-15E5B6E12607}"/>
    <cellStyle name="Normal 5 3 3 2 2 2 6 2 4" xfId="42401" xr:uid="{F76F1752-2153-474F-A431-DE505ADA134B}"/>
    <cellStyle name="Normal 5 3 3 2 2 2 6 2 5" xfId="16207" xr:uid="{AB11005F-368C-4D4D-841F-F78991EF674D}"/>
    <cellStyle name="Normal 5 3 3 2 2 2 6 3" xfId="21290" xr:uid="{B0A7E379-8306-4141-B1B7-EC93E3AEE9C0}"/>
    <cellStyle name="Normal 5 3 3 2 2 2 6 4" xfId="29737" xr:uid="{A515272C-0654-416A-8007-BF3705148025}"/>
    <cellStyle name="Normal 5 3 3 2 2 2 6 5" xfId="38184" xr:uid="{7EF4A4B3-63CE-4EAA-86AD-D4451234F0E4}"/>
    <cellStyle name="Normal 5 3 3 2 2 2 6 6" xfId="11990" xr:uid="{FB80BCF9-F001-4671-AC73-F4CD638A123A}"/>
    <cellStyle name="Normal 5 3 3 2 2 2 7" xfId="4816" xr:uid="{00000000-0005-0000-0000-00008B190000}"/>
    <cellStyle name="Normal 5 3 3 2 2 2 7 2" xfId="23442" xr:uid="{61B3349D-4B7C-4071-84B8-777E41675BAF}"/>
    <cellStyle name="Normal 5 3 3 2 2 2 7 3" xfId="31889" xr:uid="{424B5E03-A19E-4323-ABE8-71F61848EDB9}"/>
    <cellStyle name="Normal 5 3 3 2 2 2 7 4" xfId="40336" xr:uid="{B97E04EC-B960-412A-A215-11801E3E5591}"/>
    <cellStyle name="Normal 5 3 3 2 2 2 7 5" xfId="14142" xr:uid="{799844F2-9A94-4158-A79C-0D8D274750C2}"/>
    <cellStyle name="Normal 5 3 3 2 2 2 8" xfId="9142" xr:uid="{81CF9711-3A0B-4712-8E8F-033C974AA9E3}"/>
    <cellStyle name="Normal 5 3 3 2 2 2 8 2" xfId="18466" xr:uid="{C3305BB3-6FF7-47F3-ACAC-864230BDD70E}"/>
    <cellStyle name="Normal 5 3 3 2 2 2 9" xfId="19225" xr:uid="{3BE6F1EF-94FD-4869-AAE6-A1C255A64031}"/>
    <cellStyle name="Normal 5 3 3 2 2 3" xfId="917" xr:uid="{00000000-0005-0000-0000-00008C190000}"/>
    <cellStyle name="Normal 5 3 3 2 2 3 2" xfId="3151" xr:uid="{00000000-0005-0000-0000-00008D190000}"/>
    <cellStyle name="Normal 5 3 3 2 2 3 2 2" xfId="7373" xr:uid="{00000000-0005-0000-0000-00008E190000}"/>
    <cellStyle name="Normal 5 3 3 2 2 3 2 2 2" xfId="25999" xr:uid="{9F04A45D-08F5-4A38-8C07-B78B8EE79350}"/>
    <cellStyle name="Normal 5 3 3 2 2 3 2 2 3" xfId="34446" xr:uid="{17897A00-4920-49C6-9822-0AFE45DA07D6}"/>
    <cellStyle name="Normal 5 3 3 2 2 3 2 2 4" xfId="42893" xr:uid="{1EADFD62-7948-48C0-84C4-ADAD1A7848F0}"/>
    <cellStyle name="Normal 5 3 3 2 2 3 2 2 5" xfId="16699" xr:uid="{5F516690-969E-4BA0-8FF1-FB11274D0F65}"/>
    <cellStyle name="Normal 5 3 3 2 2 3 2 3" xfId="21782" xr:uid="{FC87E6C7-87D2-4B75-B2DA-BD7056A8CC8D}"/>
    <cellStyle name="Normal 5 3 3 2 2 3 2 4" xfId="30229" xr:uid="{C0321856-8570-48EE-BA44-EA0D73A0A6C8}"/>
    <cellStyle name="Normal 5 3 3 2 2 3 2 5" xfId="38676" xr:uid="{D98EED49-3638-4279-81CF-5248EF110A76}"/>
    <cellStyle name="Normal 5 3 3 2 2 3 2 6" xfId="12482" xr:uid="{B6BDA06D-6315-47FF-A889-A9A9C399C5B6}"/>
    <cellStyle name="Normal 5 3 3 2 2 3 3" xfId="5228" xr:uid="{00000000-0005-0000-0000-00008F190000}"/>
    <cellStyle name="Normal 5 3 3 2 2 3 3 2" xfId="23854" xr:uid="{40FF97B4-C342-42A9-AE94-7127BBDDCF62}"/>
    <cellStyle name="Normal 5 3 3 2 2 3 3 3" xfId="32301" xr:uid="{2B78FA11-B55E-4F08-AFCD-F88467CC9CB3}"/>
    <cellStyle name="Normal 5 3 3 2 2 3 3 4" xfId="40748" xr:uid="{710E9FF3-EAA2-4D15-8CFC-DAFB3F4B40F2}"/>
    <cellStyle name="Normal 5 3 3 2 2 3 3 5" xfId="14554" xr:uid="{7AEFDE04-2532-4A88-8103-E8FA0D81B38B}"/>
    <cellStyle name="Normal 5 3 3 2 2 3 4" xfId="9360" xr:uid="{07447062-3C9B-4A41-BE9D-50DE495FF588}"/>
    <cellStyle name="Normal 5 3 3 2 2 3 4 2" xfId="18676" xr:uid="{FC7CC1DB-18F7-4391-9F21-1182357E571D}"/>
    <cellStyle name="Normal 5 3 3 2 2 3 5" xfId="19637" xr:uid="{3D853515-4F05-4277-BA1A-049F5B354786}"/>
    <cellStyle name="Normal 5 3 3 2 2 3 6" xfId="28084" xr:uid="{FB758C88-27C5-4701-87FC-9F2BCBE95A40}"/>
    <cellStyle name="Normal 5 3 3 2 2 3 7" xfId="36531" xr:uid="{7CBBF61A-1D2E-4A18-BB3E-8D37BC216239}"/>
    <cellStyle name="Normal 5 3 3 2 2 3 8" xfId="10337" xr:uid="{7C806D2A-D373-4A2B-9F7C-27F72F1E5D7E}"/>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2 2 2" xfId="26412" xr:uid="{A627B9C6-69B1-404B-A8C7-066EA603A490}"/>
    <cellStyle name="Normal 5 3 3 2 2 4 2 2 3" xfId="34859" xr:uid="{68A481F8-E4D7-4DDD-A946-81C2BC45AC3C}"/>
    <cellStyle name="Normal 5 3 3 2 2 4 2 2 4" xfId="43306" xr:uid="{427D67E9-607F-4B5B-952D-0D7B5691499F}"/>
    <cellStyle name="Normal 5 3 3 2 2 4 2 2 5" xfId="17112" xr:uid="{9CEB271A-08C4-4353-A33B-AE16CDD8D993}"/>
    <cellStyle name="Normal 5 3 3 2 2 4 2 3" xfId="22195" xr:uid="{7280E02E-BE12-4FFB-9E13-103FA69F0E2D}"/>
    <cellStyle name="Normal 5 3 3 2 2 4 2 4" xfId="30642" xr:uid="{E9351C65-D457-4B33-8240-0F1BE625A643}"/>
    <cellStyle name="Normal 5 3 3 2 2 4 2 5" xfId="39089" xr:uid="{8771F181-C645-4396-8354-2D6C6D615D9C}"/>
    <cellStyle name="Normal 5 3 3 2 2 4 2 6" xfId="12895" xr:uid="{3C0AFBFE-C42B-4849-986D-A4C339E69482}"/>
    <cellStyle name="Normal 5 3 3 2 2 4 3" xfId="5641" xr:uid="{00000000-0005-0000-0000-000093190000}"/>
    <cellStyle name="Normal 5 3 3 2 2 4 3 2" xfId="24267" xr:uid="{47EE1F2F-6397-43E6-81DF-A85A1257B195}"/>
    <cellStyle name="Normal 5 3 3 2 2 4 3 3" xfId="32714" xr:uid="{DD3280FC-7C2B-4F28-9283-7AA78E4060A1}"/>
    <cellStyle name="Normal 5 3 3 2 2 4 3 4" xfId="41161" xr:uid="{849E945A-992A-482B-AB44-408C0B3C52E8}"/>
    <cellStyle name="Normal 5 3 3 2 2 4 3 5" xfId="14967" xr:uid="{BBF10A13-0678-454E-AB8C-706EEA84C16E}"/>
    <cellStyle name="Normal 5 3 3 2 2 4 4" xfId="20050" xr:uid="{668E2F6E-0AF8-40DF-8E55-C246530C4449}"/>
    <cellStyle name="Normal 5 3 3 2 2 4 5" xfId="28497" xr:uid="{C71D5C81-4D2A-4F8C-B49E-F3768FA75609}"/>
    <cellStyle name="Normal 5 3 3 2 2 4 6" xfId="36944" xr:uid="{8DF29D2C-41A0-41C3-8AD5-14541B1CF19A}"/>
    <cellStyle name="Normal 5 3 3 2 2 4 7" xfId="10750" xr:uid="{98B89C0A-9CC3-4ADC-90B8-AA9A1BEDCC01}"/>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2 2 2" xfId="26825" xr:uid="{4552AB1E-990F-4B10-80AC-A087BF5C7F5B}"/>
    <cellStyle name="Normal 5 3 3 2 2 5 2 2 3" xfId="35272" xr:uid="{36A6E988-EC7B-4385-95FB-2EA87072F086}"/>
    <cellStyle name="Normal 5 3 3 2 2 5 2 2 4" xfId="43719" xr:uid="{9AD605F7-AEAD-42B9-B2D9-196C2CDBEA71}"/>
    <cellStyle name="Normal 5 3 3 2 2 5 2 2 5" xfId="17525" xr:uid="{0726581C-8CF4-4D24-8F4F-46E5F50C2F76}"/>
    <cellStyle name="Normal 5 3 3 2 2 5 2 3" xfId="22608" xr:uid="{2BB6C9AB-E845-4C2C-B42F-2FE363590FF9}"/>
    <cellStyle name="Normal 5 3 3 2 2 5 2 4" xfId="31055" xr:uid="{75097AC5-70E8-486E-A4C6-BB061A7BD41D}"/>
    <cellStyle name="Normal 5 3 3 2 2 5 2 5" xfId="39502" xr:uid="{9672174C-C281-4950-B25A-503BEC9650B7}"/>
    <cellStyle name="Normal 5 3 3 2 2 5 2 6" xfId="13308" xr:uid="{25066DBA-660C-4461-8DA0-ABFCA41F3319}"/>
    <cellStyle name="Normal 5 3 3 2 2 5 3" xfId="6054" xr:uid="{00000000-0005-0000-0000-000097190000}"/>
    <cellStyle name="Normal 5 3 3 2 2 5 3 2" xfId="24680" xr:uid="{7810B1D7-366F-4118-B805-865187EFAE86}"/>
    <cellStyle name="Normal 5 3 3 2 2 5 3 3" xfId="33127" xr:uid="{8699BDEA-112C-4C50-A940-72230AECE9C1}"/>
    <cellStyle name="Normal 5 3 3 2 2 5 3 4" xfId="41574" xr:uid="{8139E4C1-083F-4D75-80BF-E57172A79649}"/>
    <cellStyle name="Normal 5 3 3 2 2 5 3 5" xfId="15380" xr:uid="{1B1090AE-4788-4E5B-AF20-1A94BDF7164B}"/>
    <cellStyle name="Normal 5 3 3 2 2 5 4" xfId="20463" xr:uid="{DC2E313F-C07A-494C-8C35-A4A6C14E4DC1}"/>
    <cellStyle name="Normal 5 3 3 2 2 5 5" xfId="28910" xr:uid="{EFA1D19D-951C-40DD-B1C2-79120F23219D}"/>
    <cellStyle name="Normal 5 3 3 2 2 5 6" xfId="37357" xr:uid="{9320DFED-72EA-4BFA-B653-31C28CA08733}"/>
    <cellStyle name="Normal 5 3 3 2 2 5 7" xfId="11163" xr:uid="{BE5D315E-2AAA-4524-B134-2005FAC37B51}"/>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2 2 2" xfId="27238" xr:uid="{4CF5B26D-9449-424F-A246-BC92980C122A}"/>
    <cellStyle name="Normal 5 3 3 2 2 6 2 2 3" xfId="35685" xr:uid="{B3116E62-BF39-4349-8BEF-17E7280EFD9A}"/>
    <cellStyle name="Normal 5 3 3 2 2 6 2 2 4" xfId="44132" xr:uid="{CDB741C1-06C3-4B97-8D39-D81DC0A75907}"/>
    <cellStyle name="Normal 5 3 3 2 2 6 2 2 5" xfId="17938" xr:uid="{B94682AE-B226-4EF1-A5FF-29A68379522E}"/>
    <cellStyle name="Normal 5 3 3 2 2 6 2 3" xfId="23021" xr:uid="{46CAEB58-597D-47FE-9096-25B7E3061462}"/>
    <cellStyle name="Normal 5 3 3 2 2 6 2 4" xfId="31468" xr:uid="{CEC7D2B0-6D1A-4912-969D-1937E63D0700}"/>
    <cellStyle name="Normal 5 3 3 2 2 6 2 5" xfId="39915" xr:uid="{DD870B3F-5573-4800-8C75-5014F03865CE}"/>
    <cellStyle name="Normal 5 3 3 2 2 6 2 6" xfId="13721" xr:uid="{E2E767E9-3351-44FC-B353-5C26BABE054C}"/>
    <cellStyle name="Normal 5 3 3 2 2 6 3" xfId="6467" xr:uid="{00000000-0005-0000-0000-00009B190000}"/>
    <cellStyle name="Normal 5 3 3 2 2 6 3 2" xfId="25093" xr:uid="{0B959A31-CF11-4FE3-BBE2-32106B81AA17}"/>
    <cellStyle name="Normal 5 3 3 2 2 6 3 3" xfId="33540" xr:uid="{92E9B162-3652-4E83-8D9D-637CF47DB011}"/>
    <cellStyle name="Normal 5 3 3 2 2 6 3 4" xfId="41987" xr:uid="{5A2B5818-7D26-44E3-BC33-16B5AB481757}"/>
    <cellStyle name="Normal 5 3 3 2 2 6 3 5" xfId="15793" xr:uid="{CE098F64-4C9B-48EE-9635-7C374D2F29DD}"/>
    <cellStyle name="Normal 5 3 3 2 2 6 4" xfId="20876" xr:uid="{2D9DC975-D72C-4571-B53C-186E6187C673}"/>
    <cellStyle name="Normal 5 3 3 2 2 6 5" xfId="29323" xr:uid="{1DB81413-CCE5-41BD-B763-D9FF23167E76}"/>
    <cellStyle name="Normal 5 3 3 2 2 6 6" xfId="37770" xr:uid="{85591DCE-4AEC-4E56-A98F-62E93EC7F06E}"/>
    <cellStyle name="Normal 5 3 3 2 2 6 7" xfId="11576" xr:uid="{F9609C30-926B-4390-BC3D-A1B381A832E5}"/>
    <cellStyle name="Normal 5 3 3 2 2 7" xfId="2597" xr:uid="{00000000-0005-0000-0000-00009C190000}"/>
    <cellStyle name="Normal 5 3 3 2 2 7 2" xfId="6880" xr:uid="{00000000-0005-0000-0000-00009D190000}"/>
    <cellStyle name="Normal 5 3 3 2 2 7 2 2" xfId="25506" xr:uid="{490A5A1B-5E19-4219-A766-77DADDCC44EC}"/>
    <cellStyle name="Normal 5 3 3 2 2 7 2 3" xfId="33953" xr:uid="{11F3DAAC-4DAF-45C7-A918-37E9A87259E5}"/>
    <cellStyle name="Normal 5 3 3 2 2 7 2 4" xfId="42400" xr:uid="{B7B926B1-C17C-46C4-9549-C0C6630729BF}"/>
    <cellStyle name="Normal 5 3 3 2 2 7 2 5" xfId="16206" xr:uid="{B62ED1EF-30E5-41B0-BC46-18B78A44C4DC}"/>
    <cellStyle name="Normal 5 3 3 2 2 7 3" xfId="21289" xr:uid="{B73C103B-8C63-4046-B9EB-9E1DE3931218}"/>
    <cellStyle name="Normal 5 3 3 2 2 7 4" xfId="29736" xr:uid="{4040067A-4936-457E-A7F4-E3A420525087}"/>
    <cellStyle name="Normal 5 3 3 2 2 7 5" xfId="38183" xr:uid="{FB79BF80-BAD5-473F-B90E-8CAB5C24BF43}"/>
    <cellStyle name="Normal 5 3 3 2 2 7 6" xfId="11989" xr:uid="{6E7C5326-C71A-4D8A-B53B-0426D5080E46}"/>
    <cellStyle name="Normal 5 3 3 2 2 8" xfId="4815" xr:uid="{00000000-0005-0000-0000-00009E190000}"/>
    <cellStyle name="Normal 5 3 3 2 2 8 2" xfId="23441" xr:uid="{24459B1C-99E6-4482-B8BE-26B2EBE0EC70}"/>
    <cellStyle name="Normal 5 3 3 2 2 8 3" xfId="31888" xr:uid="{203D0E85-E945-4FD9-8CFB-BB25E0E8FCA7}"/>
    <cellStyle name="Normal 5 3 3 2 2 8 4" xfId="40335" xr:uid="{6BCB90D2-5FC5-4AB8-A437-53C409759381}"/>
    <cellStyle name="Normal 5 3 3 2 2 8 5" xfId="14141" xr:uid="{67B599A2-B0DC-45E3-92E2-6CEA2F92487E}"/>
    <cellStyle name="Normal 5 3 3 2 2 9" xfId="8935" xr:uid="{94B8766B-0DD5-4CC7-9403-D37FC711344B}"/>
    <cellStyle name="Normal 5 3 3 2 2 9 2" xfId="18259" xr:uid="{75DEEE3C-9E4B-4F58-99A2-FCCBFDE77956}"/>
    <cellStyle name="Normal 5 3 3 2 3" xfId="445" xr:uid="{00000000-0005-0000-0000-00009F190000}"/>
    <cellStyle name="Normal 5 3 3 2 3 10" xfId="27673" xr:uid="{17490089-DCC2-4030-9D9D-F2CD8F1649F4}"/>
    <cellStyle name="Normal 5 3 3 2 3 11" xfId="36120" xr:uid="{D23C04FE-1928-4DB2-A8C2-D5C0D0575C75}"/>
    <cellStyle name="Normal 5 3 3 2 3 12" xfId="9926" xr:uid="{E2B996A5-DF14-4FBD-97E5-CB80B0E98396}"/>
    <cellStyle name="Normal 5 3 3 2 3 2" xfId="919" xr:uid="{00000000-0005-0000-0000-0000A0190000}"/>
    <cellStyle name="Normal 5 3 3 2 3 2 2" xfId="3153" xr:uid="{00000000-0005-0000-0000-0000A1190000}"/>
    <cellStyle name="Normal 5 3 3 2 3 2 2 2" xfId="7375" xr:uid="{00000000-0005-0000-0000-0000A2190000}"/>
    <cellStyle name="Normal 5 3 3 2 3 2 2 2 2" xfId="26001" xr:uid="{076D1838-E08A-4262-B3B4-CC3FDF40DE64}"/>
    <cellStyle name="Normal 5 3 3 2 3 2 2 2 3" xfId="34448" xr:uid="{DDAB61DF-BE9C-4956-8224-D013C7D10405}"/>
    <cellStyle name="Normal 5 3 3 2 3 2 2 2 4" xfId="42895" xr:uid="{4DA93FE0-2E32-4857-AF8E-01A416D85DD5}"/>
    <cellStyle name="Normal 5 3 3 2 3 2 2 2 5" xfId="16701" xr:uid="{E614E743-3C74-4078-8EF7-4261182F8CAA}"/>
    <cellStyle name="Normal 5 3 3 2 3 2 2 3" xfId="21784" xr:uid="{8116155F-45A0-49D4-9318-45D322FC2CC3}"/>
    <cellStyle name="Normal 5 3 3 2 3 2 2 4" xfId="30231" xr:uid="{0553ED30-4039-455C-B169-C9A452E6CBCD}"/>
    <cellStyle name="Normal 5 3 3 2 3 2 2 5" xfId="38678" xr:uid="{1BFF2206-0CBA-4554-9D77-C6BDA979769C}"/>
    <cellStyle name="Normal 5 3 3 2 3 2 2 6" xfId="12484" xr:uid="{876EB937-09E1-49F2-97CD-FBAB307E97D5}"/>
    <cellStyle name="Normal 5 3 3 2 3 2 3" xfId="5230" xr:uid="{00000000-0005-0000-0000-0000A3190000}"/>
    <cellStyle name="Normal 5 3 3 2 3 2 3 2" xfId="23856" xr:uid="{065EAA6C-6877-41A8-A386-C23A33C157B2}"/>
    <cellStyle name="Normal 5 3 3 2 3 2 3 3" xfId="32303" xr:uid="{CB5061B7-E299-48C0-AE1F-CB80C89437DB}"/>
    <cellStyle name="Normal 5 3 3 2 3 2 3 4" xfId="40750" xr:uid="{409B668D-5E55-4C7C-A59A-43BB26134D33}"/>
    <cellStyle name="Normal 5 3 3 2 3 2 3 5" xfId="14556" xr:uid="{DFC27E06-DFAF-4EBB-846A-850DD03EB0C2}"/>
    <cellStyle name="Normal 5 3 3 2 3 2 4" xfId="9464" xr:uid="{6A182EEF-0879-47AD-839A-17D560B4AF3D}"/>
    <cellStyle name="Normal 5 3 3 2 3 2 4 2" xfId="18780" xr:uid="{F65B0E10-AE93-4A6C-B9D6-9DBE035A0AB0}"/>
    <cellStyle name="Normal 5 3 3 2 3 2 5" xfId="19639" xr:uid="{D346BE8B-9041-43AA-B4BC-5AB619CFB7AA}"/>
    <cellStyle name="Normal 5 3 3 2 3 2 6" xfId="28086" xr:uid="{A09EE4EC-26DA-45B4-AE6A-7D1CC45462FC}"/>
    <cellStyle name="Normal 5 3 3 2 3 2 7" xfId="36533" xr:uid="{71468919-0F8D-43AA-BF0A-9285CFE5E901}"/>
    <cellStyle name="Normal 5 3 3 2 3 2 8" xfId="10339" xr:uid="{43DF95E9-2513-4205-9F11-B50CD62F73F7}"/>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2 2 2" xfId="26414" xr:uid="{F3C46739-BB67-4B1D-943F-E0AD0951F244}"/>
    <cellStyle name="Normal 5 3 3 2 3 3 2 2 3" xfId="34861" xr:uid="{57DC6131-E52C-4B14-A5F7-D44A69AF2FD5}"/>
    <cellStyle name="Normal 5 3 3 2 3 3 2 2 4" xfId="43308" xr:uid="{F25060F8-1F47-483D-9141-2D114FDAE567}"/>
    <cellStyle name="Normal 5 3 3 2 3 3 2 2 5" xfId="17114" xr:uid="{8EFAB1EC-3E92-4B12-8F72-CAEEAFC971DF}"/>
    <cellStyle name="Normal 5 3 3 2 3 3 2 3" xfId="22197" xr:uid="{49ED1D52-BCA5-483A-8303-B4CE43E15B76}"/>
    <cellStyle name="Normal 5 3 3 2 3 3 2 4" xfId="30644" xr:uid="{A42B75BA-37FB-4C86-8586-97868184B8E4}"/>
    <cellStyle name="Normal 5 3 3 2 3 3 2 5" xfId="39091" xr:uid="{71AF3234-106A-4C2D-A75E-14650D25643C}"/>
    <cellStyle name="Normal 5 3 3 2 3 3 2 6" xfId="12897" xr:uid="{913A5C98-CCBD-454C-B4E1-9FBBCBDB9B0B}"/>
    <cellStyle name="Normal 5 3 3 2 3 3 3" xfId="5643" xr:uid="{00000000-0005-0000-0000-0000A7190000}"/>
    <cellStyle name="Normal 5 3 3 2 3 3 3 2" xfId="24269" xr:uid="{86F8C9A6-185D-4FA3-9F2C-B65CA05B9AAC}"/>
    <cellStyle name="Normal 5 3 3 2 3 3 3 3" xfId="32716" xr:uid="{D27E3FA1-2AD3-4AEB-8636-9EAA34FEF2ED}"/>
    <cellStyle name="Normal 5 3 3 2 3 3 3 4" xfId="41163" xr:uid="{9E003215-FBEC-4A64-99C8-10A504919945}"/>
    <cellStyle name="Normal 5 3 3 2 3 3 3 5" xfId="14969" xr:uid="{C2E69BD2-6757-4E67-860F-959C2DB15460}"/>
    <cellStyle name="Normal 5 3 3 2 3 3 4" xfId="20052" xr:uid="{B4345E78-2D52-4B82-814C-2CEEF4FCFF04}"/>
    <cellStyle name="Normal 5 3 3 2 3 3 5" xfId="28499" xr:uid="{9D6F0CB6-43EC-4396-B961-55DF133D1037}"/>
    <cellStyle name="Normal 5 3 3 2 3 3 6" xfId="36946" xr:uid="{13E58ECF-3497-4573-AE42-67E04DB9E17B}"/>
    <cellStyle name="Normal 5 3 3 2 3 3 7" xfId="10752" xr:uid="{1F159F61-066F-4A54-9E85-2E01B40AEB7C}"/>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2 2 2" xfId="26827" xr:uid="{7E398BDD-76FD-462C-9455-A21431295BA9}"/>
    <cellStyle name="Normal 5 3 3 2 3 4 2 2 3" xfId="35274" xr:uid="{BD788D3D-3842-4F1A-AB96-469D83AA717A}"/>
    <cellStyle name="Normal 5 3 3 2 3 4 2 2 4" xfId="43721" xr:uid="{D2469FB7-76C4-4BE9-B500-044BCCBE517B}"/>
    <cellStyle name="Normal 5 3 3 2 3 4 2 2 5" xfId="17527" xr:uid="{EDEE951A-75F8-4EBD-8ADE-BC6DAE304C7E}"/>
    <cellStyle name="Normal 5 3 3 2 3 4 2 3" xfId="22610" xr:uid="{D1865134-D83B-48A4-92A0-BCD7349DA223}"/>
    <cellStyle name="Normal 5 3 3 2 3 4 2 4" xfId="31057" xr:uid="{86020843-E561-498B-9E53-07F13CB83519}"/>
    <cellStyle name="Normal 5 3 3 2 3 4 2 5" xfId="39504" xr:uid="{A1E6B814-1D8B-4058-8914-CD0F9FB3EC78}"/>
    <cellStyle name="Normal 5 3 3 2 3 4 2 6" xfId="13310" xr:uid="{75E11E66-8D80-44EA-9AB8-DDEAFEBBFA43}"/>
    <cellStyle name="Normal 5 3 3 2 3 4 3" xfId="6056" xr:uid="{00000000-0005-0000-0000-0000AB190000}"/>
    <cellStyle name="Normal 5 3 3 2 3 4 3 2" xfId="24682" xr:uid="{B90F3197-6272-4CB9-A561-FD0A84D16803}"/>
    <cellStyle name="Normal 5 3 3 2 3 4 3 3" xfId="33129" xr:uid="{A92586E8-160B-4982-B1CC-9E3604F03411}"/>
    <cellStyle name="Normal 5 3 3 2 3 4 3 4" xfId="41576" xr:uid="{882E7EB7-EA9E-4605-9791-06F15D0D1D60}"/>
    <cellStyle name="Normal 5 3 3 2 3 4 3 5" xfId="15382" xr:uid="{527A8627-2D78-46F6-9C68-E56AF12D075E}"/>
    <cellStyle name="Normal 5 3 3 2 3 4 4" xfId="20465" xr:uid="{51012A98-F505-4890-8B10-D6A91602470A}"/>
    <cellStyle name="Normal 5 3 3 2 3 4 5" xfId="28912" xr:uid="{87F32223-3A84-4820-9F74-A66E4A2478E3}"/>
    <cellStyle name="Normal 5 3 3 2 3 4 6" xfId="37359" xr:uid="{BAAB9490-05C7-4683-9987-B857DB86CB3F}"/>
    <cellStyle name="Normal 5 3 3 2 3 4 7" xfId="11165" xr:uid="{B10359D5-C926-4F09-8D47-118911F95385}"/>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2 2 2" xfId="27240" xr:uid="{9A7FD876-0B81-49B6-8A09-FD495708021A}"/>
    <cellStyle name="Normal 5 3 3 2 3 5 2 2 3" xfId="35687" xr:uid="{CDDF3405-35E2-4666-A31D-F8C1B0386BB5}"/>
    <cellStyle name="Normal 5 3 3 2 3 5 2 2 4" xfId="44134" xr:uid="{73F185E9-B402-4D56-A11E-EC8583E68327}"/>
    <cellStyle name="Normal 5 3 3 2 3 5 2 2 5" xfId="17940" xr:uid="{F9ED68FC-ADF3-47E7-90A8-9C5B54EB81D5}"/>
    <cellStyle name="Normal 5 3 3 2 3 5 2 3" xfId="23023" xr:uid="{3F26BC8A-3F05-4EEB-8E82-5CB8EE6905F3}"/>
    <cellStyle name="Normal 5 3 3 2 3 5 2 4" xfId="31470" xr:uid="{BBAB4E1E-2D61-48C4-94B8-10D068DE28A4}"/>
    <cellStyle name="Normal 5 3 3 2 3 5 2 5" xfId="39917" xr:uid="{3FF0F0C6-3E18-45D6-BB0D-1957495D8200}"/>
    <cellStyle name="Normal 5 3 3 2 3 5 2 6" xfId="13723" xr:uid="{780D66D4-16B8-4738-B1FC-97517162E68D}"/>
    <cellStyle name="Normal 5 3 3 2 3 5 3" xfId="6469" xr:uid="{00000000-0005-0000-0000-0000AF190000}"/>
    <cellStyle name="Normal 5 3 3 2 3 5 3 2" xfId="25095" xr:uid="{F4D306D6-F765-404D-8FF8-7CB850A7D06E}"/>
    <cellStyle name="Normal 5 3 3 2 3 5 3 3" xfId="33542" xr:uid="{16D13860-A2E8-4445-8E77-AA9247C2FC6F}"/>
    <cellStyle name="Normal 5 3 3 2 3 5 3 4" xfId="41989" xr:uid="{4981E6DB-9935-4FCA-A6B2-1E4173821040}"/>
    <cellStyle name="Normal 5 3 3 2 3 5 3 5" xfId="15795" xr:uid="{8BD3EB07-811B-490E-8727-F0EF70F71CD3}"/>
    <cellStyle name="Normal 5 3 3 2 3 5 4" xfId="20878" xr:uid="{A3E51BAC-5815-4C42-B679-2278B495CC13}"/>
    <cellStyle name="Normal 5 3 3 2 3 5 5" xfId="29325" xr:uid="{6840AD14-56BA-4808-A5FB-DE6F54C0C7F5}"/>
    <cellStyle name="Normal 5 3 3 2 3 5 6" xfId="37772" xr:uid="{55EBA8B5-DD2B-4E8F-AA0E-9C9CFB2BCAB3}"/>
    <cellStyle name="Normal 5 3 3 2 3 5 7" xfId="11578" xr:uid="{2200F2C6-6B47-4CF7-8A28-4708ECEFEDAA}"/>
    <cellStyle name="Normal 5 3 3 2 3 6" xfId="2599" xr:uid="{00000000-0005-0000-0000-0000B0190000}"/>
    <cellStyle name="Normal 5 3 3 2 3 6 2" xfId="6882" xr:uid="{00000000-0005-0000-0000-0000B1190000}"/>
    <cellStyle name="Normal 5 3 3 2 3 6 2 2" xfId="25508" xr:uid="{70152F1B-8821-4DF8-9F62-438737DD3DF3}"/>
    <cellStyle name="Normal 5 3 3 2 3 6 2 3" xfId="33955" xr:uid="{56100AB0-D0F4-4243-A040-DCF20E1D9019}"/>
    <cellStyle name="Normal 5 3 3 2 3 6 2 4" xfId="42402" xr:uid="{5609828D-12F5-4253-85C3-964854730F47}"/>
    <cellStyle name="Normal 5 3 3 2 3 6 2 5" xfId="16208" xr:uid="{E83EEF80-BABE-4E80-9CAF-2F53C76B4F8D}"/>
    <cellStyle name="Normal 5 3 3 2 3 6 3" xfId="21291" xr:uid="{44E3B303-95E5-45C1-A65C-4BA1D2E7DCFC}"/>
    <cellStyle name="Normal 5 3 3 2 3 6 4" xfId="29738" xr:uid="{E45744DA-F66A-4E40-A5F4-80391D0709EF}"/>
    <cellStyle name="Normal 5 3 3 2 3 6 5" xfId="38185" xr:uid="{61A7C0C0-5C84-4EAB-AB37-4B9626D89594}"/>
    <cellStyle name="Normal 5 3 3 2 3 6 6" xfId="11991" xr:uid="{F54FB6E4-56F4-431F-9124-417343B58351}"/>
    <cellStyle name="Normal 5 3 3 2 3 7" xfId="4817" xr:uid="{00000000-0005-0000-0000-0000B2190000}"/>
    <cellStyle name="Normal 5 3 3 2 3 7 2" xfId="23443" xr:uid="{FAD617E9-0C8C-4C6B-98EA-9E9558EDD77C}"/>
    <cellStyle name="Normal 5 3 3 2 3 7 3" xfId="31890" xr:uid="{25DE692B-F6A8-46FF-88DD-856A8A19C0B6}"/>
    <cellStyle name="Normal 5 3 3 2 3 7 4" xfId="40337" xr:uid="{AB924161-FD01-46A1-8FB1-5420E297487F}"/>
    <cellStyle name="Normal 5 3 3 2 3 7 5" xfId="14143" xr:uid="{FFEAAD72-3992-4D06-A568-4B4E1F7031B5}"/>
    <cellStyle name="Normal 5 3 3 2 3 8" xfId="9039" xr:uid="{84D80CE6-A0CA-4841-8673-26EA7EC6806D}"/>
    <cellStyle name="Normal 5 3 3 2 3 8 2" xfId="18363" xr:uid="{F87D9DFE-49ED-4896-9100-97676CF70997}"/>
    <cellStyle name="Normal 5 3 3 2 3 9" xfId="19226" xr:uid="{49D3D28C-9ABD-45E1-8E38-2F847E2FB82F}"/>
    <cellStyle name="Normal 5 3 3 2 4" xfId="916" xr:uid="{00000000-0005-0000-0000-0000B3190000}"/>
    <cellStyle name="Normal 5 3 3 2 4 2" xfId="3150" xr:uid="{00000000-0005-0000-0000-0000B4190000}"/>
    <cellStyle name="Normal 5 3 3 2 4 2 2" xfId="7372" xr:uid="{00000000-0005-0000-0000-0000B5190000}"/>
    <cellStyle name="Normal 5 3 3 2 4 2 2 2" xfId="25998" xr:uid="{8B3D5D12-4B04-4E34-B51D-05EABDA2F639}"/>
    <cellStyle name="Normal 5 3 3 2 4 2 2 3" xfId="34445" xr:uid="{3CB25EB0-4642-47E4-B17A-92DC869C8C28}"/>
    <cellStyle name="Normal 5 3 3 2 4 2 2 4" xfId="42892" xr:uid="{F9CE2C60-D84F-41C3-AC48-0E099F6F75AD}"/>
    <cellStyle name="Normal 5 3 3 2 4 2 2 5" xfId="16698" xr:uid="{F9D54F06-94A9-47BF-8A08-5DDB49CAC939}"/>
    <cellStyle name="Normal 5 3 3 2 4 2 3" xfId="21781" xr:uid="{C2644E23-8257-433F-9F5A-1E0CE7EFF47F}"/>
    <cellStyle name="Normal 5 3 3 2 4 2 4" xfId="30228" xr:uid="{DB4E1E9C-E421-4C88-826B-EC8E6DB7269E}"/>
    <cellStyle name="Normal 5 3 3 2 4 2 5" xfId="38675" xr:uid="{EF3FD37D-F5DB-4AB5-8E04-B7D1DC8553F9}"/>
    <cellStyle name="Normal 5 3 3 2 4 2 6" xfId="12481" xr:uid="{ED3C8829-F722-4018-87A4-1ED2DE749282}"/>
    <cellStyle name="Normal 5 3 3 2 4 3" xfId="5227" xr:uid="{00000000-0005-0000-0000-0000B6190000}"/>
    <cellStyle name="Normal 5 3 3 2 4 3 2" xfId="23853" xr:uid="{4392C06E-42EB-4915-A8AD-B69A75AA0340}"/>
    <cellStyle name="Normal 5 3 3 2 4 3 3" xfId="32300" xr:uid="{1FFEDFA6-FA60-455B-893E-AD24EAC0D63B}"/>
    <cellStyle name="Normal 5 3 3 2 4 3 4" xfId="40747" xr:uid="{9B4CAC1E-FB85-4C0F-B77E-029802715AE7}"/>
    <cellStyle name="Normal 5 3 3 2 4 3 5" xfId="14553" xr:uid="{63C03583-637D-431E-AFA1-4C0350FBBA91}"/>
    <cellStyle name="Normal 5 3 3 2 4 4" xfId="9257" xr:uid="{E6656214-6E5B-491F-B1E3-227CB6568726}"/>
    <cellStyle name="Normal 5 3 3 2 4 4 2" xfId="18573" xr:uid="{961F3792-9662-46A3-98FD-2CFFBDFFD6B3}"/>
    <cellStyle name="Normal 5 3 3 2 4 5" xfId="19636" xr:uid="{145CB307-FCDB-4282-B5A0-CF397519355E}"/>
    <cellStyle name="Normal 5 3 3 2 4 6" xfId="28083" xr:uid="{0C1A3F3B-982A-4B26-8429-64ADE11CAF8D}"/>
    <cellStyle name="Normal 5 3 3 2 4 7" xfId="36530" xr:uid="{FBCD2E45-1655-4A4F-833C-9CDADFF5DD59}"/>
    <cellStyle name="Normal 5 3 3 2 4 8" xfId="10336" xr:uid="{5AC632B2-3799-4ACC-8DB9-8EC6A7C3ADC0}"/>
    <cellStyle name="Normal 5 3 3 2 5" xfId="1333" xr:uid="{00000000-0005-0000-0000-0000B7190000}"/>
    <cellStyle name="Normal 5 3 3 2 5 2" xfId="3563" xr:uid="{00000000-0005-0000-0000-0000B8190000}"/>
    <cellStyle name="Normal 5 3 3 2 5 2 2" xfId="7785" xr:uid="{00000000-0005-0000-0000-0000B9190000}"/>
    <cellStyle name="Normal 5 3 3 2 5 2 2 2" xfId="26411" xr:uid="{597686C3-9282-4DF9-B5D0-44E658AAB7A7}"/>
    <cellStyle name="Normal 5 3 3 2 5 2 2 3" xfId="34858" xr:uid="{EAD54F46-91FB-45AE-BB16-91E8A0C5A1B7}"/>
    <cellStyle name="Normal 5 3 3 2 5 2 2 4" xfId="43305" xr:uid="{1EA125E3-F3E8-44CA-A112-16734C0C9FF7}"/>
    <cellStyle name="Normal 5 3 3 2 5 2 2 5" xfId="17111" xr:uid="{34B907C8-635F-4853-BBC3-8CB614430494}"/>
    <cellStyle name="Normal 5 3 3 2 5 2 3" xfId="22194" xr:uid="{3603E5F6-A463-40D6-8C78-D45B6CA9B6F6}"/>
    <cellStyle name="Normal 5 3 3 2 5 2 4" xfId="30641" xr:uid="{806EDE91-4ED1-4BB4-8BC7-3BD65C3AAFC2}"/>
    <cellStyle name="Normal 5 3 3 2 5 2 5" xfId="39088" xr:uid="{C628102C-8510-49E7-847A-515F03EE3787}"/>
    <cellStyle name="Normal 5 3 3 2 5 2 6" xfId="12894" xr:uid="{D7BAA1C0-08CF-48EE-B66A-3E14B813925E}"/>
    <cellStyle name="Normal 5 3 3 2 5 3" xfId="5640" xr:uid="{00000000-0005-0000-0000-0000BA190000}"/>
    <cellStyle name="Normal 5 3 3 2 5 3 2" xfId="24266" xr:uid="{041B80A6-89CE-4483-A4BB-3FBE336BB790}"/>
    <cellStyle name="Normal 5 3 3 2 5 3 3" xfId="32713" xr:uid="{416828AA-EF43-4ECB-84D6-6E5D9499EC63}"/>
    <cellStyle name="Normal 5 3 3 2 5 3 4" xfId="41160" xr:uid="{7C9ACB41-EC89-4BE1-BE59-C4E327980E51}"/>
    <cellStyle name="Normal 5 3 3 2 5 3 5" xfId="14966" xr:uid="{ABDE306C-8A9A-4326-A599-2C97A16ED49F}"/>
    <cellStyle name="Normal 5 3 3 2 5 4" xfId="20049" xr:uid="{58FDF8C5-9905-4AC7-8E72-0A679FEE8753}"/>
    <cellStyle name="Normal 5 3 3 2 5 5" xfId="28496" xr:uid="{E9420B3D-5AC3-4CD4-8E4B-830B62277885}"/>
    <cellStyle name="Normal 5 3 3 2 5 6" xfId="36943" xr:uid="{FDCE07E7-F6E8-4A01-B243-A559D1C68C36}"/>
    <cellStyle name="Normal 5 3 3 2 5 7" xfId="10749" xr:uid="{0C9CE6EE-0567-4BB2-A613-36B00B2ABA82}"/>
    <cellStyle name="Normal 5 3 3 2 6" xfId="1746" xr:uid="{00000000-0005-0000-0000-0000BB190000}"/>
    <cellStyle name="Normal 5 3 3 2 6 2" xfId="3976" xr:uid="{00000000-0005-0000-0000-0000BC190000}"/>
    <cellStyle name="Normal 5 3 3 2 6 2 2" xfId="8198" xr:uid="{00000000-0005-0000-0000-0000BD190000}"/>
    <cellStyle name="Normal 5 3 3 2 6 2 2 2" xfId="26824" xr:uid="{120D612A-F278-4D1C-9DB8-4D0CCD4EADE8}"/>
    <cellStyle name="Normal 5 3 3 2 6 2 2 3" xfId="35271" xr:uid="{468300D8-C070-4B9A-A5F1-1D39FE72945B}"/>
    <cellStyle name="Normal 5 3 3 2 6 2 2 4" xfId="43718" xr:uid="{B5134627-32B9-4DA8-830F-E92269210ED5}"/>
    <cellStyle name="Normal 5 3 3 2 6 2 2 5" xfId="17524" xr:uid="{07C7FE48-DAEA-4243-B4AA-93FF7D14D686}"/>
    <cellStyle name="Normal 5 3 3 2 6 2 3" xfId="22607" xr:uid="{C5E2979E-D32D-4BA3-BE9A-D226CE7BA797}"/>
    <cellStyle name="Normal 5 3 3 2 6 2 4" xfId="31054" xr:uid="{F26D0FB6-2D2F-469C-A08B-3284DDE7FD61}"/>
    <cellStyle name="Normal 5 3 3 2 6 2 5" xfId="39501" xr:uid="{A4E304D1-18CD-4906-89EB-CE0D0A6ABBA7}"/>
    <cellStyle name="Normal 5 3 3 2 6 2 6" xfId="13307" xr:uid="{E1467935-775D-47DA-838D-D973EE742983}"/>
    <cellStyle name="Normal 5 3 3 2 6 3" xfId="6053" xr:uid="{00000000-0005-0000-0000-0000BE190000}"/>
    <cellStyle name="Normal 5 3 3 2 6 3 2" xfId="24679" xr:uid="{EB450151-7917-444A-A2F2-EFB6E251E99C}"/>
    <cellStyle name="Normal 5 3 3 2 6 3 3" xfId="33126" xr:uid="{1FD568C8-D0E3-49E6-AD19-A6986B714D77}"/>
    <cellStyle name="Normal 5 3 3 2 6 3 4" xfId="41573" xr:uid="{DFBA9E27-8B1E-473C-A3DD-3E50120E5ED7}"/>
    <cellStyle name="Normal 5 3 3 2 6 3 5" xfId="15379" xr:uid="{798A8304-3C2C-40DD-B21C-0C1865CD8B47}"/>
    <cellStyle name="Normal 5 3 3 2 6 4" xfId="20462" xr:uid="{E5CDBF83-7858-4EB0-8C9A-B9252C34BE37}"/>
    <cellStyle name="Normal 5 3 3 2 6 5" xfId="28909" xr:uid="{24EE72B4-3300-4CC7-ADC2-43882A811564}"/>
    <cellStyle name="Normal 5 3 3 2 6 6" xfId="37356" xr:uid="{0C5A7F20-E321-4912-8D4B-367E436A63C2}"/>
    <cellStyle name="Normal 5 3 3 2 6 7" xfId="11162" xr:uid="{C76413C8-ADFB-4659-9C68-37F0057D89A8}"/>
    <cellStyle name="Normal 5 3 3 2 7" xfId="2160" xr:uid="{00000000-0005-0000-0000-0000BF190000}"/>
    <cellStyle name="Normal 5 3 3 2 7 2" xfId="4389" xr:uid="{00000000-0005-0000-0000-0000C0190000}"/>
    <cellStyle name="Normal 5 3 3 2 7 2 2" xfId="8611" xr:uid="{00000000-0005-0000-0000-0000C1190000}"/>
    <cellStyle name="Normal 5 3 3 2 7 2 2 2" xfId="27237" xr:uid="{C52475E3-3153-4FDC-84E5-FD0CE7A9A197}"/>
    <cellStyle name="Normal 5 3 3 2 7 2 2 3" xfId="35684" xr:uid="{7372EEBA-5B1A-4FEF-B643-B018C302BCAC}"/>
    <cellStyle name="Normal 5 3 3 2 7 2 2 4" xfId="44131" xr:uid="{15B1CA06-04A4-4D8D-9616-8310415CA7F1}"/>
    <cellStyle name="Normal 5 3 3 2 7 2 2 5" xfId="17937" xr:uid="{BF82F1A1-B374-470A-B8F5-416A36D66221}"/>
    <cellStyle name="Normal 5 3 3 2 7 2 3" xfId="23020" xr:uid="{F46892F0-C5AF-4D2B-A877-D2021DDC77EC}"/>
    <cellStyle name="Normal 5 3 3 2 7 2 4" xfId="31467" xr:uid="{12B25B7C-84A7-4187-A52A-CC7063AC05A9}"/>
    <cellStyle name="Normal 5 3 3 2 7 2 5" xfId="39914" xr:uid="{A3D8566F-AF8F-4106-BC07-44E0D7C0F6AC}"/>
    <cellStyle name="Normal 5 3 3 2 7 2 6" xfId="13720" xr:uid="{03447AE8-CD67-4A4C-9990-85A7077538D6}"/>
    <cellStyle name="Normal 5 3 3 2 7 3" xfId="6466" xr:uid="{00000000-0005-0000-0000-0000C2190000}"/>
    <cellStyle name="Normal 5 3 3 2 7 3 2" xfId="25092" xr:uid="{CF3A74F7-7B40-4710-9772-D45DBC2375EB}"/>
    <cellStyle name="Normal 5 3 3 2 7 3 3" xfId="33539" xr:uid="{93D4A3A8-4DF8-4AA9-9E29-E2A94FDAAD15}"/>
    <cellStyle name="Normal 5 3 3 2 7 3 4" xfId="41986" xr:uid="{D850ECCC-6A73-45DA-8390-47A18580CBC4}"/>
    <cellStyle name="Normal 5 3 3 2 7 3 5" xfId="15792" xr:uid="{FCEFFDF9-570D-4456-9BC4-F72F41E9A96C}"/>
    <cellStyle name="Normal 5 3 3 2 7 4" xfId="20875" xr:uid="{738D55A2-F409-48DC-B9B7-CB1AD918A157}"/>
    <cellStyle name="Normal 5 3 3 2 7 5" xfId="29322" xr:uid="{5E44F300-5744-449C-8BE2-FDB6754130CC}"/>
    <cellStyle name="Normal 5 3 3 2 7 6" xfId="37769" xr:uid="{3B426228-75F7-4664-8E53-990F1813E027}"/>
    <cellStyle name="Normal 5 3 3 2 7 7" xfId="11575" xr:uid="{83916518-CEF4-409C-A04D-BD6D22932839}"/>
    <cellStyle name="Normal 5 3 3 2 8" xfId="2596" xr:uid="{00000000-0005-0000-0000-0000C3190000}"/>
    <cellStyle name="Normal 5 3 3 2 8 2" xfId="6879" xr:uid="{00000000-0005-0000-0000-0000C4190000}"/>
    <cellStyle name="Normal 5 3 3 2 8 2 2" xfId="25505" xr:uid="{1B333A2D-2B5D-4CB2-AE23-42E423314E93}"/>
    <cellStyle name="Normal 5 3 3 2 8 2 3" xfId="33952" xr:uid="{3A7071D3-725E-44F3-BC00-8241CA8BCBDE}"/>
    <cellStyle name="Normal 5 3 3 2 8 2 4" xfId="42399" xr:uid="{7DF3A0FD-5760-4D9A-AD1F-28571B10AAE7}"/>
    <cellStyle name="Normal 5 3 3 2 8 2 5" xfId="16205" xr:uid="{083760FB-E8E4-4BD6-B712-06D2B69BCB15}"/>
    <cellStyle name="Normal 5 3 3 2 8 3" xfId="21288" xr:uid="{445B2E39-5DC0-40F7-8D86-4979D9DC2C90}"/>
    <cellStyle name="Normal 5 3 3 2 8 4" xfId="29735" xr:uid="{F46EA4D3-3B2E-4229-A7D6-ED6044B6A4ED}"/>
    <cellStyle name="Normal 5 3 3 2 8 5" xfId="38182" xr:uid="{03C5D164-955B-436F-B8F2-C17AB366A021}"/>
    <cellStyle name="Normal 5 3 3 2 8 6" xfId="11988" xr:uid="{E74C2979-9429-4223-B771-F7DC4A244790}"/>
    <cellStyle name="Normal 5 3 3 2 9" xfId="4814" xr:uid="{00000000-0005-0000-0000-0000C5190000}"/>
    <cellStyle name="Normal 5 3 3 2 9 2" xfId="23440" xr:uid="{C1F14C29-C632-447E-B612-05C50FDC8272}"/>
    <cellStyle name="Normal 5 3 3 2 9 3" xfId="31887" xr:uid="{8F2F6B32-2C42-4A7F-9838-D765908FD2AA}"/>
    <cellStyle name="Normal 5 3 3 2 9 4" xfId="40334" xr:uid="{61B49201-9832-4F2E-AD75-66DFE446DCB4}"/>
    <cellStyle name="Normal 5 3 3 2 9 5" xfId="14140" xr:uid="{B48C8B2E-2443-4191-A907-2399720B1215}"/>
    <cellStyle name="Normal 5 3 3 3" xfId="446" xr:uid="{00000000-0005-0000-0000-0000C6190000}"/>
    <cellStyle name="Normal 5 3 3 3 10" xfId="19227" xr:uid="{2AF1B4ED-5E90-4733-B323-EE23DE339254}"/>
    <cellStyle name="Normal 5 3 3 3 11" xfId="27674" xr:uid="{C91400E3-BCC1-497C-B2A1-3DC96F3C51B5}"/>
    <cellStyle name="Normal 5 3 3 3 12" xfId="36121" xr:uid="{8A290EFE-AB5D-4573-BC5A-93875714756D}"/>
    <cellStyle name="Normal 5 3 3 3 13" xfId="9927" xr:uid="{65384BB0-2DB9-4058-9902-893AA71FF956}"/>
    <cellStyle name="Normal 5 3 3 3 2" xfId="447" xr:uid="{00000000-0005-0000-0000-0000C7190000}"/>
    <cellStyle name="Normal 5 3 3 3 2 10" xfId="27675" xr:uid="{11996C94-AEB5-42E4-89AE-56ECE965C79C}"/>
    <cellStyle name="Normal 5 3 3 3 2 11" xfId="36122" xr:uid="{A60BC9B2-4593-4261-AE71-D73E1F07B360}"/>
    <cellStyle name="Normal 5 3 3 3 2 12" xfId="9928" xr:uid="{B9A0F29A-4BBC-4EB5-9036-8D928C79F2FB}"/>
    <cellStyle name="Normal 5 3 3 3 2 2" xfId="921" xr:uid="{00000000-0005-0000-0000-0000C8190000}"/>
    <cellStyle name="Normal 5 3 3 3 2 2 2" xfId="3155" xr:uid="{00000000-0005-0000-0000-0000C9190000}"/>
    <cellStyle name="Normal 5 3 3 3 2 2 2 2" xfId="7377" xr:uid="{00000000-0005-0000-0000-0000CA190000}"/>
    <cellStyle name="Normal 5 3 3 3 2 2 2 2 2" xfId="26003" xr:uid="{DEF0C05A-AAA4-412B-BDE0-26FD40038E8D}"/>
    <cellStyle name="Normal 5 3 3 3 2 2 2 2 3" xfId="34450" xr:uid="{74885EB0-94E0-4569-AA07-BE7961DC6CA0}"/>
    <cellStyle name="Normal 5 3 3 3 2 2 2 2 4" xfId="42897" xr:uid="{2B66113D-8CF6-440A-9F25-62DE409160C7}"/>
    <cellStyle name="Normal 5 3 3 3 2 2 2 2 5" xfId="16703" xr:uid="{F083DA9C-0505-474B-BD58-688E36ED3278}"/>
    <cellStyle name="Normal 5 3 3 3 2 2 2 3" xfId="21786" xr:uid="{DBFDA427-2D71-432A-A020-97802CE3EE10}"/>
    <cellStyle name="Normal 5 3 3 3 2 2 2 4" xfId="30233" xr:uid="{51DFEE8E-FC1C-4C8E-9605-E33C851A4469}"/>
    <cellStyle name="Normal 5 3 3 3 2 2 2 5" xfId="38680" xr:uid="{85E2592B-1E40-4E63-9C88-1B0078128A40}"/>
    <cellStyle name="Normal 5 3 3 3 2 2 2 6" xfId="12486" xr:uid="{9CC4BAC7-54B3-49EA-8339-A8B7A7A51CD1}"/>
    <cellStyle name="Normal 5 3 3 3 2 2 3" xfId="5232" xr:uid="{00000000-0005-0000-0000-0000CB190000}"/>
    <cellStyle name="Normal 5 3 3 3 2 2 3 2" xfId="23858" xr:uid="{65C619FE-164B-497E-9187-CE19DC51C6E2}"/>
    <cellStyle name="Normal 5 3 3 3 2 2 3 3" xfId="32305" xr:uid="{7F29CDDC-A05B-4C17-86CC-A2DC2BA84424}"/>
    <cellStyle name="Normal 5 3 3 3 2 2 3 4" xfId="40752" xr:uid="{C061A931-2320-483C-84CA-80932680AF6C}"/>
    <cellStyle name="Normal 5 3 3 3 2 2 3 5" xfId="14558" xr:uid="{B36CA1D8-3351-40BB-985C-365233CEB8F9}"/>
    <cellStyle name="Normal 5 3 3 3 2 2 4" xfId="9517" xr:uid="{EA62A3B1-8ED5-4A6F-ACE0-B924BC16AA9E}"/>
    <cellStyle name="Normal 5 3 3 3 2 2 4 2" xfId="18833" xr:uid="{CBCDEF6B-0981-43E8-B096-4D345F226282}"/>
    <cellStyle name="Normal 5 3 3 3 2 2 5" xfId="19641" xr:uid="{9CF9820F-B4FE-47CB-A51D-73E30E5F4D85}"/>
    <cellStyle name="Normal 5 3 3 3 2 2 6" xfId="28088" xr:uid="{E78DC932-3DE7-4E12-A0C4-2251E6D566F9}"/>
    <cellStyle name="Normal 5 3 3 3 2 2 7" xfId="36535" xr:uid="{C3633A7B-6A4D-4AD3-AAA2-8CD20F945743}"/>
    <cellStyle name="Normal 5 3 3 3 2 2 8" xfId="10341" xr:uid="{AF9E1B6E-542A-4E4A-B395-0C61359B2A8F}"/>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2 2 2" xfId="26416" xr:uid="{D0D05CE6-EF60-490B-B0FC-EE54075B335B}"/>
    <cellStyle name="Normal 5 3 3 3 2 3 2 2 3" xfId="34863" xr:uid="{6DB80245-3B7E-4DF7-B412-3518B6000A0C}"/>
    <cellStyle name="Normal 5 3 3 3 2 3 2 2 4" xfId="43310" xr:uid="{044D4291-6457-4E6B-8961-C94429EE0EFC}"/>
    <cellStyle name="Normal 5 3 3 3 2 3 2 2 5" xfId="17116" xr:uid="{F777826F-C802-4017-9E9D-18A04F96E431}"/>
    <cellStyle name="Normal 5 3 3 3 2 3 2 3" xfId="22199" xr:uid="{EFBF6A86-C625-43A3-9DCD-753065B03780}"/>
    <cellStyle name="Normal 5 3 3 3 2 3 2 4" xfId="30646" xr:uid="{BD98C739-E05F-4E9B-A207-62C3D9E66201}"/>
    <cellStyle name="Normal 5 3 3 3 2 3 2 5" xfId="39093" xr:uid="{1AB25C6F-5332-4598-8612-67DA347A9415}"/>
    <cellStyle name="Normal 5 3 3 3 2 3 2 6" xfId="12899" xr:uid="{FE113B26-3B1A-4EB0-9C27-9E74CCAC1410}"/>
    <cellStyle name="Normal 5 3 3 3 2 3 3" xfId="5645" xr:uid="{00000000-0005-0000-0000-0000CF190000}"/>
    <cellStyle name="Normal 5 3 3 3 2 3 3 2" xfId="24271" xr:uid="{3D939CA3-47C7-4D84-BE33-B30AA06BC11F}"/>
    <cellStyle name="Normal 5 3 3 3 2 3 3 3" xfId="32718" xr:uid="{7C269518-383F-487E-B207-679831E21F9F}"/>
    <cellStyle name="Normal 5 3 3 3 2 3 3 4" xfId="41165" xr:uid="{AF19E1E6-FFF1-4489-8172-0B46E5BDD995}"/>
    <cellStyle name="Normal 5 3 3 3 2 3 3 5" xfId="14971" xr:uid="{8924BBDA-6CDE-4534-BBCD-A24A5C488CDE}"/>
    <cellStyle name="Normal 5 3 3 3 2 3 4" xfId="20054" xr:uid="{91BFB1C9-06D7-4181-B0EC-32E028D1B2C4}"/>
    <cellStyle name="Normal 5 3 3 3 2 3 5" xfId="28501" xr:uid="{97897CAD-00F8-493B-B82C-7995E880A387}"/>
    <cellStyle name="Normal 5 3 3 3 2 3 6" xfId="36948" xr:uid="{9FDDE0CB-23F1-4335-8187-297B66CCAE0D}"/>
    <cellStyle name="Normal 5 3 3 3 2 3 7" xfId="10754" xr:uid="{74C6BE29-6ECF-477E-8675-3A2418F6A613}"/>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2 2 2" xfId="26829" xr:uid="{1695747A-F208-4866-9AED-DEAEDF8472D9}"/>
    <cellStyle name="Normal 5 3 3 3 2 4 2 2 3" xfId="35276" xr:uid="{1B6292CD-391C-479F-A827-65D9A360DF44}"/>
    <cellStyle name="Normal 5 3 3 3 2 4 2 2 4" xfId="43723" xr:uid="{696DFD25-4124-4E8A-9D6F-491A773A96DC}"/>
    <cellStyle name="Normal 5 3 3 3 2 4 2 2 5" xfId="17529" xr:uid="{94D30045-E3CF-4B2B-995C-B356B0948F95}"/>
    <cellStyle name="Normal 5 3 3 3 2 4 2 3" xfId="22612" xr:uid="{6F463EA0-C73F-4D82-9F60-42B6A25070C8}"/>
    <cellStyle name="Normal 5 3 3 3 2 4 2 4" xfId="31059" xr:uid="{B6F2E539-0A13-4849-B61B-5868933EAAED}"/>
    <cellStyle name="Normal 5 3 3 3 2 4 2 5" xfId="39506" xr:uid="{88F22BAF-0A18-4A42-B3C9-49F7F7007FBF}"/>
    <cellStyle name="Normal 5 3 3 3 2 4 2 6" xfId="13312" xr:uid="{06058C19-FC4D-45BA-92F6-8BCB4A5B159C}"/>
    <cellStyle name="Normal 5 3 3 3 2 4 3" xfId="6058" xr:uid="{00000000-0005-0000-0000-0000D3190000}"/>
    <cellStyle name="Normal 5 3 3 3 2 4 3 2" xfId="24684" xr:uid="{8B52820A-55D7-4D8E-BC99-59CE9860730C}"/>
    <cellStyle name="Normal 5 3 3 3 2 4 3 3" xfId="33131" xr:uid="{DB939846-541C-4658-91B7-9EB249A1BFE1}"/>
    <cellStyle name="Normal 5 3 3 3 2 4 3 4" xfId="41578" xr:uid="{0036978C-61A5-4DA8-850B-92C1AAA1898B}"/>
    <cellStyle name="Normal 5 3 3 3 2 4 3 5" xfId="15384" xr:uid="{D2A25406-807F-4262-995A-E6C796A595B0}"/>
    <cellStyle name="Normal 5 3 3 3 2 4 4" xfId="20467" xr:uid="{86BEC771-46DF-411F-9F25-F20EF9232156}"/>
    <cellStyle name="Normal 5 3 3 3 2 4 5" xfId="28914" xr:uid="{742F7C55-4FFD-4F96-B212-A12094669066}"/>
    <cellStyle name="Normal 5 3 3 3 2 4 6" xfId="37361" xr:uid="{D639C6F6-2A52-49D0-A381-85A6830088D9}"/>
    <cellStyle name="Normal 5 3 3 3 2 4 7" xfId="11167" xr:uid="{E3BB26D9-93B4-4979-81C1-43093FA7F3B6}"/>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2 2 2" xfId="27242" xr:uid="{76515855-0484-4BAA-9D78-D7EEDD1D660A}"/>
    <cellStyle name="Normal 5 3 3 3 2 5 2 2 3" xfId="35689" xr:uid="{A964E720-9E31-4192-AB16-F8A8F279C29B}"/>
    <cellStyle name="Normal 5 3 3 3 2 5 2 2 4" xfId="44136" xr:uid="{7F03B030-630A-4C17-A3B0-5BBC721A1D8B}"/>
    <cellStyle name="Normal 5 3 3 3 2 5 2 2 5" xfId="17942" xr:uid="{93075AC0-290D-49A9-BDCD-AA31C97AB948}"/>
    <cellStyle name="Normal 5 3 3 3 2 5 2 3" xfId="23025" xr:uid="{3DCFD0FF-B93D-4E3F-8208-108A3BE3031F}"/>
    <cellStyle name="Normal 5 3 3 3 2 5 2 4" xfId="31472" xr:uid="{34907313-E017-41D3-9B5A-46F874AD4497}"/>
    <cellStyle name="Normal 5 3 3 3 2 5 2 5" xfId="39919" xr:uid="{EFE28B8F-B61C-4A3B-9EDB-608A2CC57574}"/>
    <cellStyle name="Normal 5 3 3 3 2 5 2 6" xfId="13725" xr:uid="{6C748109-5F46-4403-B48E-B23EE0B7D09B}"/>
    <cellStyle name="Normal 5 3 3 3 2 5 3" xfId="6471" xr:uid="{00000000-0005-0000-0000-0000D7190000}"/>
    <cellStyle name="Normal 5 3 3 3 2 5 3 2" xfId="25097" xr:uid="{391B833A-B512-4273-A2B1-2116A5A4BA32}"/>
    <cellStyle name="Normal 5 3 3 3 2 5 3 3" xfId="33544" xr:uid="{FD1BC264-44CD-4A56-8020-C4BC611BFE80}"/>
    <cellStyle name="Normal 5 3 3 3 2 5 3 4" xfId="41991" xr:uid="{5714F8BB-D585-404C-8F50-0985769F6E03}"/>
    <cellStyle name="Normal 5 3 3 3 2 5 3 5" xfId="15797" xr:uid="{31199C36-A336-4230-8A53-75A9E8555F88}"/>
    <cellStyle name="Normal 5 3 3 3 2 5 4" xfId="20880" xr:uid="{80ECA655-E99C-44AD-A885-3E29E87BB26C}"/>
    <cellStyle name="Normal 5 3 3 3 2 5 5" xfId="29327" xr:uid="{819F2DE6-5243-42CE-92B1-6BA1CEB63DC3}"/>
    <cellStyle name="Normal 5 3 3 3 2 5 6" xfId="37774" xr:uid="{BEA4BCAB-B256-4FCF-A004-13C4AD44000B}"/>
    <cellStyle name="Normal 5 3 3 3 2 5 7" xfId="11580" xr:uid="{87FD1555-F654-4F88-8CA9-B27BE48CDF80}"/>
    <cellStyle name="Normal 5 3 3 3 2 6" xfId="2601" xr:uid="{00000000-0005-0000-0000-0000D8190000}"/>
    <cellStyle name="Normal 5 3 3 3 2 6 2" xfId="6884" xr:uid="{00000000-0005-0000-0000-0000D9190000}"/>
    <cellStyle name="Normal 5 3 3 3 2 6 2 2" xfId="25510" xr:uid="{7CD7DD0B-E95D-4C7C-9D67-062FB85CDD4C}"/>
    <cellStyle name="Normal 5 3 3 3 2 6 2 3" xfId="33957" xr:uid="{1EE5EED6-E74A-49A9-9C16-4B8DDAA02991}"/>
    <cellStyle name="Normal 5 3 3 3 2 6 2 4" xfId="42404" xr:uid="{29E5626C-D8F4-4DFF-9E94-FB8B49A8F1AB}"/>
    <cellStyle name="Normal 5 3 3 3 2 6 2 5" xfId="16210" xr:uid="{EBDDC503-69BB-4660-A432-792EA4A312E9}"/>
    <cellStyle name="Normal 5 3 3 3 2 6 3" xfId="21293" xr:uid="{A111B54E-63D0-49DE-A2AC-9885B764D647}"/>
    <cellStyle name="Normal 5 3 3 3 2 6 4" xfId="29740" xr:uid="{06605763-4712-484D-B6B1-AD8897724F58}"/>
    <cellStyle name="Normal 5 3 3 3 2 6 5" xfId="38187" xr:uid="{23C4AE8E-9195-4E72-AF71-6D9D95943D0E}"/>
    <cellStyle name="Normal 5 3 3 3 2 6 6" xfId="11993" xr:uid="{739D9431-DB3A-4D27-955E-ADD3D995258E}"/>
    <cellStyle name="Normal 5 3 3 3 2 7" xfId="4819" xr:uid="{00000000-0005-0000-0000-0000DA190000}"/>
    <cellStyle name="Normal 5 3 3 3 2 7 2" xfId="23445" xr:uid="{930109A2-F39B-40DD-8060-7ABEE8A71E3F}"/>
    <cellStyle name="Normal 5 3 3 3 2 7 3" xfId="31892" xr:uid="{F25661C6-7C7C-4BF1-B491-05DD491A648E}"/>
    <cellStyle name="Normal 5 3 3 3 2 7 4" xfId="40339" xr:uid="{7BFE5211-F7B3-4DF0-8231-235F515CD536}"/>
    <cellStyle name="Normal 5 3 3 3 2 7 5" xfId="14145" xr:uid="{5D234F37-2FFA-4D75-94FA-E0331AB07040}"/>
    <cellStyle name="Normal 5 3 3 3 2 8" xfId="9092" xr:uid="{A018BC5E-3880-4BA4-8CFB-322C89A13B5F}"/>
    <cellStyle name="Normal 5 3 3 3 2 8 2" xfId="18416" xr:uid="{B379D76E-7B8A-44B6-A950-A03F0F063680}"/>
    <cellStyle name="Normal 5 3 3 3 2 9" xfId="19228" xr:uid="{6D6B0FDC-58C4-469D-8EA3-863D95A731E8}"/>
    <cellStyle name="Normal 5 3 3 3 3" xfId="920" xr:uid="{00000000-0005-0000-0000-0000DB190000}"/>
    <cellStyle name="Normal 5 3 3 3 3 2" xfId="3154" xr:uid="{00000000-0005-0000-0000-0000DC190000}"/>
    <cellStyle name="Normal 5 3 3 3 3 2 2" xfId="7376" xr:uid="{00000000-0005-0000-0000-0000DD190000}"/>
    <cellStyle name="Normal 5 3 3 3 3 2 2 2" xfId="26002" xr:uid="{39FA3DF6-B37B-4CA4-98F9-08FDD28E099E}"/>
    <cellStyle name="Normal 5 3 3 3 3 2 2 3" xfId="34449" xr:uid="{C11234B0-8BB9-4917-B94D-9A4AE1F27A53}"/>
    <cellStyle name="Normal 5 3 3 3 3 2 2 4" xfId="42896" xr:uid="{35062FAF-717D-4200-9A72-4EEEAB510D6B}"/>
    <cellStyle name="Normal 5 3 3 3 3 2 2 5" xfId="16702" xr:uid="{891CAEE3-F48F-4F35-A4E2-7D9671704A75}"/>
    <cellStyle name="Normal 5 3 3 3 3 2 3" xfId="21785" xr:uid="{EE0A58FE-806F-4338-9D1F-936D85774A6C}"/>
    <cellStyle name="Normal 5 3 3 3 3 2 4" xfId="30232" xr:uid="{5DD7F164-F1EC-4BB0-AD9C-A9FDCB1126F7}"/>
    <cellStyle name="Normal 5 3 3 3 3 2 5" xfId="38679" xr:uid="{616F8305-1BBF-444E-97F0-864E8A9C9338}"/>
    <cellStyle name="Normal 5 3 3 3 3 2 6" xfId="12485" xr:uid="{C2B474F3-B020-4194-8EA2-6D554DDE6E01}"/>
    <cellStyle name="Normal 5 3 3 3 3 3" xfId="5231" xr:uid="{00000000-0005-0000-0000-0000DE190000}"/>
    <cellStyle name="Normal 5 3 3 3 3 3 2" xfId="23857" xr:uid="{21B2B6F4-E41D-421F-825B-318FC38C10F5}"/>
    <cellStyle name="Normal 5 3 3 3 3 3 3" xfId="32304" xr:uid="{7EED2297-59AF-4E6B-BA80-C4432ED6FCD5}"/>
    <cellStyle name="Normal 5 3 3 3 3 3 4" xfId="40751" xr:uid="{ED770F38-6F67-4D9B-87A9-F7798FC9E4BD}"/>
    <cellStyle name="Normal 5 3 3 3 3 3 5" xfId="14557" xr:uid="{6D83638A-EB9F-4851-9BF3-925ED99072A8}"/>
    <cellStyle name="Normal 5 3 3 3 3 4" xfId="9310" xr:uid="{D169C31A-17C5-4934-97DF-D90479FD2654}"/>
    <cellStyle name="Normal 5 3 3 3 3 4 2" xfId="18626" xr:uid="{4928B088-BCF6-479E-BA40-4CCE79EF114C}"/>
    <cellStyle name="Normal 5 3 3 3 3 5" xfId="19640" xr:uid="{CD799F3E-C9B6-4715-B519-44DBC94695F0}"/>
    <cellStyle name="Normal 5 3 3 3 3 6" xfId="28087" xr:uid="{533FCC14-E08E-4102-8BF8-96D0774A2625}"/>
    <cellStyle name="Normal 5 3 3 3 3 7" xfId="36534" xr:uid="{A82EB3EE-38D1-4334-9AFB-4E5725D8DAF8}"/>
    <cellStyle name="Normal 5 3 3 3 3 8" xfId="10340" xr:uid="{486BE642-6D1C-496C-BC5F-78D32C023BAD}"/>
    <cellStyle name="Normal 5 3 3 3 4" xfId="1337" xr:uid="{00000000-0005-0000-0000-0000DF190000}"/>
    <cellStyle name="Normal 5 3 3 3 4 2" xfId="3567" xr:uid="{00000000-0005-0000-0000-0000E0190000}"/>
    <cellStyle name="Normal 5 3 3 3 4 2 2" xfId="7789" xr:uid="{00000000-0005-0000-0000-0000E1190000}"/>
    <cellStyle name="Normal 5 3 3 3 4 2 2 2" xfId="26415" xr:uid="{BE0CC4E2-08D4-44B9-AFFF-9D02A4B25E4B}"/>
    <cellStyle name="Normal 5 3 3 3 4 2 2 3" xfId="34862" xr:uid="{CF78595D-937A-4CC7-BB03-DB4350771F41}"/>
    <cellStyle name="Normal 5 3 3 3 4 2 2 4" xfId="43309" xr:uid="{E20BE805-3EAB-4D65-9315-CF9614643DE4}"/>
    <cellStyle name="Normal 5 3 3 3 4 2 2 5" xfId="17115" xr:uid="{EBF6CB95-E786-486E-96A4-C326638366BB}"/>
    <cellStyle name="Normal 5 3 3 3 4 2 3" xfId="22198" xr:uid="{0A7D8C5C-B64F-4B38-9059-E47366F126B9}"/>
    <cellStyle name="Normal 5 3 3 3 4 2 4" xfId="30645" xr:uid="{444171A4-2F06-4390-9C78-CC2921FF396B}"/>
    <cellStyle name="Normal 5 3 3 3 4 2 5" xfId="39092" xr:uid="{268C03E8-B1D0-4117-85BB-28034169DB8D}"/>
    <cellStyle name="Normal 5 3 3 3 4 2 6" xfId="12898" xr:uid="{BE6CA032-15BC-4111-9F87-318D63BD42E5}"/>
    <cellStyle name="Normal 5 3 3 3 4 3" xfId="5644" xr:uid="{00000000-0005-0000-0000-0000E2190000}"/>
    <cellStyle name="Normal 5 3 3 3 4 3 2" xfId="24270" xr:uid="{55613C1A-036C-4AB2-93F1-C88C91593EBE}"/>
    <cellStyle name="Normal 5 3 3 3 4 3 3" xfId="32717" xr:uid="{A755D173-56A6-45E0-A805-32B8DAAC2AD4}"/>
    <cellStyle name="Normal 5 3 3 3 4 3 4" xfId="41164" xr:uid="{4F5F7A33-CBE5-4553-BDD4-AFD56D142298}"/>
    <cellStyle name="Normal 5 3 3 3 4 3 5" xfId="14970" xr:uid="{432A6996-22A7-4144-9D4C-860063D5F560}"/>
    <cellStyle name="Normal 5 3 3 3 4 4" xfId="20053" xr:uid="{F3993B14-2F3F-40E1-8785-3DAAE4273981}"/>
    <cellStyle name="Normal 5 3 3 3 4 5" xfId="28500" xr:uid="{AF0718AA-3C70-43F6-A745-8E53CF8F1ED1}"/>
    <cellStyle name="Normal 5 3 3 3 4 6" xfId="36947" xr:uid="{62447BD2-A9FE-40D7-8539-122D2258EFE0}"/>
    <cellStyle name="Normal 5 3 3 3 4 7" xfId="10753" xr:uid="{0190B022-80AD-4218-B8A4-E4948EA0FA26}"/>
    <cellStyle name="Normal 5 3 3 3 5" xfId="1750" xr:uid="{00000000-0005-0000-0000-0000E3190000}"/>
    <cellStyle name="Normal 5 3 3 3 5 2" xfId="3980" xr:uid="{00000000-0005-0000-0000-0000E4190000}"/>
    <cellStyle name="Normal 5 3 3 3 5 2 2" xfId="8202" xr:uid="{00000000-0005-0000-0000-0000E5190000}"/>
    <cellStyle name="Normal 5 3 3 3 5 2 2 2" xfId="26828" xr:uid="{81A31889-83F1-4070-A17C-C9212F6EE3C9}"/>
    <cellStyle name="Normal 5 3 3 3 5 2 2 3" xfId="35275" xr:uid="{093E4A18-BC24-4662-8528-319DADB2CD65}"/>
    <cellStyle name="Normal 5 3 3 3 5 2 2 4" xfId="43722" xr:uid="{ADF2F24C-F773-4768-9C5B-74AED7A5E839}"/>
    <cellStyle name="Normal 5 3 3 3 5 2 2 5" xfId="17528" xr:uid="{095A92D0-246B-4DE9-90B4-C1699AC10E0D}"/>
    <cellStyle name="Normal 5 3 3 3 5 2 3" xfId="22611" xr:uid="{27C147DE-5B19-4B9D-BF93-ADE2AFA6FEF4}"/>
    <cellStyle name="Normal 5 3 3 3 5 2 4" xfId="31058" xr:uid="{4CAD5765-202F-4B5D-BB53-82D267836A54}"/>
    <cellStyle name="Normal 5 3 3 3 5 2 5" xfId="39505" xr:uid="{B436D292-1A7C-485A-8C7B-4EDBF04567BD}"/>
    <cellStyle name="Normal 5 3 3 3 5 2 6" xfId="13311" xr:uid="{9A8FF20E-F5FF-46F5-A944-16B124385AF4}"/>
    <cellStyle name="Normal 5 3 3 3 5 3" xfId="6057" xr:uid="{00000000-0005-0000-0000-0000E6190000}"/>
    <cellStyle name="Normal 5 3 3 3 5 3 2" xfId="24683" xr:uid="{EE1B7058-3969-4115-94EC-FF2305EAFD74}"/>
    <cellStyle name="Normal 5 3 3 3 5 3 3" xfId="33130" xr:uid="{C9C85E77-0EB7-4B04-8650-67F0BB662427}"/>
    <cellStyle name="Normal 5 3 3 3 5 3 4" xfId="41577" xr:uid="{7B04A642-B8B0-4F7E-AB8E-610B03479DFE}"/>
    <cellStyle name="Normal 5 3 3 3 5 3 5" xfId="15383" xr:uid="{EA2A1440-E430-4B19-AAEA-2C9985039684}"/>
    <cellStyle name="Normal 5 3 3 3 5 4" xfId="20466" xr:uid="{12E048BE-6D1F-4815-AE8C-2B6397B41170}"/>
    <cellStyle name="Normal 5 3 3 3 5 5" xfId="28913" xr:uid="{B4C9A806-4250-4BFB-B740-6E693B0E88C3}"/>
    <cellStyle name="Normal 5 3 3 3 5 6" xfId="37360" xr:uid="{F38171CE-0B8B-4462-B86A-6F74C2755E1C}"/>
    <cellStyle name="Normal 5 3 3 3 5 7" xfId="11166" xr:uid="{E11DEEE6-CB1A-4140-B887-C6D3D228C2FB}"/>
    <cellStyle name="Normal 5 3 3 3 6" xfId="2164" xr:uid="{00000000-0005-0000-0000-0000E7190000}"/>
    <cellStyle name="Normal 5 3 3 3 6 2" xfId="4393" xr:uid="{00000000-0005-0000-0000-0000E8190000}"/>
    <cellStyle name="Normal 5 3 3 3 6 2 2" xfId="8615" xr:uid="{00000000-0005-0000-0000-0000E9190000}"/>
    <cellStyle name="Normal 5 3 3 3 6 2 2 2" xfId="27241" xr:uid="{64B95295-ADA1-4100-851D-1798CFE02389}"/>
    <cellStyle name="Normal 5 3 3 3 6 2 2 3" xfId="35688" xr:uid="{5423EDFC-64E5-4C45-A93A-1EA15F65C352}"/>
    <cellStyle name="Normal 5 3 3 3 6 2 2 4" xfId="44135" xr:uid="{446A7279-3CC3-4F56-9E42-C76F5FC129FF}"/>
    <cellStyle name="Normal 5 3 3 3 6 2 2 5" xfId="17941" xr:uid="{15CE3330-42A2-4D90-B466-9DA908080572}"/>
    <cellStyle name="Normal 5 3 3 3 6 2 3" xfId="23024" xr:uid="{B8A9A929-FF77-4245-B519-67342EBD76F4}"/>
    <cellStyle name="Normal 5 3 3 3 6 2 4" xfId="31471" xr:uid="{A85690F5-836D-49F4-9F44-87C0482E72D4}"/>
    <cellStyle name="Normal 5 3 3 3 6 2 5" xfId="39918" xr:uid="{27380B6A-7300-4D1D-B7EF-C155BD5BB36D}"/>
    <cellStyle name="Normal 5 3 3 3 6 2 6" xfId="13724" xr:uid="{ECB0DDB3-00EF-4A0A-8D76-CC791C5FBB10}"/>
    <cellStyle name="Normal 5 3 3 3 6 3" xfId="6470" xr:uid="{00000000-0005-0000-0000-0000EA190000}"/>
    <cellStyle name="Normal 5 3 3 3 6 3 2" xfId="25096" xr:uid="{E3D0ED10-96DC-4C64-8655-C6B6DD0730CC}"/>
    <cellStyle name="Normal 5 3 3 3 6 3 3" xfId="33543" xr:uid="{8804B9B9-6753-48BB-9908-B976E6ABBA52}"/>
    <cellStyle name="Normal 5 3 3 3 6 3 4" xfId="41990" xr:uid="{DE1EB74F-CD3B-4988-B7F7-4C653F1797B7}"/>
    <cellStyle name="Normal 5 3 3 3 6 3 5" xfId="15796" xr:uid="{7093B16E-AD0B-4B22-8A9E-430C5A83C419}"/>
    <cellStyle name="Normal 5 3 3 3 6 4" xfId="20879" xr:uid="{85D1B866-FC17-4494-A1CC-6536E5F79D3E}"/>
    <cellStyle name="Normal 5 3 3 3 6 5" xfId="29326" xr:uid="{8A63E768-704C-45DE-9974-0E3577C2D65E}"/>
    <cellStyle name="Normal 5 3 3 3 6 6" xfId="37773" xr:uid="{4DA9CF05-034A-4CD3-95BA-87666AB7C78A}"/>
    <cellStyle name="Normal 5 3 3 3 6 7" xfId="11579" xr:uid="{56EFAD1C-C182-4453-9799-D6E28CC31B36}"/>
    <cellStyle name="Normal 5 3 3 3 7" xfId="2600" xr:uid="{00000000-0005-0000-0000-0000EB190000}"/>
    <cellStyle name="Normal 5 3 3 3 7 2" xfId="6883" xr:uid="{00000000-0005-0000-0000-0000EC190000}"/>
    <cellStyle name="Normal 5 3 3 3 7 2 2" xfId="25509" xr:uid="{8F34578A-7A39-4F8A-BD01-68382A1931F5}"/>
    <cellStyle name="Normal 5 3 3 3 7 2 3" xfId="33956" xr:uid="{D67B4BA4-0AAD-4D67-84FD-B3B58F2B9F51}"/>
    <cellStyle name="Normal 5 3 3 3 7 2 4" xfId="42403" xr:uid="{087ED07A-03AD-424C-B5F3-924883DE9593}"/>
    <cellStyle name="Normal 5 3 3 3 7 2 5" xfId="16209" xr:uid="{6218926D-6E05-49B3-B592-C8105CA00CA8}"/>
    <cellStyle name="Normal 5 3 3 3 7 3" xfId="21292" xr:uid="{515CE13A-0226-43B1-88FE-12F2A080E49D}"/>
    <cellStyle name="Normal 5 3 3 3 7 4" xfId="29739" xr:uid="{ED9E81E7-DBDF-46D4-8B42-1741F45470CC}"/>
    <cellStyle name="Normal 5 3 3 3 7 5" xfId="38186" xr:uid="{ADED3A2A-0C69-4A96-9456-C0A0F7D6FCF8}"/>
    <cellStyle name="Normal 5 3 3 3 7 6" xfId="11992" xr:uid="{AC9BA0F5-17B9-4C75-B689-B56CCAA7F8BA}"/>
    <cellStyle name="Normal 5 3 3 3 8" xfId="4818" xr:uid="{00000000-0005-0000-0000-0000ED190000}"/>
    <cellStyle name="Normal 5 3 3 3 8 2" xfId="23444" xr:uid="{E25C8017-6BDA-439B-8B79-9A3A39F45099}"/>
    <cellStyle name="Normal 5 3 3 3 8 3" xfId="31891" xr:uid="{272D0E5C-B1C6-416E-BCFB-1068578224F9}"/>
    <cellStyle name="Normal 5 3 3 3 8 4" xfId="40338" xr:uid="{C2FAB03F-D5CE-4B11-8C6B-BDEB8B228643}"/>
    <cellStyle name="Normal 5 3 3 3 8 5" xfId="14144" xr:uid="{3F3A8C49-395C-4E2F-B38F-BB2E6872E99E}"/>
    <cellStyle name="Normal 5 3 3 3 9" xfId="8885" xr:uid="{BFA59703-C126-4DE9-A819-9190501D5C5B}"/>
    <cellStyle name="Normal 5 3 3 3 9 2" xfId="18209" xr:uid="{D0D9058A-D3D3-4B2B-9740-378F44BED07A}"/>
    <cellStyle name="Normal 5 3 3 4" xfId="448" xr:uid="{00000000-0005-0000-0000-0000EE190000}"/>
    <cellStyle name="Normal 5 3 3 4 10" xfId="27676" xr:uid="{7E3E45DD-98E5-4104-B062-3A48808A7520}"/>
    <cellStyle name="Normal 5 3 3 4 11" xfId="36123" xr:uid="{4F15C5B6-FB13-4519-88A3-E5F707C6ADEA}"/>
    <cellStyle name="Normal 5 3 3 4 12" xfId="9929" xr:uid="{D241E512-91E6-4134-B4A9-1C98EBAA7C27}"/>
    <cellStyle name="Normal 5 3 3 4 2" xfId="922" xr:uid="{00000000-0005-0000-0000-0000EF190000}"/>
    <cellStyle name="Normal 5 3 3 4 2 2" xfId="3156" xr:uid="{00000000-0005-0000-0000-0000F0190000}"/>
    <cellStyle name="Normal 5 3 3 4 2 2 2" xfId="7378" xr:uid="{00000000-0005-0000-0000-0000F1190000}"/>
    <cellStyle name="Normal 5 3 3 4 2 2 2 2" xfId="26004" xr:uid="{B564AD1A-701B-4A4A-A27E-89E65C0F0E89}"/>
    <cellStyle name="Normal 5 3 3 4 2 2 2 3" xfId="34451" xr:uid="{C06D8F2B-F91A-459B-9D7A-3D91D5335D16}"/>
    <cellStyle name="Normal 5 3 3 4 2 2 2 4" xfId="42898" xr:uid="{E5E38A01-F484-4908-81D5-04BD6B936220}"/>
    <cellStyle name="Normal 5 3 3 4 2 2 2 5" xfId="16704" xr:uid="{A5B7FF60-762B-4C35-ACDB-C13BD6CA9E99}"/>
    <cellStyle name="Normal 5 3 3 4 2 2 3" xfId="21787" xr:uid="{EC9BAB5F-E6B7-4EAE-869E-4C7EC624D834}"/>
    <cellStyle name="Normal 5 3 3 4 2 2 4" xfId="30234" xr:uid="{76CB672F-F9F9-407F-A0F5-494937B9174E}"/>
    <cellStyle name="Normal 5 3 3 4 2 2 5" xfId="38681" xr:uid="{16A2E320-66E9-420C-AF40-E082055193BD}"/>
    <cellStyle name="Normal 5 3 3 4 2 2 6" xfId="12487" xr:uid="{A2CFA09F-27BC-4235-AB7F-13137E9DC4AB}"/>
    <cellStyle name="Normal 5 3 3 4 2 3" xfId="5233" xr:uid="{00000000-0005-0000-0000-0000F2190000}"/>
    <cellStyle name="Normal 5 3 3 4 2 3 2" xfId="23859" xr:uid="{BD586BA5-53B7-4F14-A223-C3E191982A9D}"/>
    <cellStyle name="Normal 5 3 3 4 2 3 3" xfId="32306" xr:uid="{70DE4E55-B595-4679-A657-ECD11B083B71}"/>
    <cellStyle name="Normal 5 3 3 4 2 3 4" xfId="40753" xr:uid="{638EE8D7-FCE0-45CD-922B-ECE446962B2A}"/>
    <cellStyle name="Normal 5 3 3 4 2 3 5" xfId="14559" xr:uid="{398F59D2-4F4F-412A-A89A-C57E494D4AEF}"/>
    <cellStyle name="Normal 5 3 3 4 2 4" xfId="9414" xr:uid="{BD781A4C-FDA7-4D11-87F3-3D38EC19B37A}"/>
    <cellStyle name="Normal 5 3 3 4 2 4 2" xfId="18730" xr:uid="{0DE0DEBB-7D32-4231-97E1-C3CCA5B4B35A}"/>
    <cellStyle name="Normal 5 3 3 4 2 5" xfId="19642" xr:uid="{19984BFF-1F29-49F1-9173-E2893D9C168C}"/>
    <cellStyle name="Normal 5 3 3 4 2 6" xfId="28089" xr:uid="{242DF86F-D161-4B74-8FEB-E7D3A7BDFFA7}"/>
    <cellStyle name="Normal 5 3 3 4 2 7" xfId="36536" xr:uid="{F797FC8B-DC66-4ACA-8C6E-D5DA6F2068B0}"/>
    <cellStyle name="Normal 5 3 3 4 2 8" xfId="10342" xr:uid="{C53DE377-EE04-49D9-9957-057FF6BAB71A}"/>
    <cellStyle name="Normal 5 3 3 4 3" xfId="1339" xr:uid="{00000000-0005-0000-0000-0000F3190000}"/>
    <cellStyle name="Normal 5 3 3 4 3 2" xfId="3569" xr:uid="{00000000-0005-0000-0000-0000F4190000}"/>
    <cellStyle name="Normal 5 3 3 4 3 2 2" xfId="7791" xr:uid="{00000000-0005-0000-0000-0000F5190000}"/>
    <cellStyle name="Normal 5 3 3 4 3 2 2 2" xfId="26417" xr:uid="{15E2B95F-6F51-48E9-AC98-26F91855E31E}"/>
    <cellStyle name="Normal 5 3 3 4 3 2 2 3" xfId="34864" xr:uid="{B2B02486-CE06-447E-9341-A17592435BF0}"/>
    <cellStyle name="Normal 5 3 3 4 3 2 2 4" xfId="43311" xr:uid="{AB477976-9FBA-4CCF-9E73-DDE304CF9126}"/>
    <cellStyle name="Normal 5 3 3 4 3 2 2 5" xfId="17117" xr:uid="{B955EBAF-7747-477B-9B5F-FAEA91E3F182}"/>
    <cellStyle name="Normal 5 3 3 4 3 2 3" xfId="22200" xr:uid="{F5811727-C802-4244-BB5E-D6BE89DC9F8C}"/>
    <cellStyle name="Normal 5 3 3 4 3 2 4" xfId="30647" xr:uid="{C741CBB3-EBB8-46CA-BAEB-D1370A36D518}"/>
    <cellStyle name="Normal 5 3 3 4 3 2 5" xfId="39094" xr:uid="{94EC1318-C179-4EA6-862E-1AE497CFE75B}"/>
    <cellStyle name="Normal 5 3 3 4 3 2 6" xfId="12900" xr:uid="{278247F3-F37F-4258-97F2-4BDA64C2FA70}"/>
    <cellStyle name="Normal 5 3 3 4 3 3" xfId="5646" xr:uid="{00000000-0005-0000-0000-0000F6190000}"/>
    <cellStyle name="Normal 5 3 3 4 3 3 2" xfId="24272" xr:uid="{98B40537-9B0F-4E9D-BDF9-1319D7E6A499}"/>
    <cellStyle name="Normal 5 3 3 4 3 3 3" xfId="32719" xr:uid="{E7BFA53B-4108-4AB8-893E-958239F5165F}"/>
    <cellStyle name="Normal 5 3 3 4 3 3 4" xfId="41166" xr:uid="{901D241B-DCF5-478F-8EF9-C8D412CB968E}"/>
    <cellStyle name="Normal 5 3 3 4 3 3 5" xfId="14972" xr:uid="{1C81B586-F31F-4773-8BBF-51FFBBD23621}"/>
    <cellStyle name="Normal 5 3 3 4 3 4" xfId="20055" xr:uid="{0DC8C0B8-915C-4312-A8C9-74F7D5E42DA1}"/>
    <cellStyle name="Normal 5 3 3 4 3 5" xfId="28502" xr:uid="{64DCC7CF-DB4E-4F4E-890E-65C22670FF57}"/>
    <cellStyle name="Normal 5 3 3 4 3 6" xfId="36949" xr:uid="{BBA4DACF-723F-42FA-ACC3-4F3E8E77A232}"/>
    <cellStyle name="Normal 5 3 3 4 3 7" xfId="10755" xr:uid="{087DA48D-E3E6-414E-A43D-C3ADA83079E1}"/>
    <cellStyle name="Normal 5 3 3 4 4" xfId="1752" xr:uid="{00000000-0005-0000-0000-0000F7190000}"/>
    <cellStyle name="Normal 5 3 3 4 4 2" xfId="3982" xr:uid="{00000000-0005-0000-0000-0000F8190000}"/>
    <cellStyle name="Normal 5 3 3 4 4 2 2" xfId="8204" xr:uid="{00000000-0005-0000-0000-0000F9190000}"/>
    <cellStyle name="Normal 5 3 3 4 4 2 2 2" xfId="26830" xr:uid="{D6EBB131-E66E-479D-A08B-D944911202D6}"/>
    <cellStyle name="Normal 5 3 3 4 4 2 2 3" xfId="35277" xr:uid="{2AEFDE4F-DAD2-48E2-B58E-43E850DFDA55}"/>
    <cellStyle name="Normal 5 3 3 4 4 2 2 4" xfId="43724" xr:uid="{82BDE867-D483-485A-B884-C891434B5DCB}"/>
    <cellStyle name="Normal 5 3 3 4 4 2 2 5" xfId="17530" xr:uid="{AD2698CA-8A34-4DBB-BC90-FC2621E82502}"/>
    <cellStyle name="Normal 5 3 3 4 4 2 3" xfId="22613" xr:uid="{2BFC5FAA-27AF-45A5-9D5C-B79871C24613}"/>
    <cellStyle name="Normal 5 3 3 4 4 2 4" xfId="31060" xr:uid="{54128E05-2D8F-4125-8EAB-C863A1BFD4D9}"/>
    <cellStyle name="Normal 5 3 3 4 4 2 5" xfId="39507" xr:uid="{67FCA72B-82D2-4BAD-83E7-9224AB232DE0}"/>
    <cellStyle name="Normal 5 3 3 4 4 2 6" xfId="13313" xr:uid="{1C9E8462-9408-4EB0-BCB8-492B59A8A372}"/>
    <cellStyle name="Normal 5 3 3 4 4 3" xfId="6059" xr:uid="{00000000-0005-0000-0000-0000FA190000}"/>
    <cellStyle name="Normal 5 3 3 4 4 3 2" xfId="24685" xr:uid="{85635E3B-F4CF-45AA-B815-563886C022D1}"/>
    <cellStyle name="Normal 5 3 3 4 4 3 3" xfId="33132" xr:uid="{076A5EE3-18A0-461B-A86B-F904CF6B9C9C}"/>
    <cellStyle name="Normal 5 3 3 4 4 3 4" xfId="41579" xr:uid="{153C9CD7-F97A-41C6-A20B-0FD0335434D5}"/>
    <cellStyle name="Normal 5 3 3 4 4 3 5" xfId="15385" xr:uid="{E33243F1-EC69-49BC-B000-D87885CF5E62}"/>
    <cellStyle name="Normal 5 3 3 4 4 4" xfId="20468" xr:uid="{B0DFE776-2122-44B4-A576-8F88FCA600E8}"/>
    <cellStyle name="Normal 5 3 3 4 4 5" xfId="28915" xr:uid="{A47F0A33-DC54-4B66-8E27-613E01B90D38}"/>
    <cellStyle name="Normal 5 3 3 4 4 6" xfId="37362" xr:uid="{7968C7A9-AB2F-4359-A4B2-E09F6F1EF7FB}"/>
    <cellStyle name="Normal 5 3 3 4 4 7" xfId="11168" xr:uid="{D4CBF5C0-98AA-49FD-A67C-CB80D83EE606}"/>
    <cellStyle name="Normal 5 3 3 4 5" xfId="2166" xr:uid="{00000000-0005-0000-0000-0000FB190000}"/>
    <cellStyle name="Normal 5 3 3 4 5 2" xfId="4395" xr:uid="{00000000-0005-0000-0000-0000FC190000}"/>
    <cellStyle name="Normal 5 3 3 4 5 2 2" xfId="8617" xr:uid="{00000000-0005-0000-0000-0000FD190000}"/>
    <cellStyle name="Normal 5 3 3 4 5 2 2 2" xfId="27243" xr:uid="{B5F5282C-A04B-495E-87DE-4D2BA89706B3}"/>
    <cellStyle name="Normal 5 3 3 4 5 2 2 3" xfId="35690" xr:uid="{39FBD4F2-0E62-4BD6-909B-7745EC22320A}"/>
    <cellStyle name="Normal 5 3 3 4 5 2 2 4" xfId="44137" xr:uid="{C86654DB-146B-43D7-8888-BAE9A3358142}"/>
    <cellStyle name="Normal 5 3 3 4 5 2 2 5" xfId="17943" xr:uid="{6EABDA26-2761-43E5-9D9B-56C77E8F1594}"/>
    <cellStyle name="Normal 5 3 3 4 5 2 3" xfId="23026" xr:uid="{5C125D6B-9CA2-4EFE-A317-D51BF1B90F51}"/>
    <cellStyle name="Normal 5 3 3 4 5 2 4" xfId="31473" xr:uid="{FCE0BDD0-6225-441E-8E8D-CB72B69199C4}"/>
    <cellStyle name="Normal 5 3 3 4 5 2 5" xfId="39920" xr:uid="{816FD038-DFE4-45BC-A385-8D721170A522}"/>
    <cellStyle name="Normal 5 3 3 4 5 2 6" xfId="13726" xr:uid="{F9BEC87D-667A-4261-9A55-A6180B804A2F}"/>
    <cellStyle name="Normal 5 3 3 4 5 3" xfId="6472" xr:uid="{00000000-0005-0000-0000-0000FE190000}"/>
    <cellStyle name="Normal 5 3 3 4 5 3 2" xfId="25098" xr:uid="{AD2A8341-4131-4F1D-B068-D378FE04ACDE}"/>
    <cellStyle name="Normal 5 3 3 4 5 3 3" xfId="33545" xr:uid="{EC944DB9-CFE6-4CCA-A443-1D3464EBAB16}"/>
    <cellStyle name="Normal 5 3 3 4 5 3 4" xfId="41992" xr:uid="{FCCEA384-9E0D-4B4A-A3C9-2EA1D690B99A}"/>
    <cellStyle name="Normal 5 3 3 4 5 3 5" xfId="15798" xr:uid="{0670231C-1419-4DEC-BC04-346D26D3A296}"/>
    <cellStyle name="Normal 5 3 3 4 5 4" xfId="20881" xr:uid="{F006EA7D-2E14-4FE9-BF15-05403854E842}"/>
    <cellStyle name="Normal 5 3 3 4 5 5" xfId="29328" xr:uid="{05F481A1-7C20-4D9B-8C70-F2AA80B727F9}"/>
    <cellStyle name="Normal 5 3 3 4 5 6" xfId="37775" xr:uid="{5BBF004F-A6E2-4F12-86DB-2E82300886EB}"/>
    <cellStyle name="Normal 5 3 3 4 5 7" xfId="11581" xr:uid="{CC54DA42-95F9-4148-9783-73C72C582433}"/>
    <cellStyle name="Normal 5 3 3 4 6" xfId="2602" xr:uid="{00000000-0005-0000-0000-0000FF190000}"/>
    <cellStyle name="Normal 5 3 3 4 6 2" xfId="6885" xr:uid="{00000000-0005-0000-0000-0000001A0000}"/>
    <cellStyle name="Normal 5 3 3 4 6 2 2" xfId="25511" xr:uid="{2D24DD63-7285-48C0-A4FC-90437F6E7938}"/>
    <cellStyle name="Normal 5 3 3 4 6 2 3" xfId="33958" xr:uid="{7B8EBA5F-377D-4C6C-BF6D-35D24A0CB98B}"/>
    <cellStyle name="Normal 5 3 3 4 6 2 4" xfId="42405" xr:uid="{33A1C36E-218C-4FBC-9D5B-3CAFFFA88A1D}"/>
    <cellStyle name="Normal 5 3 3 4 6 2 5" xfId="16211" xr:uid="{F6B57895-A88D-4F81-A934-830CB5145257}"/>
    <cellStyle name="Normal 5 3 3 4 6 3" xfId="21294" xr:uid="{DA99EE03-D1AD-4D3D-B0E3-C8C1FD7CFFC2}"/>
    <cellStyle name="Normal 5 3 3 4 6 4" xfId="29741" xr:uid="{979F6FAD-D75D-4ECB-898A-77719B401928}"/>
    <cellStyle name="Normal 5 3 3 4 6 5" xfId="38188" xr:uid="{04EB8D0E-CE00-4A37-9A10-C367EE368EEE}"/>
    <cellStyle name="Normal 5 3 3 4 6 6" xfId="11994" xr:uid="{8E369022-84AE-4600-8AAA-8E94B6291A30}"/>
    <cellStyle name="Normal 5 3 3 4 7" xfId="4820" xr:uid="{00000000-0005-0000-0000-0000011A0000}"/>
    <cellStyle name="Normal 5 3 3 4 7 2" xfId="23446" xr:uid="{4E3B88A0-DEDC-4DDB-9914-D8B6650D8B21}"/>
    <cellStyle name="Normal 5 3 3 4 7 3" xfId="31893" xr:uid="{250CA83A-49BD-4C2B-9C11-CC3A9CD664E3}"/>
    <cellStyle name="Normal 5 3 3 4 7 4" xfId="40340" xr:uid="{7F788E93-112F-443D-9DEA-59A77EF59F85}"/>
    <cellStyle name="Normal 5 3 3 4 7 5" xfId="14146" xr:uid="{2F017051-7A48-4ED4-9417-7CF63800825B}"/>
    <cellStyle name="Normal 5 3 3 4 8" xfId="8989" xr:uid="{20FA1483-98E6-46C4-B00B-4EAF7957981D}"/>
    <cellStyle name="Normal 5 3 3 4 8 2" xfId="18313" xr:uid="{2E8BDACC-6A1F-4263-B803-E1F6798174D8}"/>
    <cellStyle name="Normal 5 3 3 4 9" xfId="19229" xr:uid="{9EBD1FD0-7166-4DBD-A43A-EA4803AA62E2}"/>
    <cellStyle name="Normal 5 3 3 5" xfId="915" xr:uid="{00000000-0005-0000-0000-0000021A0000}"/>
    <cellStyle name="Normal 5 3 3 5 2" xfId="3149" xr:uid="{00000000-0005-0000-0000-0000031A0000}"/>
    <cellStyle name="Normal 5 3 3 5 2 2" xfId="7371" xr:uid="{00000000-0005-0000-0000-0000041A0000}"/>
    <cellStyle name="Normal 5 3 3 5 2 2 2" xfId="25997" xr:uid="{6DF68590-BB17-4F94-AF21-B52CA73E1897}"/>
    <cellStyle name="Normal 5 3 3 5 2 2 3" xfId="34444" xr:uid="{FEC40FA7-013A-4BD0-A15B-54B83855E9C4}"/>
    <cellStyle name="Normal 5 3 3 5 2 2 4" xfId="42891" xr:uid="{5EF97777-D4BF-4165-AE68-8F75F6C69F19}"/>
    <cellStyle name="Normal 5 3 3 5 2 2 5" xfId="16697" xr:uid="{43651E3E-1D77-4620-A332-4950B32ABFB5}"/>
    <cellStyle name="Normal 5 3 3 5 2 3" xfId="21780" xr:uid="{911FB61B-DD07-47C5-BCE7-07FEEB84E437}"/>
    <cellStyle name="Normal 5 3 3 5 2 4" xfId="30227" xr:uid="{260960E4-3229-4AEE-AF0B-E3530976A2D9}"/>
    <cellStyle name="Normal 5 3 3 5 2 5" xfId="38674" xr:uid="{567B1399-34F1-4A4A-99E8-AF46583B3891}"/>
    <cellStyle name="Normal 5 3 3 5 2 6" xfId="12480" xr:uid="{E1A27E67-E9DB-4B8C-85F1-0E9004F6516F}"/>
    <cellStyle name="Normal 5 3 3 5 3" xfId="5226" xr:uid="{00000000-0005-0000-0000-0000051A0000}"/>
    <cellStyle name="Normal 5 3 3 5 3 2" xfId="23852" xr:uid="{AA7E7639-D640-496C-8A82-E6E74CC13D3C}"/>
    <cellStyle name="Normal 5 3 3 5 3 3" xfId="32299" xr:uid="{3160D4C5-C14F-4072-AC02-E883B1C07916}"/>
    <cellStyle name="Normal 5 3 3 5 3 4" xfId="40746" xr:uid="{B0B315B2-9560-400A-8DB3-2AA020CCB600}"/>
    <cellStyle name="Normal 5 3 3 5 3 5" xfId="14552" xr:uid="{02AF0CF2-3146-406F-B833-BDB03A328464}"/>
    <cellStyle name="Normal 5 3 3 5 4" xfId="9206" xr:uid="{CA749CBB-EAB5-483B-862D-D7B95A23D45C}"/>
    <cellStyle name="Normal 5 3 3 5 4 2" xfId="18523" xr:uid="{6CC9F933-3605-4EAB-A5E3-4257B0BE233F}"/>
    <cellStyle name="Normal 5 3 3 5 5" xfId="19635" xr:uid="{B44E7B5C-5662-481D-A9E7-173EE4FDD274}"/>
    <cellStyle name="Normal 5 3 3 5 6" xfId="28082" xr:uid="{B1A2A8C0-AF85-4F57-A455-457836B51231}"/>
    <cellStyle name="Normal 5 3 3 5 7" xfId="36529" xr:uid="{872F70E3-C8BB-4092-A2B7-31DF7F404583}"/>
    <cellStyle name="Normal 5 3 3 5 8" xfId="10335" xr:uid="{CD266BD5-278B-4F4B-A367-8D521FD140CF}"/>
    <cellStyle name="Normal 5 3 3 6" xfId="1332" xr:uid="{00000000-0005-0000-0000-0000061A0000}"/>
    <cellStyle name="Normal 5 3 3 6 2" xfId="3562" xr:uid="{00000000-0005-0000-0000-0000071A0000}"/>
    <cellStyle name="Normal 5 3 3 6 2 2" xfId="7784" xr:uid="{00000000-0005-0000-0000-0000081A0000}"/>
    <cellStyle name="Normal 5 3 3 6 2 2 2" xfId="26410" xr:uid="{E3E4B6AA-4A5C-42BE-A80E-CFD660B65670}"/>
    <cellStyle name="Normal 5 3 3 6 2 2 3" xfId="34857" xr:uid="{EC322E2A-C6F1-478D-A53F-CED2FB78854D}"/>
    <cellStyle name="Normal 5 3 3 6 2 2 4" xfId="43304" xr:uid="{C80DF09D-5C45-44B7-9A4F-970D91C12432}"/>
    <cellStyle name="Normal 5 3 3 6 2 2 5" xfId="17110" xr:uid="{551DD48F-866B-42E2-BA81-32F100880CCF}"/>
    <cellStyle name="Normal 5 3 3 6 2 3" xfId="22193" xr:uid="{9E02A41C-9B91-4077-83E9-01876CF763B7}"/>
    <cellStyle name="Normal 5 3 3 6 2 4" xfId="30640" xr:uid="{803CDAB4-BB8B-4C26-9691-B295CE483191}"/>
    <cellStyle name="Normal 5 3 3 6 2 5" xfId="39087" xr:uid="{81A44517-3341-456A-B8E8-EA295A901CB1}"/>
    <cellStyle name="Normal 5 3 3 6 2 6" xfId="12893" xr:uid="{F658FD20-A6BC-47DC-9DFB-9333ED9C2058}"/>
    <cellStyle name="Normal 5 3 3 6 3" xfId="5639" xr:uid="{00000000-0005-0000-0000-0000091A0000}"/>
    <cellStyle name="Normal 5 3 3 6 3 2" xfId="24265" xr:uid="{34849ED6-805D-4149-8AFD-4E969754DECB}"/>
    <cellStyle name="Normal 5 3 3 6 3 3" xfId="32712" xr:uid="{A9B72685-3E01-4176-A7AA-8FA5854E82FD}"/>
    <cellStyle name="Normal 5 3 3 6 3 4" xfId="41159" xr:uid="{6CC16B91-855E-4F39-9B76-552FD977C1F3}"/>
    <cellStyle name="Normal 5 3 3 6 3 5" xfId="14965" xr:uid="{4485B4CF-8A2F-40A0-82D6-536FC7BF8039}"/>
    <cellStyle name="Normal 5 3 3 6 4" xfId="20048" xr:uid="{2389ADCE-42F9-46E3-B6F7-2A8892E23DFB}"/>
    <cellStyle name="Normal 5 3 3 6 5" xfId="28495" xr:uid="{236CAA31-F0B3-4780-B9F2-005515C3510C}"/>
    <cellStyle name="Normal 5 3 3 6 6" xfId="36942" xr:uid="{2B582B44-ACD4-4CC0-B50C-497ACD3009E2}"/>
    <cellStyle name="Normal 5 3 3 6 7" xfId="10748" xr:uid="{05C7805D-8BBC-47D9-B292-6D0318C64088}"/>
    <cellStyle name="Normal 5 3 3 7" xfId="1745" xr:uid="{00000000-0005-0000-0000-00000A1A0000}"/>
    <cellStyle name="Normal 5 3 3 7 2" xfId="3975" xr:uid="{00000000-0005-0000-0000-00000B1A0000}"/>
    <cellStyle name="Normal 5 3 3 7 2 2" xfId="8197" xr:uid="{00000000-0005-0000-0000-00000C1A0000}"/>
    <cellStyle name="Normal 5 3 3 7 2 2 2" xfId="26823" xr:uid="{9F8D46C0-8EE8-44F6-975D-9BF21E2B0AA4}"/>
    <cellStyle name="Normal 5 3 3 7 2 2 3" xfId="35270" xr:uid="{5141051B-6E3F-4BA8-9BDD-5E3EE2EB99C0}"/>
    <cellStyle name="Normal 5 3 3 7 2 2 4" xfId="43717" xr:uid="{9400FC33-3389-4E7A-9606-DDAAD4ECE292}"/>
    <cellStyle name="Normal 5 3 3 7 2 2 5" xfId="17523" xr:uid="{B99A8FAD-421E-41A8-9F3A-089D354C1DBA}"/>
    <cellStyle name="Normal 5 3 3 7 2 3" xfId="22606" xr:uid="{CE2664E0-3956-4E4B-8961-7CCA15003000}"/>
    <cellStyle name="Normal 5 3 3 7 2 4" xfId="31053" xr:uid="{8F4970D5-3D5D-4DFB-840C-F82F42BEDED0}"/>
    <cellStyle name="Normal 5 3 3 7 2 5" xfId="39500" xr:uid="{30A95C0A-74BB-46D7-81E5-FF459D0AF45F}"/>
    <cellStyle name="Normal 5 3 3 7 2 6" xfId="13306" xr:uid="{7C89AD14-2BAF-484A-AE74-FC0DA6DFA675}"/>
    <cellStyle name="Normal 5 3 3 7 3" xfId="6052" xr:uid="{00000000-0005-0000-0000-00000D1A0000}"/>
    <cellStyle name="Normal 5 3 3 7 3 2" xfId="24678" xr:uid="{C794BC49-3EAE-48C4-99AF-0B7980276627}"/>
    <cellStyle name="Normal 5 3 3 7 3 3" xfId="33125" xr:uid="{9E2DE2B1-73E3-423C-914E-E3ADC288461A}"/>
    <cellStyle name="Normal 5 3 3 7 3 4" xfId="41572" xr:uid="{199F4F69-2EEF-4A81-86EF-867BEB5E1B8A}"/>
    <cellStyle name="Normal 5 3 3 7 3 5" xfId="15378" xr:uid="{44789EEB-072B-417B-8434-B23CF9C477CE}"/>
    <cellStyle name="Normal 5 3 3 7 4" xfId="20461" xr:uid="{BF3B7EA2-8277-49A6-AF19-1E3DF6F0C0A6}"/>
    <cellStyle name="Normal 5 3 3 7 5" xfId="28908" xr:uid="{30A06D89-7822-4B34-AD80-69140BAAE6F1}"/>
    <cellStyle name="Normal 5 3 3 7 6" xfId="37355" xr:uid="{03D4C32F-29F8-41DA-A6F5-FD1A907D1F18}"/>
    <cellStyle name="Normal 5 3 3 7 7" xfId="11161" xr:uid="{BF2352F8-8868-4E6D-AE37-872378D0EDB4}"/>
    <cellStyle name="Normal 5 3 3 8" xfId="2159" xr:uid="{00000000-0005-0000-0000-00000E1A0000}"/>
    <cellStyle name="Normal 5 3 3 8 2" xfId="4388" xr:uid="{00000000-0005-0000-0000-00000F1A0000}"/>
    <cellStyle name="Normal 5 3 3 8 2 2" xfId="8610" xr:uid="{00000000-0005-0000-0000-0000101A0000}"/>
    <cellStyle name="Normal 5 3 3 8 2 2 2" xfId="27236" xr:uid="{5F2BE77B-B9B2-40A5-B347-BA0114B5A093}"/>
    <cellStyle name="Normal 5 3 3 8 2 2 3" xfId="35683" xr:uid="{8B66CE68-CEC2-4A3D-8124-61D6119AC535}"/>
    <cellStyle name="Normal 5 3 3 8 2 2 4" xfId="44130" xr:uid="{96E23B2A-046A-4DAD-9271-1A4E0F90CC46}"/>
    <cellStyle name="Normal 5 3 3 8 2 2 5" xfId="17936" xr:uid="{C912B178-3514-45AA-8BD0-EBA39EF52DBD}"/>
    <cellStyle name="Normal 5 3 3 8 2 3" xfId="23019" xr:uid="{1683B5FD-2C6C-4CAA-AD7C-369FE2037A6A}"/>
    <cellStyle name="Normal 5 3 3 8 2 4" xfId="31466" xr:uid="{DFED87B0-1761-4A9D-A3EE-90A306A2CCC1}"/>
    <cellStyle name="Normal 5 3 3 8 2 5" xfId="39913" xr:uid="{0D8229BD-C1A3-49E1-B4A6-2F8685EB966C}"/>
    <cellStyle name="Normal 5 3 3 8 2 6" xfId="13719" xr:uid="{22647F0A-7AC8-45D3-92ED-BFA8AF4DBB01}"/>
    <cellStyle name="Normal 5 3 3 8 3" xfId="6465" xr:uid="{00000000-0005-0000-0000-0000111A0000}"/>
    <cellStyle name="Normal 5 3 3 8 3 2" xfId="25091" xr:uid="{7713473B-720F-419B-901B-6E06648C184A}"/>
    <cellStyle name="Normal 5 3 3 8 3 3" xfId="33538" xr:uid="{01B5969B-70E5-4E6B-936C-568173BBC79D}"/>
    <cellStyle name="Normal 5 3 3 8 3 4" xfId="41985" xr:uid="{168922BC-9A98-496F-A3F4-3A1030CA7065}"/>
    <cellStyle name="Normal 5 3 3 8 3 5" xfId="15791" xr:uid="{04898A50-8FB4-4938-929A-7620712F4ECB}"/>
    <cellStyle name="Normal 5 3 3 8 4" xfId="20874" xr:uid="{F467BA58-C4F8-478B-A1F1-E568503BC107}"/>
    <cellStyle name="Normal 5 3 3 8 5" xfId="29321" xr:uid="{0D278238-90BC-4CD2-A5A5-270D22EC0ADA}"/>
    <cellStyle name="Normal 5 3 3 8 6" xfId="37768" xr:uid="{1ABE8F86-ADA1-46E9-A994-8B2DD36FB838}"/>
    <cellStyle name="Normal 5 3 3 8 7" xfId="11574" xr:uid="{05E3D80F-CE77-429C-A5F6-A1D4AED11ECB}"/>
    <cellStyle name="Normal 5 3 3 9" xfId="2595" xr:uid="{00000000-0005-0000-0000-0000121A0000}"/>
    <cellStyle name="Normal 5 3 3 9 2" xfId="6878" xr:uid="{00000000-0005-0000-0000-0000131A0000}"/>
    <cellStyle name="Normal 5 3 3 9 2 2" xfId="25504" xr:uid="{019A21F3-FD0A-46B3-ACF0-40A5FBF2C3DD}"/>
    <cellStyle name="Normal 5 3 3 9 2 3" xfId="33951" xr:uid="{66DA18C9-80CF-4A16-A1DE-DE2572EC3E18}"/>
    <cellStyle name="Normal 5 3 3 9 2 4" xfId="42398" xr:uid="{2D1858DB-CA18-4994-98C5-31582FC1AE1B}"/>
    <cellStyle name="Normal 5 3 3 9 2 5" xfId="16204" xr:uid="{900B55B2-B1A6-4096-91F8-59FB93FE1B99}"/>
    <cellStyle name="Normal 5 3 3 9 3" xfId="21287" xr:uid="{8182E58A-5B30-4E9E-9BC8-48FA23F21DD1}"/>
    <cellStyle name="Normal 5 3 3 9 4" xfId="29734" xr:uid="{FADC976B-4A65-4C79-A693-75332670021D}"/>
    <cellStyle name="Normal 5 3 3 9 5" xfId="38181" xr:uid="{26CC35DB-C678-457D-A843-A0D1CF1F9B13}"/>
    <cellStyle name="Normal 5 3 3 9 6" xfId="11987" xr:uid="{916351C7-6D02-4546-838C-DCB035A051E6}"/>
    <cellStyle name="Normal 5 3 4" xfId="449" xr:uid="{00000000-0005-0000-0000-0000141A0000}"/>
    <cellStyle name="Normal 5 3 4 10" xfId="8831" xr:uid="{39AD872D-FBC2-4C4A-B537-79F8014E4247}"/>
    <cellStyle name="Normal 5 3 4 10 2" xfId="18155" xr:uid="{DBFDEB6D-EF83-46B8-80E9-9FC806D7C06A}"/>
    <cellStyle name="Normal 5 3 4 11" xfId="19230" xr:uid="{FF52C382-00DE-46B9-BAC0-11D9DC588352}"/>
    <cellStyle name="Normal 5 3 4 12" xfId="27677" xr:uid="{08D662D6-8321-4FF6-AA48-DDB1D1D46271}"/>
    <cellStyle name="Normal 5 3 4 13" xfId="36124" xr:uid="{ABD581A3-B7B1-479F-BB00-9E3058A49BC0}"/>
    <cellStyle name="Normal 5 3 4 14" xfId="9930" xr:uid="{E283480D-D134-4240-A2CC-4C24CE2EDF00}"/>
    <cellStyle name="Normal 5 3 4 2" xfId="450" xr:uid="{00000000-0005-0000-0000-0000151A0000}"/>
    <cellStyle name="Normal 5 3 4 2 10" xfId="19231" xr:uid="{CFA8F303-0E85-4AD9-9285-E4E0B37AF61A}"/>
    <cellStyle name="Normal 5 3 4 2 11" xfId="27678" xr:uid="{D515F898-E017-44F9-86A7-08376F68D118}"/>
    <cellStyle name="Normal 5 3 4 2 12" xfId="36125" xr:uid="{AFD86EC7-7666-4403-B3FD-E5FD657AFFFA}"/>
    <cellStyle name="Normal 5 3 4 2 13" xfId="9931" xr:uid="{5BADAFDF-F9D3-4C15-91BA-2F47DA287BE4}"/>
    <cellStyle name="Normal 5 3 4 2 2" xfId="451" xr:uid="{00000000-0005-0000-0000-0000161A0000}"/>
    <cellStyle name="Normal 5 3 4 2 2 10" xfId="27679" xr:uid="{8F07C3D3-235E-4B3A-9505-C3D5BD261D60}"/>
    <cellStyle name="Normal 5 3 4 2 2 11" xfId="36126" xr:uid="{F6CEA187-BC2A-48FC-AF29-CA1F793FE7FE}"/>
    <cellStyle name="Normal 5 3 4 2 2 12" xfId="9932" xr:uid="{0191ED82-37B7-4EE6-86BB-39C81BFD7DD8}"/>
    <cellStyle name="Normal 5 3 4 2 2 2" xfId="925" xr:uid="{00000000-0005-0000-0000-0000171A0000}"/>
    <cellStyle name="Normal 5 3 4 2 2 2 2" xfId="3159" xr:uid="{00000000-0005-0000-0000-0000181A0000}"/>
    <cellStyle name="Normal 5 3 4 2 2 2 2 2" xfId="7381" xr:uid="{00000000-0005-0000-0000-0000191A0000}"/>
    <cellStyle name="Normal 5 3 4 2 2 2 2 2 2" xfId="26007" xr:uid="{67333BF6-2FAB-4E48-95A6-957ACE773C52}"/>
    <cellStyle name="Normal 5 3 4 2 2 2 2 2 3" xfId="34454" xr:uid="{9393C582-179E-41B4-A585-7B361ABAC0D1}"/>
    <cellStyle name="Normal 5 3 4 2 2 2 2 2 4" xfId="42901" xr:uid="{C57EFC3F-4CE3-4F65-B06D-26D9F4D36664}"/>
    <cellStyle name="Normal 5 3 4 2 2 2 2 2 5" xfId="16707" xr:uid="{655FA017-8216-4D3A-837D-B5F76483187F}"/>
    <cellStyle name="Normal 5 3 4 2 2 2 2 3" xfId="21790" xr:uid="{EF41E0B8-7F99-4A52-9452-33C775FEA0BB}"/>
    <cellStyle name="Normal 5 3 4 2 2 2 2 4" xfId="30237" xr:uid="{240BA25D-E9DF-4003-A41E-049F900BCB78}"/>
    <cellStyle name="Normal 5 3 4 2 2 2 2 5" xfId="38684" xr:uid="{E8A5366D-A760-4CBD-94B0-AA289F838544}"/>
    <cellStyle name="Normal 5 3 4 2 2 2 2 6" xfId="12490" xr:uid="{33A98E50-D3E6-460A-96B6-764617EF08CC}"/>
    <cellStyle name="Normal 5 3 4 2 2 2 3" xfId="5236" xr:uid="{00000000-0005-0000-0000-00001A1A0000}"/>
    <cellStyle name="Normal 5 3 4 2 2 2 3 2" xfId="23862" xr:uid="{A0AE7B92-6251-4C42-AF5E-B5D7FC47EAAD}"/>
    <cellStyle name="Normal 5 3 4 2 2 2 3 3" xfId="32309" xr:uid="{E8EA63DB-C9C3-455C-B46C-554AF04DDF74}"/>
    <cellStyle name="Normal 5 3 4 2 2 2 3 4" xfId="40756" xr:uid="{7BDD3D20-18BA-4AAB-9600-378D60BF2BE5}"/>
    <cellStyle name="Normal 5 3 4 2 2 2 3 5" xfId="14562" xr:uid="{4772EEFB-BF0C-4121-9040-303799CCB6E2}"/>
    <cellStyle name="Normal 5 3 4 2 2 2 4" xfId="9566" xr:uid="{D483C248-9680-462F-989C-42C712CD6EB7}"/>
    <cellStyle name="Normal 5 3 4 2 2 2 4 2" xfId="18882" xr:uid="{9C57030E-7DB5-4CDF-885E-84ABB276968E}"/>
    <cellStyle name="Normal 5 3 4 2 2 2 5" xfId="19645" xr:uid="{D152D691-AEBE-4ED7-A1FA-9A69E6C6E7EF}"/>
    <cellStyle name="Normal 5 3 4 2 2 2 6" xfId="28092" xr:uid="{AD729E80-856D-4E74-8CE5-131319E15EBE}"/>
    <cellStyle name="Normal 5 3 4 2 2 2 7" xfId="36539" xr:uid="{898E48EC-2C1D-4781-B342-1D360A6EBF35}"/>
    <cellStyle name="Normal 5 3 4 2 2 2 8" xfId="10345" xr:uid="{5A333469-CDE1-4B46-8F3B-8D2DFCDE7E14}"/>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2 2 2" xfId="26420" xr:uid="{ED43DEB8-5137-4BFA-A5F3-6EC9918D5A45}"/>
    <cellStyle name="Normal 5 3 4 2 2 3 2 2 3" xfId="34867" xr:uid="{B345102A-B87B-46BB-AE32-B7977AF25D99}"/>
    <cellStyle name="Normal 5 3 4 2 2 3 2 2 4" xfId="43314" xr:uid="{B3910A12-29E1-4911-B05F-1DC9F89F14E5}"/>
    <cellStyle name="Normal 5 3 4 2 2 3 2 2 5" xfId="17120" xr:uid="{62E9148D-263A-4F1D-A418-CD13D67F6D37}"/>
    <cellStyle name="Normal 5 3 4 2 2 3 2 3" xfId="22203" xr:uid="{39EA6776-E0F6-4511-80E8-465B4F93295E}"/>
    <cellStyle name="Normal 5 3 4 2 2 3 2 4" xfId="30650" xr:uid="{26FEE76D-08A6-497C-9942-7D133C784058}"/>
    <cellStyle name="Normal 5 3 4 2 2 3 2 5" xfId="39097" xr:uid="{CDA60CE1-BE6A-4B0B-ADEF-C51DEFD75275}"/>
    <cellStyle name="Normal 5 3 4 2 2 3 2 6" xfId="12903" xr:uid="{85F95596-6342-4EF6-BD0E-0C183FC4FFAC}"/>
    <cellStyle name="Normal 5 3 4 2 2 3 3" xfId="5649" xr:uid="{00000000-0005-0000-0000-00001E1A0000}"/>
    <cellStyle name="Normal 5 3 4 2 2 3 3 2" xfId="24275" xr:uid="{2FFD4165-ABF0-42C8-838E-9D50B0642AEB}"/>
    <cellStyle name="Normal 5 3 4 2 2 3 3 3" xfId="32722" xr:uid="{B45AAC6F-D035-418C-9E47-1C4EA36E1D7F}"/>
    <cellStyle name="Normal 5 3 4 2 2 3 3 4" xfId="41169" xr:uid="{1FD28D79-07D8-479D-8E16-85CAEFE1EF40}"/>
    <cellStyle name="Normal 5 3 4 2 2 3 3 5" xfId="14975" xr:uid="{79B947C9-C76B-497B-B544-84BA9A4BA97D}"/>
    <cellStyle name="Normal 5 3 4 2 2 3 4" xfId="20058" xr:uid="{E49514D8-7D71-4832-ABBB-A2B5DF1F6D92}"/>
    <cellStyle name="Normal 5 3 4 2 2 3 5" xfId="28505" xr:uid="{85448837-B13F-45A6-8D8B-06A7A749746E}"/>
    <cellStyle name="Normal 5 3 4 2 2 3 6" xfId="36952" xr:uid="{95FA3BD1-54F8-4BF0-B2BA-3825639A6E94}"/>
    <cellStyle name="Normal 5 3 4 2 2 3 7" xfId="10758" xr:uid="{B19D2073-73B7-4A4A-8608-77111E3787B7}"/>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2 2 2" xfId="26833" xr:uid="{A0C514D5-82BC-4333-A52C-A858C1AD80DF}"/>
    <cellStyle name="Normal 5 3 4 2 2 4 2 2 3" xfId="35280" xr:uid="{20D05289-A1A9-4569-8758-0F1BC9647D3D}"/>
    <cellStyle name="Normal 5 3 4 2 2 4 2 2 4" xfId="43727" xr:uid="{469E21D4-BAD9-43C5-9CD6-C55977F34CFD}"/>
    <cellStyle name="Normal 5 3 4 2 2 4 2 2 5" xfId="17533" xr:uid="{9BD094B2-BFDA-4BEA-99BF-3282E6260DE6}"/>
    <cellStyle name="Normal 5 3 4 2 2 4 2 3" xfId="22616" xr:uid="{F493877A-A6A5-4821-A80B-D0ADAFB65F95}"/>
    <cellStyle name="Normal 5 3 4 2 2 4 2 4" xfId="31063" xr:uid="{55D19515-F81A-4543-8B82-68954C8A5270}"/>
    <cellStyle name="Normal 5 3 4 2 2 4 2 5" xfId="39510" xr:uid="{1DC54B74-7C2D-4B64-9FDE-C9E2B8D8942A}"/>
    <cellStyle name="Normal 5 3 4 2 2 4 2 6" xfId="13316" xr:uid="{BE0D4712-10A2-48BE-A97A-997BD7726BD5}"/>
    <cellStyle name="Normal 5 3 4 2 2 4 3" xfId="6062" xr:uid="{00000000-0005-0000-0000-0000221A0000}"/>
    <cellStyle name="Normal 5 3 4 2 2 4 3 2" xfId="24688" xr:uid="{8EACA193-EA70-4FFC-86AA-F1AA42F3C42B}"/>
    <cellStyle name="Normal 5 3 4 2 2 4 3 3" xfId="33135" xr:uid="{BFB9F727-DE50-415E-A6B0-BC0990BE2A65}"/>
    <cellStyle name="Normal 5 3 4 2 2 4 3 4" xfId="41582" xr:uid="{DE61CA18-CD5C-4088-9C24-FC11B9E3F284}"/>
    <cellStyle name="Normal 5 3 4 2 2 4 3 5" xfId="15388" xr:uid="{DA7899FE-688F-4199-91A1-5B220728FA82}"/>
    <cellStyle name="Normal 5 3 4 2 2 4 4" xfId="20471" xr:uid="{C7C24710-7FCF-42A2-B19B-FBA6B79A2B0A}"/>
    <cellStyle name="Normal 5 3 4 2 2 4 5" xfId="28918" xr:uid="{D53EEE51-47AC-4F30-9BE1-96B1031F9937}"/>
    <cellStyle name="Normal 5 3 4 2 2 4 6" xfId="37365" xr:uid="{07E41156-A463-4795-AA60-BA14A3691461}"/>
    <cellStyle name="Normal 5 3 4 2 2 4 7" xfId="11171" xr:uid="{45AEEE7B-D549-4016-BF7D-8347FE7BCB4F}"/>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2 2 2" xfId="27246" xr:uid="{82F04F2E-BEB0-4E0A-BB95-D1AD9732CF25}"/>
    <cellStyle name="Normal 5 3 4 2 2 5 2 2 3" xfId="35693" xr:uid="{FE32B1AD-6B30-4EAA-9A1E-023D46529173}"/>
    <cellStyle name="Normal 5 3 4 2 2 5 2 2 4" xfId="44140" xr:uid="{F860BC0E-D306-4627-BBAD-651D0154B4D2}"/>
    <cellStyle name="Normal 5 3 4 2 2 5 2 2 5" xfId="17946" xr:uid="{FAEE2FFC-3051-40C4-AFA7-2E83CAD3121A}"/>
    <cellStyle name="Normal 5 3 4 2 2 5 2 3" xfId="23029" xr:uid="{E7350E3C-110B-44E8-9E76-3D8A72C87922}"/>
    <cellStyle name="Normal 5 3 4 2 2 5 2 4" xfId="31476" xr:uid="{A90CFACC-E1CD-46B1-B827-C01DDBEA0D25}"/>
    <cellStyle name="Normal 5 3 4 2 2 5 2 5" xfId="39923" xr:uid="{0A2B8595-6643-4895-BFFC-699459BDDB24}"/>
    <cellStyle name="Normal 5 3 4 2 2 5 2 6" xfId="13729" xr:uid="{53055288-F2FD-4195-A286-7E7A61DEF03E}"/>
    <cellStyle name="Normal 5 3 4 2 2 5 3" xfId="6475" xr:uid="{00000000-0005-0000-0000-0000261A0000}"/>
    <cellStyle name="Normal 5 3 4 2 2 5 3 2" xfId="25101" xr:uid="{D85335D2-783B-49F4-9179-A4D153935A64}"/>
    <cellStyle name="Normal 5 3 4 2 2 5 3 3" xfId="33548" xr:uid="{513081C6-22A9-4DF8-81D4-3D80399F28BE}"/>
    <cellStyle name="Normal 5 3 4 2 2 5 3 4" xfId="41995" xr:uid="{ED375FE5-3071-4238-A2AF-66E1C9C7C036}"/>
    <cellStyle name="Normal 5 3 4 2 2 5 3 5" xfId="15801" xr:uid="{27C0DBC8-FAF5-4111-87F7-CAA934D87626}"/>
    <cellStyle name="Normal 5 3 4 2 2 5 4" xfId="20884" xr:uid="{CEBBE397-3492-40E0-A1C2-FC53AB69AACE}"/>
    <cellStyle name="Normal 5 3 4 2 2 5 5" xfId="29331" xr:uid="{22116129-7DB0-4683-8072-432134FB5225}"/>
    <cellStyle name="Normal 5 3 4 2 2 5 6" xfId="37778" xr:uid="{4F87C060-C1A8-4D66-B132-991160F53F22}"/>
    <cellStyle name="Normal 5 3 4 2 2 5 7" xfId="11584" xr:uid="{D263DB6E-00D3-4459-AC66-8B5C68DD8334}"/>
    <cellStyle name="Normal 5 3 4 2 2 6" xfId="2605" xr:uid="{00000000-0005-0000-0000-0000271A0000}"/>
    <cellStyle name="Normal 5 3 4 2 2 6 2" xfId="6888" xr:uid="{00000000-0005-0000-0000-0000281A0000}"/>
    <cellStyle name="Normal 5 3 4 2 2 6 2 2" xfId="25514" xr:uid="{FA5DC5B2-0F38-49F3-9E0A-69FD11521000}"/>
    <cellStyle name="Normal 5 3 4 2 2 6 2 3" xfId="33961" xr:uid="{EAA1A1C1-7844-4043-9F5F-58A72EE53C55}"/>
    <cellStyle name="Normal 5 3 4 2 2 6 2 4" xfId="42408" xr:uid="{8E60B699-C5EA-433B-818F-E0582DD5322A}"/>
    <cellStyle name="Normal 5 3 4 2 2 6 2 5" xfId="16214" xr:uid="{04B73498-C12F-4A0A-80E7-B4CD327318C8}"/>
    <cellStyle name="Normal 5 3 4 2 2 6 3" xfId="21297" xr:uid="{5261DF77-BC64-46C6-A8D0-088154CEC171}"/>
    <cellStyle name="Normal 5 3 4 2 2 6 4" xfId="29744" xr:uid="{07E10F0F-E15F-436A-ACEC-641891451AC5}"/>
    <cellStyle name="Normal 5 3 4 2 2 6 5" xfId="38191" xr:uid="{069FBA47-9033-4ED7-87B7-E9D3AEC13A52}"/>
    <cellStyle name="Normal 5 3 4 2 2 6 6" xfId="11997" xr:uid="{8E192A48-D542-48CB-AB93-3149DD20D57A}"/>
    <cellStyle name="Normal 5 3 4 2 2 7" xfId="4823" xr:uid="{00000000-0005-0000-0000-0000291A0000}"/>
    <cellStyle name="Normal 5 3 4 2 2 7 2" xfId="23449" xr:uid="{8B3AFB6D-8E2B-4293-94AE-9BA77C5E1650}"/>
    <cellStyle name="Normal 5 3 4 2 2 7 3" xfId="31896" xr:uid="{6BC3374C-2338-4DC1-B32C-1C3628225B45}"/>
    <cellStyle name="Normal 5 3 4 2 2 7 4" xfId="40343" xr:uid="{5FE9A2B2-019C-4512-B296-0773E6440668}"/>
    <cellStyle name="Normal 5 3 4 2 2 7 5" xfId="14149" xr:uid="{EDA82ABE-F382-47B1-9B08-FC55DF82E5CB}"/>
    <cellStyle name="Normal 5 3 4 2 2 8" xfId="9141" xr:uid="{6B63A6D0-0E60-498B-8E53-451D5144533A}"/>
    <cellStyle name="Normal 5 3 4 2 2 8 2" xfId="18465" xr:uid="{363355A7-6C2E-43B2-840F-DA109A165AAD}"/>
    <cellStyle name="Normal 5 3 4 2 2 9" xfId="19232" xr:uid="{E24ADDAC-8D4E-49EC-BA06-1E60085A8A5A}"/>
    <cellStyle name="Normal 5 3 4 2 3" xfId="924" xr:uid="{00000000-0005-0000-0000-00002A1A0000}"/>
    <cellStyle name="Normal 5 3 4 2 3 2" xfId="3158" xr:uid="{00000000-0005-0000-0000-00002B1A0000}"/>
    <cellStyle name="Normal 5 3 4 2 3 2 2" xfId="7380" xr:uid="{00000000-0005-0000-0000-00002C1A0000}"/>
    <cellStyle name="Normal 5 3 4 2 3 2 2 2" xfId="26006" xr:uid="{AA7FE8B7-9EE5-40E6-99C4-88B82DB761B4}"/>
    <cellStyle name="Normal 5 3 4 2 3 2 2 3" xfId="34453" xr:uid="{E83AC575-FEFF-45A1-8152-70FBF57F9744}"/>
    <cellStyle name="Normal 5 3 4 2 3 2 2 4" xfId="42900" xr:uid="{6ED8F67D-FD8F-4441-BB4F-65A90E05415B}"/>
    <cellStyle name="Normal 5 3 4 2 3 2 2 5" xfId="16706" xr:uid="{6FB33D1B-63EB-4268-8E90-5986F6E58837}"/>
    <cellStyle name="Normal 5 3 4 2 3 2 3" xfId="21789" xr:uid="{74A90881-6460-4FE6-81A2-D4D9B68548A4}"/>
    <cellStyle name="Normal 5 3 4 2 3 2 4" xfId="30236" xr:uid="{B8CB93A8-3145-4669-B1F8-B36E7317B12D}"/>
    <cellStyle name="Normal 5 3 4 2 3 2 5" xfId="38683" xr:uid="{01E94AB0-34D2-4619-A1FD-8ED00A2A5317}"/>
    <cellStyle name="Normal 5 3 4 2 3 2 6" xfId="12489" xr:uid="{4600F100-8A26-4C42-A6CE-CA51D98C7D6B}"/>
    <cellStyle name="Normal 5 3 4 2 3 3" xfId="5235" xr:uid="{00000000-0005-0000-0000-00002D1A0000}"/>
    <cellStyle name="Normal 5 3 4 2 3 3 2" xfId="23861" xr:uid="{CFA0332A-E1D3-4C7A-BC8D-EA05927116D5}"/>
    <cellStyle name="Normal 5 3 4 2 3 3 3" xfId="32308" xr:uid="{5310C21C-3F5A-4BD1-BECF-90C74E32D3A8}"/>
    <cellStyle name="Normal 5 3 4 2 3 3 4" xfId="40755" xr:uid="{51D39DF1-B807-4040-B6A2-C7027E4BBC1C}"/>
    <cellStyle name="Normal 5 3 4 2 3 3 5" xfId="14561" xr:uid="{C941C896-7565-49AD-89A7-CA957E64004D}"/>
    <cellStyle name="Normal 5 3 4 2 3 4" xfId="9359" xr:uid="{FAC41203-2BC4-411F-9296-10781BA4F1AB}"/>
    <cellStyle name="Normal 5 3 4 2 3 4 2" xfId="18675" xr:uid="{29DAB113-7BF9-4B11-ABA0-63BC00F36F04}"/>
    <cellStyle name="Normal 5 3 4 2 3 5" xfId="19644" xr:uid="{7FE268A7-BD0E-4101-8B73-AED4C4ED7991}"/>
    <cellStyle name="Normal 5 3 4 2 3 6" xfId="28091" xr:uid="{242D0909-641D-4981-B76C-EDF938A8DEE9}"/>
    <cellStyle name="Normal 5 3 4 2 3 7" xfId="36538" xr:uid="{8E824C50-E1DB-4EA4-898A-333F16B73BA5}"/>
    <cellStyle name="Normal 5 3 4 2 3 8" xfId="10344" xr:uid="{0DB316DE-FB3F-48D6-B5CD-F7F7F1BF9605}"/>
    <cellStyle name="Normal 5 3 4 2 4" xfId="1341" xr:uid="{00000000-0005-0000-0000-00002E1A0000}"/>
    <cellStyle name="Normal 5 3 4 2 4 2" xfId="3571" xr:uid="{00000000-0005-0000-0000-00002F1A0000}"/>
    <cellStyle name="Normal 5 3 4 2 4 2 2" xfId="7793" xr:uid="{00000000-0005-0000-0000-0000301A0000}"/>
    <cellStyle name="Normal 5 3 4 2 4 2 2 2" xfId="26419" xr:uid="{647B4204-CC96-42C9-AE84-B8DC46876B7D}"/>
    <cellStyle name="Normal 5 3 4 2 4 2 2 3" xfId="34866" xr:uid="{D7D0167E-A849-4D44-BA8C-88CF56FCAD6D}"/>
    <cellStyle name="Normal 5 3 4 2 4 2 2 4" xfId="43313" xr:uid="{9DCA04DE-1163-4B74-BEB5-CC146DD46D26}"/>
    <cellStyle name="Normal 5 3 4 2 4 2 2 5" xfId="17119" xr:uid="{2B514D54-4B1D-41CF-8535-3B250FA0D92C}"/>
    <cellStyle name="Normal 5 3 4 2 4 2 3" xfId="22202" xr:uid="{C3056BF7-9324-4D48-AEB8-DDC35B2739CE}"/>
    <cellStyle name="Normal 5 3 4 2 4 2 4" xfId="30649" xr:uid="{42BA897E-4C21-4A22-9940-DDD4D6255274}"/>
    <cellStyle name="Normal 5 3 4 2 4 2 5" xfId="39096" xr:uid="{96785E96-16B5-4938-8103-CCCC066553D0}"/>
    <cellStyle name="Normal 5 3 4 2 4 2 6" xfId="12902" xr:uid="{4ACE4ABC-5C5D-41BC-9051-87FB396F408E}"/>
    <cellStyle name="Normal 5 3 4 2 4 3" xfId="5648" xr:uid="{00000000-0005-0000-0000-0000311A0000}"/>
    <cellStyle name="Normal 5 3 4 2 4 3 2" xfId="24274" xr:uid="{367FD0A0-E0F3-4350-8C96-90017EB382BD}"/>
    <cellStyle name="Normal 5 3 4 2 4 3 3" xfId="32721" xr:uid="{046E732E-C59B-4508-960D-B66A6A43DD41}"/>
    <cellStyle name="Normal 5 3 4 2 4 3 4" xfId="41168" xr:uid="{30FA1C00-A806-4657-8535-72F039E97B76}"/>
    <cellStyle name="Normal 5 3 4 2 4 3 5" xfId="14974" xr:uid="{31B0621B-0B40-4BC3-BBE5-440ECF03C64F}"/>
    <cellStyle name="Normal 5 3 4 2 4 4" xfId="20057" xr:uid="{9168CC3B-6001-476B-9B1A-3BF292F08121}"/>
    <cellStyle name="Normal 5 3 4 2 4 5" xfId="28504" xr:uid="{47776B2C-9DAF-4FE1-8919-6A6ACF7A7AE1}"/>
    <cellStyle name="Normal 5 3 4 2 4 6" xfId="36951" xr:uid="{14EEADBA-A1AA-43AA-81D5-3BDD258B9ED1}"/>
    <cellStyle name="Normal 5 3 4 2 4 7" xfId="10757" xr:uid="{86E7DC4D-92F0-453F-8E2D-D606C14D021D}"/>
    <cellStyle name="Normal 5 3 4 2 5" xfId="1754" xr:uid="{00000000-0005-0000-0000-0000321A0000}"/>
    <cellStyle name="Normal 5 3 4 2 5 2" xfId="3984" xr:uid="{00000000-0005-0000-0000-0000331A0000}"/>
    <cellStyle name="Normal 5 3 4 2 5 2 2" xfId="8206" xr:uid="{00000000-0005-0000-0000-0000341A0000}"/>
    <cellStyle name="Normal 5 3 4 2 5 2 2 2" xfId="26832" xr:uid="{EA1268BC-F951-4916-A4BC-A7A439214AE6}"/>
    <cellStyle name="Normal 5 3 4 2 5 2 2 3" xfId="35279" xr:uid="{DF4B8173-7D92-4F33-93BF-0EFD47160E04}"/>
    <cellStyle name="Normal 5 3 4 2 5 2 2 4" xfId="43726" xr:uid="{A2E06C6D-6755-4796-8B9D-1370579D72BD}"/>
    <cellStyle name="Normal 5 3 4 2 5 2 2 5" xfId="17532" xr:uid="{BF6D61A8-7BE7-46B6-B222-C68A41116D87}"/>
    <cellStyle name="Normal 5 3 4 2 5 2 3" xfId="22615" xr:uid="{8DFBB704-9882-49B2-94D7-3D0CAC216509}"/>
    <cellStyle name="Normal 5 3 4 2 5 2 4" xfId="31062" xr:uid="{E949AF96-14E6-4E77-B141-F2A186CB18CF}"/>
    <cellStyle name="Normal 5 3 4 2 5 2 5" xfId="39509" xr:uid="{16C53C54-0DEC-48D9-B853-1A55B95B3DF2}"/>
    <cellStyle name="Normal 5 3 4 2 5 2 6" xfId="13315" xr:uid="{B910F57F-0886-4914-81C6-E783B06A90B1}"/>
    <cellStyle name="Normal 5 3 4 2 5 3" xfId="6061" xr:uid="{00000000-0005-0000-0000-0000351A0000}"/>
    <cellStyle name="Normal 5 3 4 2 5 3 2" xfId="24687" xr:uid="{7EF40386-F510-4B0E-AB98-A53AC898AC38}"/>
    <cellStyle name="Normal 5 3 4 2 5 3 3" xfId="33134" xr:uid="{538B3D64-BBE0-44B1-9ADD-AFE42C922752}"/>
    <cellStyle name="Normal 5 3 4 2 5 3 4" xfId="41581" xr:uid="{0A9A269B-395F-49E6-A516-C310169A1AEF}"/>
    <cellStyle name="Normal 5 3 4 2 5 3 5" xfId="15387" xr:uid="{7FEDA733-15D9-41C3-858D-8112C4651614}"/>
    <cellStyle name="Normal 5 3 4 2 5 4" xfId="20470" xr:uid="{BB636847-467C-4266-98C7-204CAE239342}"/>
    <cellStyle name="Normal 5 3 4 2 5 5" xfId="28917" xr:uid="{6EB4C627-D5D4-4ABC-8604-3CA380D3D7E4}"/>
    <cellStyle name="Normal 5 3 4 2 5 6" xfId="37364" xr:uid="{08D91D1F-AB08-4A33-8C23-0520ABB06A41}"/>
    <cellStyle name="Normal 5 3 4 2 5 7" xfId="11170" xr:uid="{BB6A5D89-7932-4E68-9F0B-45C5D5307C69}"/>
    <cellStyle name="Normal 5 3 4 2 6" xfId="2168" xr:uid="{00000000-0005-0000-0000-0000361A0000}"/>
    <cellStyle name="Normal 5 3 4 2 6 2" xfId="4397" xr:uid="{00000000-0005-0000-0000-0000371A0000}"/>
    <cellStyle name="Normal 5 3 4 2 6 2 2" xfId="8619" xr:uid="{00000000-0005-0000-0000-0000381A0000}"/>
    <cellStyle name="Normal 5 3 4 2 6 2 2 2" xfId="27245" xr:uid="{E324E1A8-286E-49FC-BAF7-AA60FF2FF52E}"/>
    <cellStyle name="Normal 5 3 4 2 6 2 2 3" xfId="35692" xr:uid="{FC7A7DFF-867A-47C6-8F10-0153A616188C}"/>
    <cellStyle name="Normal 5 3 4 2 6 2 2 4" xfId="44139" xr:uid="{A4F76381-AE78-4EC5-89D6-B4D4CA36995C}"/>
    <cellStyle name="Normal 5 3 4 2 6 2 2 5" xfId="17945" xr:uid="{FDA3058A-10BB-40C9-8226-18F66C0BDD73}"/>
    <cellStyle name="Normal 5 3 4 2 6 2 3" xfId="23028" xr:uid="{7BEE4AA9-FBBE-4001-A9BD-FE6298FEACEA}"/>
    <cellStyle name="Normal 5 3 4 2 6 2 4" xfId="31475" xr:uid="{B248DDAC-5FC2-49DB-A283-B97BB7C4C057}"/>
    <cellStyle name="Normal 5 3 4 2 6 2 5" xfId="39922" xr:uid="{9876753E-A9C2-447A-910B-779834FD9A71}"/>
    <cellStyle name="Normal 5 3 4 2 6 2 6" xfId="13728" xr:uid="{90D2456C-CD4E-4B9F-8001-0FFD84073501}"/>
    <cellStyle name="Normal 5 3 4 2 6 3" xfId="6474" xr:uid="{00000000-0005-0000-0000-0000391A0000}"/>
    <cellStyle name="Normal 5 3 4 2 6 3 2" xfId="25100" xr:uid="{666C666F-1564-458C-A39F-4FF04B62C8EA}"/>
    <cellStyle name="Normal 5 3 4 2 6 3 3" xfId="33547" xr:uid="{EC8F33A9-D694-4022-8A49-41B23EA76B85}"/>
    <cellStyle name="Normal 5 3 4 2 6 3 4" xfId="41994" xr:uid="{B334F662-25D6-4553-AC58-6CABEEB90BBF}"/>
    <cellStyle name="Normal 5 3 4 2 6 3 5" xfId="15800" xr:uid="{5A2A5F61-6294-46B3-8B6A-71E78DAF7B54}"/>
    <cellStyle name="Normal 5 3 4 2 6 4" xfId="20883" xr:uid="{DA1BCC18-C883-419C-BEBE-BF029F238672}"/>
    <cellStyle name="Normal 5 3 4 2 6 5" xfId="29330" xr:uid="{C39FB2C0-0C96-4D79-890F-4BCE97E5B5E4}"/>
    <cellStyle name="Normal 5 3 4 2 6 6" xfId="37777" xr:uid="{5B584E2C-2790-4C11-B00D-D89CAECEE63D}"/>
    <cellStyle name="Normal 5 3 4 2 6 7" xfId="11583" xr:uid="{197DD337-D21C-469D-9F76-7943DE6FEC60}"/>
    <cellStyle name="Normal 5 3 4 2 7" xfId="2604" xr:uid="{00000000-0005-0000-0000-00003A1A0000}"/>
    <cellStyle name="Normal 5 3 4 2 7 2" xfId="6887" xr:uid="{00000000-0005-0000-0000-00003B1A0000}"/>
    <cellStyle name="Normal 5 3 4 2 7 2 2" xfId="25513" xr:uid="{6506D49E-058C-4671-A79E-4610BBFCD8BE}"/>
    <cellStyle name="Normal 5 3 4 2 7 2 3" xfId="33960" xr:uid="{573B62C0-ECA3-4278-86C2-5FAC64EEC72E}"/>
    <cellStyle name="Normal 5 3 4 2 7 2 4" xfId="42407" xr:uid="{FEC9E7D3-F3A7-4860-9829-0257BB2DE6C0}"/>
    <cellStyle name="Normal 5 3 4 2 7 2 5" xfId="16213" xr:uid="{75B17D58-621B-414A-AB4A-DCE180F0E7D7}"/>
    <cellStyle name="Normal 5 3 4 2 7 3" xfId="21296" xr:uid="{5977D820-C5D5-4FA4-AD9C-0B23DD847A99}"/>
    <cellStyle name="Normal 5 3 4 2 7 4" xfId="29743" xr:uid="{F01FF4FB-8D1F-47B2-889F-2FEED768B73F}"/>
    <cellStyle name="Normal 5 3 4 2 7 5" xfId="38190" xr:uid="{3124C9D8-5E8C-4205-908F-96551E405920}"/>
    <cellStyle name="Normal 5 3 4 2 7 6" xfId="11996" xr:uid="{DA33C31C-42DD-4B5F-9053-1715BB7A24E8}"/>
    <cellStyle name="Normal 5 3 4 2 8" xfId="4822" xr:uid="{00000000-0005-0000-0000-00003C1A0000}"/>
    <cellStyle name="Normal 5 3 4 2 8 2" xfId="23448" xr:uid="{4B27A72A-60F5-45F1-A9AF-5D7A404EB65F}"/>
    <cellStyle name="Normal 5 3 4 2 8 3" xfId="31895" xr:uid="{06005251-CC2C-4AF3-ABF7-3F4C83B696B7}"/>
    <cellStyle name="Normal 5 3 4 2 8 4" xfId="40342" xr:uid="{1B9B3497-8187-498F-AA8E-7C46F1630327}"/>
    <cellStyle name="Normal 5 3 4 2 8 5" xfId="14148" xr:uid="{FF64AA23-A727-4172-92E8-D5D9887E1B68}"/>
    <cellStyle name="Normal 5 3 4 2 9" xfId="8934" xr:uid="{D16D0DF9-4576-4200-8972-8AAD50545E0D}"/>
    <cellStyle name="Normal 5 3 4 2 9 2" xfId="18258" xr:uid="{244899A9-9D3F-414D-8620-C43A715E2BE1}"/>
    <cellStyle name="Normal 5 3 4 3" xfId="452" xr:uid="{00000000-0005-0000-0000-00003D1A0000}"/>
    <cellStyle name="Normal 5 3 4 3 10" xfId="27680" xr:uid="{D05B6A7F-403B-4204-A050-463C760711C0}"/>
    <cellStyle name="Normal 5 3 4 3 11" xfId="36127" xr:uid="{3062D129-4D4D-46EA-90CE-C5FC78718529}"/>
    <cellStyle name="Normal 5 3 4 3 12" xfId="9933" xr:uid="{B95445D0-7E47-43F9-B277-A33B7F0C94F7}"/>
    <cellStyle name="Normal 5 3 4 3 2" xfId="926" xr:uid="{00000000-0005-0000-0000-00003E1A0000}"/>
    <cellStyle name="Normal 5 3 4 3 2 2" xfId="3160" xr:uid="{00000000-0005-0000-0000-00003F1A0000}"/>
    <cellStyle name="Normal 5 3 4 3 2 2 2" xfId="7382" xr:uid="{00000000-0005-0000-0000-0000401A0000}"/>
    <cellStyle name="Normal 5 3 4 3 2 2 2 2" xfId="26008" xr:uid="{B480BAE9-7617-4E4E-BFDB-8C93654EFEE6}"/>
    <cellStyle name="Normal 5 3 4 3 2 2 2 3" xfId="34455" xr:uid="{70D15745-0CEC-4F84-99B4-0B36ED068A7F}"/>
    <cellStyle name="Normal 5 3 4 3 2 2 2 4" xfId="42902" xr:uid="{71D9BA63-4E5C-4530-AB98-DB4EB28DB617}"/>
    <cellStyle name="Normal 5 3 4 3 2 2 2 5" xfId="16708" xr:uid="{7CF5A925-E15D-41D0-853E-3A15481339BA}"/>
    <cellStyle name="Normal 5 3 4 3 2 2 3" xfId="21791" xr:uid="{11299851-3626-465A-8561-CFC633091C34}"/>
    <cellStyle name="Normal 5 3 4 3 2 2 4" xfId="30238" xr:uid="{15B148DA-7152-4108-A66C-6DAE8172F295}"/>
    <cellStyle name="Normal 5 3 4 3 2 2 5" xfId="38685" xr:uid="{E766F4E7-99C3-4930-A80B-EBE608301D47}"/>
    <cellStyle name="Normal 5 3 4 3 2 2 6" xfId="12491" xr:uid="{59B4AEC9-EA55-4619-BB67-5EB01AD40EEA}"/>
    <cellStyle name="Normal 5 3 4 3 2 3" xfId="5237" xr:uid="{00000000-0005-0000-0000-0000411A0000}"/>
    <cellStyle name="Normal 5 3 4 3 2 3 2" xfId="23863" xr:uid="{2891BAE1-6C03-48D6-9F29-65AA25FA47C1}"/>
    <cellStyle name="Normal 5 3 4 3 2 3 3" xfId="32310" xr:uid="{BA09BDF5-1452-4E81-A439-FC5341E0C686}"/>
    <cellStyle name="Normal 5 3 4 3 2 3 4" xfId="40757" xr:uid="{F9F5C0D6-0F70-4B5F-90D7-0125A1891613}"/>
    <cellStyle name="Normal 5 3 4 3 2 3 5" xfId="14563" xr:uid="{CC08BFA8-66CE-47C5-8511-47F11B4584DD}"/>
    <cellStyle name="Normal 5 3 4 3 2 4" xfId="9463" xr:uid="{1CC38E89-013B-404F-9F3E-11BABC37F656}"/>
    <cellStyle name="Normal 5 3 4 3 2 4 2" xfId="18779" xr:uid="{68B94B7E-8CC3-4193-A221-DA6D4DA105F5}"/>
    <cellStyle name="Normal 5 3 4 3 2 5" xfId="19646" xr:uid="{EE6A14A5-D0E3-442B-BD43-FB2812A85BA9}"/>
    <cellStyle name="Normal 5 3 4 3 2 6" xfId="28093" xr:uid="{010FD0C3-77BA-473E-9162-194C8F151ECE}"/>
    <cellStyle name="Normal 5 3 4 3 2 7" xfId="36540" xr:uid="{77C1714B-CC26-4CE8-9098-C0A1605D82EF}"/>
    <cellStyle name="Normal 5 3 4 3 2 8" xfId="10346" xr:uid="{BA99BABB-8395-4D18-9C6E-DEFEE17D4509}"/>
    <cellStyle name="Normal 5 3 4 3 3" xfId="1343" xr:uid="{00000000-0005-0000-0000-0000421A0000}"/>
    <cellStyle name="Normal 5 3 4 3 3 2" xfId="3573" xr:uid="{00000000-0005-0000-0000-0000431A0000}"/>
    <cellStyle name="Normal 5 3 4 3 3 2 2" xfId="7795" xr:uid="{00000000-0005-0000-0000-0000441A0000}"/>
    <cellStyle name="Normal 5 3 4 3 3 2 2 2" xfId="26421" xr:uid="{0BF14FE1-6C4D-4165-AA1A-F6587F718275}"/>
    <cellStyle name="Normal 5 3 4 3 3 2 2 3" xfId="34868" xr:uid="{3DA219DE-E5BE-4012-9119-21BFB17D4799}"/>
    <cellStyle name="Normal 5 3 4 3 3 2 2 4" xfId="43315" xr:uid="{5104621A-275D-4455-A24E-1BD289CD74B9}"/>
    <cellStyle name="Normal 5 3 4 3 3 2 2 5" xfId="17121" xr:uid="{109B5ADF-E3E1-4FEC-A2FC-13F520E459F7}"/>
    <cellStyle name="Normal 5 3 4 3 3 2 3" xfId="22204" xr:uid="{3C704AD8-AC9C-42A0-8DF1-8CBBE0A1CD7F}"/>
    <cellStyle name="Normal 5 3 4 3 3 2 4" xfId="30651" xr:uid="{50619318-B22E-4F5C-A6CE-031EE4A8C0C8}"/>
    <cellStyle name="Normal 5 3 4 3 3 2 5" xfId="39098" xr:uid="{2855E668-ADEB-4195-91AD-DFEDF7338E7E}"/>
    <cellStyle name="Normal 5 3 4 3 3 2 6" xfId="12904" xr:uid="{19D9377F-7B61-4D50-A6A6-95014E505393}"/>
    <cellStyle name="Normal 5 3 4 3 3 3" xfId="5650" xr:uid="{00000000-0005-0000-0000-0000451A0000}"/>
    <cellStyle name="Normal 5 3 4 3 3 3 2" xfId="24276" xr:uid="{5BB1118F-27B1-40F8-A43F-662FE2788150}"/>
    <cellStyle name="Normal 5 3 4 3 3 3 3" xfId="32723" xr:uid="{8A812D18-B6BA-4013-B03F-730B5AAC09D4}"/>
    <cellStyle name="Normal 5 3 4 3 3 3 4" xfId="41170" xr:uid="{CEF51A13-EF72-4337-A12E-009A46FF4BD2}"/>
    <cellStyle name="Normal 5 3 4 3 3 3 5" xfId="14976" xr:uid="{26B653A3-BD98-4159-B999-ABABF1DF888C}"/>
    <cellStyle name="Normal 5 3 4 3 3 4" xfId="20059" xr:uid="{0616E4B0-4005-40A6-A5B6-4473E5344D00}"/>
    <cellStyle name="Normal 5 3 4 3 3 5" xfId="28506" xr:uid="{DD1090C0-CE05-4440-B2C5-7D3E5AC04FFF}"/>
    <cellStyle name="Normal 5 3 4 3 3 6" xfId="36953" xr:uid="{3CA56E87-EE53-42C4-8D98-3E340190A12B}"/>
    <cellStyle name="Normal 5 3 4 3 3 7" xfId="10759" xr:uid="{034CC68E-4949-4F88-A624-326DFFCD3EDE}"/>
    <cellStyle name="Normal 5 3 4 3 4" xfId="1756" xr:uid="{00000000-0005-0000-0000-0000461A0000}"/>
    <cellStyle name="Normal 5 3 4 3 4 2" xfId="3986" xr:uid="{00000000-0005-0000-0000-0000471A0000}"/>
    <cellStyle name="Normal 5 3 4 3 4 2 2" xfId="8208" xr:uid="{00000000-0005-0000-0000-0000481A0000}"/>
    <cellStyle name="Normal 5 3 4 3 4 2 2 2" xfId="26834" xr:uid="{72DE3D6B-C70F-44F3-A298-3732B2984FAE}"/>
    <cellStyle name="Normal 5 3 4 3 4 2 2 3" xfId="35281" xr:uid="{738264C7-AF9F-4414-B39F-4AE0AF8ED581}"/>
    <cellStyle name="Normal 5 3 4 3 4 2 2 4" xfId="43728" xr:uid="{ECD1627E-FF50-4C70-BF8C-5D3BA4FEF3D5}"/>
    <cellStyle name="Normal 5 3 4 3 4 2 2 5" xfId="17534" xr:uid="{66DE9F49-06A2-45F3-9C46-588D3C4C9DE0}"/>
    <cellStyle name="Normal 5 3 4 3 4 2 3" xfId="22617" xr:uid="{6267CF20-C6EF-4421-AC58-7A5562EF20F9}"/>
    <cellStyle name="Normal 5 3 4 3 4 2 4" xfId="31064" xr:uid="{ACD8ABC9-21EB-48A9-B0AB-B819BC9925D6}"/>
    <cellStyle name="Normal 5 3 4 3 4 2 5" xfId="39511" xr:uid="{19BF16D8-970E-4F20-8E02-7FB5BBED95EE}"/>
    <cellStyle name="Normal 5 3 4 3 4 2 6" xfId="13317" xr:uid="{3E7559F6-7DA6-41C1-9090-5D9DA75E5E9F}"/>
    <cellStyle name="Normal 5 3 4 3 4 3" xfId="6063" xr:uid="{00000000-0005-0000-0000-0000491A0000}"/>
    <cellStyle name="Normal 5 3 4 3 4 3 2" xfId="24689" xr:uid="{74063230-F858-491E-B06D-AD8F0CD6AD2C}"/>
    <cellStyle name="Normal 5 3 4 3 4 3 3" xfId="33136" xr:uid="{853B3BE3-A5C9-4B6D-956C-486E033EBA15}"/>
    <cellStyle name="Normal 5 3 4 3 4 3 4" xfId="41583" xr:uid="{B2D53C71-7628-44FD-9216-1B9BA15F8EBE}"/>
    <cellStyle name="Normal 5 3 4 3 4 3 5" xfId="15389" xr:uid="{C74E0F55-2312-4A85-8406-4EFB0D394F1F}"/>
    <cellStyle name="Normal 5 3 4 3 4 4" xfId="20472" xr:uid="{9D47B43F-BCA1-4B85-A49F-14A69BEA8742}"/>
    <cellStyle name="Normal 5 3 4 3 4 5" xfId="28919" xr:uid="{A248C53D-74EA-4B18-9EF4-AAE548332ADF}"/>
    <cellStyle name="Normal 5 3 4 3 4 6" xfId="37366" xr:uid="{F5DBEA21-386C-4D0C-94A0-C46F5C3CF453}"/>
    <cellStyle name="Normal 5 3 4 3 4 7" xfId="11172" xr:uid="{F8604F9E-408B-4763-A930-3585F3867CCF}"/>
    <cellStyle name="Normal 5 3 4 3 5" xfId="2170" xr:uid="{00000000-0005-0000-0000-00004A1A0000}"/>
    <cellStyle name="Normal 5 3 4 3 5 2" xfId="4399" xr:uid="{00000000-0005-0000-0000-00004B1A0000}"/>
    <cellStyle name="Normal 5 3 4 3 5 2 2" xfId="8621" xr:uid="{00000000-0005-0000-0000-00004C1A0000}"/>
    <cellStyle name="Normal 5 3 4 3 5 2 2 2" xfId="27247" xr:uid="{044C44BA-89A9-4E23-BF7E-CE5C50F18068}"/>
    <cellStyle name="Normal 5 3 4 3 5 2 2 3" xfId="35694" xr:uid="{5FA34272-1704-4F6B-821F-9722925B6B24}"/>
    <cellStyle name="Normal 5 3 4 3 5 2 2 4" xfId="44141" xr:uid="{D42239F9-0A11-420E-9930-82D833231909}"/>
    <cellStyle name="Normal 5 3 4 3 5 2 2 5" xfId="17947" xr:uid="{457253B5-2BA6-487F-BAAD-66760AD85745}"/>
    <cellStyle name="Normal 5 3 4 3 5 2 3" xfId="23030" xr:uid="{F9990A1A-3F38-4E47-B74A-41A7681FBFC4}"/>
    <cellStyle name="Normal 5 3 4 3 5 2 4" xfId="31477" xr:uid="{914CD726-287E-4764-9328-D288A99EF9BE}"/>
    <cellStyle name="Normal 5 3 4 3 5 2 5" xfId="39924" xr:uid="{57A73C90-01D0-490F-A9F4-E2CBEAC0AC90}"/>
    <cellStyle name="Normal 5 3 4 3 5 2 6" xfId="13730" xr:uid="{C458C8D6-0DFF-49EB-B048-87F2AE16D538}"/>
    <cellStyle name="Normal 5 3 4 3 5 3" xfId="6476" xr:uid="{00000000-0005-0000-0000-00004D1A0000}"/>
    <cellStyle name="Normal 5 3 4 3 5 3 2" xfId="25102" xr:uid="{59E082D2-2D15-48E7-9EB6-4FC5E4615E70}"/>
    <cellStyle name="Normal 5 3 4 3 5 3 3" xfId="33549" xr:uid="{72C13634-82DF-4D49-BA4F-FE3E0BC8FC8B}"/>
    <cellStyle name="Normal 5 3 4 3 5 3 4" xfId="41996" xr:uid="{2B3E0E18-04AA-4C4B-924C-7442EAF4CF6A}"/>
    <cellStyle name="Normal 5 3 4 3 5 3 5" xfId="15802" xr:uid="{5331D23A-C9DC-4249-BFE8-FBCAAAA26BB7}"/>
    <cellStyle name="Normal 5 3 4 3 5 4" xfId="20885" xr:uid="{639231EF-B900-417E-A5A7-D56E1DBB22F0}"/>
    <cellStyle name="Normal 5 3 4 3 5 5" xfId="29332" xr:uid="{4A6F2902-758C-4413-B908-4FDA1C1597A8}"/>
    <cellStyle name="Normal 5 3 4 3 5 6" xfId="37779" xr:uid="{6A46C85B-00C8-468D-BB43-2E0F7AE3B96D}"/>
    <cellStyle name="Normal 5 3 4 3 5 7" xfId="11585" xr:uid="{9FBAF999-6C8F-4452-A07A-B4E86CB1F3D0}"/>
    <cellStyle name="Normal 5 3 4 3 6" xfId="2606" xr:uid="{00000000-0005-0000-0000-00004E1A0000}"/>
    <cellStyle name="Normal 5 3 4 3 6 2" xfId="6889" xr:uid="{00000000-0005-0000-0000-00004F1A0000}"/>
    <cellStyle name="Normal 5 3 4 3 6 2 2" xfId="25515" xr:uid="{5311169F-D9EA-4421-9C8B-10AFCCD02776}"/>
    <cellStyle name="Normal 5 3 4 3 6 2 3" xfId="33962" xr:uid="{F890093B-840D-489C-BA78-BB3AFF3BE45A}"/>
    <cellStyle name="Normal 5 3 4 3 6 2 4" xfId="42409" xr:uid="{708B9A93-C317-4CAA-A22D-AF3E25FA80F6}"/>
    <cellStyle name="Normal 5 3 4 3 6 2 5" xfId="16215" xr:uid="{9CBFBBC8-24AB-4B3F-A549-40047BCF9C83}"/>
    <cellStyle name="Normal 5 3 4 3 6 3" xfId="21298" xr:uid="{F551923A-58EF-41CE-8C49-E2B119FD35AA}"/>
    <cellStyle name="Normal 5 3 4 3 6 4" xfId="29745" xr:uid="{47D112EA-C179-40E5-979A-038557C7DA64}"/>
    <cellStyle name="Normal 5 3 4 3 6 5" xfId="38192" xr:uid="{77F2A39E-8331-4A4A-B323-D600BF212FA9}"/>
    <cellStyle name="Normal 5 3 4 3 6 6" xfId="11998" xr:uid="{3F78E7F8-7D9B-47B4-B8A1-A57BFAF1081D}"/>
    <cellStyle name="Normal 5 3 4 3 7" xfId="4824" xr:uid="{00000000-0005-0000-0000-0000501A0000}"/>
    <cellStyle name="Normal 5 3 4 3 7 2" xfId="23450" xr:uid="{09E650C2-1CAD-4FF3-B8C4-288219CE3BE1}"/>
    <cellStyle name="Normal 5 3 4 3 7 3" xfId="31897" xr:uid="{6D16273C-E0AD-4D54-844B-A7B869B89538}"/>
    <cellStyle name="Normal 5 3 4 3 7 4" xfId="40344" xr:uid="{7162D7A6-DE22-4AA4-8AEF-B0C33C88CA79}"/>
    <cellStyle name="Normal 5 3 4 3 7 5" xfId="14150" xr:uid="{87488647-209B-4335-A718-1A156F3EAADA}"/>
    <cellStyle name="Normal 5 3 4 3 8" xfId="9038" xr:uid="{15024032-E3C2-4FDD-B674-481D39A836C5}"/>
    <cellStyle name="Normal 5 3 4 3 8 2" xfId="18362" xr:uid="{D6771991-A6E9-4396-B289-E082021F8908}"/>
    <cellStyle name="Normal 5 3 4 3 9" xfId="19233" xr:uid="{1AAF6D69-30F3-4AB8-9737-9C0D0FB16F74}"/>
    <cellStyle name="Normal 5 3 4 4" xfId="923" xr:uid="{00000000-0005-0000-0000-0000511A0000}"/>
    <cellStyle name="Normal 5 3 4 4 2" xfId="3157" xr:uid="{00000000-0005-0000-0000-0000521A0000}"/>
    <cellStyle name="Normal 5 3 4 4 2 2" xfId="7379" xr:uid="{00000000-0005-0000-0000-0000531A0000}"/>
    <cellStyle name="Normal 5 3 4 4 2 2 2" xfId="26005" xr:uid="{C43B1934-49C4-4B66-9231-6D52CEAAF35B}"/>
    <cellStyle name="Normal 5 3 4 4 2 2 3" xfId="34452" xr:uid="{E502DC6D-B340-4768-A98B-AF6B35553462}"/>
    <cellStyle name="Normal 5 3 4 4 2 2 4" xfId="42899" xr:uid="{CAB60FD5-52A9-4AEA-A378-81840910096B}"/>
    <cellStyle name="Normal 5 3 4 4 2 2 5" xfId="16705" xr:uid="{E2F580F3-42F8-4F35-9DB9-2FD257E173D8}"/>
    <cellStyle name="Normal 5 3 4 4 2 3" xfId="21788" xr:uid="{81E1F071-8F3B-4696-83E7-BE0DDB0540E5}"/>
    <cellStyle name="Normal 5 3 4 4 2 4" xfId="30235" xr:uid="{9827C018-DA2C-404D-AE51-273A8C9048B8}"/>
    <cellStyle name="Normal 5 3 4 4 2 5" xfId="38682" xr:uid="{C528C144-0A36-4CD2-BDAE-014ED03F8154}"/>
    <cellStyle name="Normal 5 3 4 4 2 6" xfId="12488" xr:uid="{05DCB4FF-A889-4037-9FBB-131CA16167F2}"/>
    <cellStyle name="Normal 5 3 4 4 3" xfId="5234" xr:uid="{00000000-0005-0000-0000-0000541A0000}"/>
    <cellStyle name="Normal 5 3 4 4 3 2" xfId="23860" xr:uid="{EBC88957-F8ED-40CD-8755-C20117C00E8A}"/>
    <cellStyle name="Normal 5 3 4 4 3 3" xfId="32307" xr:uid="{E3A4FDD6-A144-4BF1-A3B2-A8E0824A5C24}"/>
    <cellStyle name="Normal 5 3 4 4 3 4" xfId="40754" xr:uid="{6E6656A2-9F86-487D-A1BF-B0E890D836A8}"/>
    <cellStyle name="Normal 5 3 4 4 3 5" xfId="14560" xr:uid="{02306771-9AED-44CB-82F4-C27B3AA118CA}"/>
    <cellStyle name="Normal 5 3 4 4 4" xfId="9256" xr:uid="{69A14F57-2B46-4294-8CA5-E21858516C25}"/>
    <cellStyle name="Normal 5 3 4 4 4 2" xfId="18572" xr:uid="{064A90D6-6B05-4ED1-B2E7-2B6E69A6480A}"/>
    <cellStyle name="Normal 5 3 4 4 5" xfId="19643" xr:uid="{2115B1C6-D1CA-4142-B785-D306D2E5699E}"/>
    <cellStyle name="Normal 5 3 4 4 6" xfId="28090" xr:uid="{C4C0E293-E9B5-467E-9290-E1D25E4FA5B6}"/>
    <cellStyle name="Normal 5 3 4 4 7" xfId="36537" xr:uid="{4B8A724C-D96A-40F4-A7DE-813007B97136}"/>
    <cellStyle name="Normal 5 3 4 4 8" xfId="10343" xr:uid="{B07935E1-A000-4B19-A9A5-4680D56D0A91}"/>
    <cellStyle name="Normal 5 3 4 5" xfId="1340" xr:uid="{00000000-0005-0000-0000-0000551A0000}"/>
    <cellStyle name="Normal 5 3 4 5 2" xfId="3570" xr:uid="{00000000-0005-0000-0000-0000561A0000}"/>
    <cellStyle name="Normal 5 3 4 5 2 2" xfId="7792" xr:uid="{00000000-0005-0000-0000-0000571A0000}"/>
    <cellStyle name="Normal 5 3 4 5 2 2 2" xfId="26418" xr:uid="{CC8220BE-EDA9-4048-8B2E-5846E35C8306}"/>
    <cellStyle name="Normal 5 3 4 5 2 2 3" xfId="34865" xr:uid="{D333CE97-822B-4581-85FE-997DF30EBEFF}"/>
    <cellStyle name="Normal 5 3 4 5 2 2 4" xfId="43312" xr:uid="{53C6FB68-8A15-42E5-BE06-9880C9499FC6}"/>
    <cellStyle name="Normal 5 3 4 5 2 2 5" xfId="17118" xr:uid="{462D8B87-8A26-4DEC-BE00-0A29AA850D88}"/>
    <cellStyle name="Normal 5 3 4 5 2 3" xfId="22201" xr:uid="{1B997E33-84DE-4DC6-8CB5-6CB7CCE3E540}"/>
    <cellStyle name="Normal 5 3 4 5 2 4" xfId="30648" xr:uid="{5894D923-AF16-4BA8-8BB2-E64C92681159}"/>
    <cellStyle name="Normal 5 3 4 5 2 5" xfId="39095" xr:uid="{95F29123-D8A1-4D2F-BF4B-65DE3C5E50A1}"/>
    <cellStyle name="Normal 5 3 4 5 2 6" xfId="12901" xr:uid="{4C627AFD-41D2-4A16-8A91-E34DD6FE2D83}"/>
    <cellStyle name="Normal 5 3 4 5 3" xfId="5647" xr:uid="{00000000-0005-0000-0000-0000581A0000}"/>
    <cellStyle name="Normal 5 3 4 5 3 2" xfId="24273" xr:uid="{EEA4A455-6500-4845-B44E-1DAA4EBDF0E7}"/>
    <cellStyle name="Normal 5 3 4 5 3 3" xfId="32720" xr:uid="{AE9ADEF4-44D6-4EE9-B926-FC722667EFD1}"/>
    <cellStyle name="Normal 5 3 4 5 3 4" xfId="41167" xr:uid="{0D8DD0A9-9E7B-4081-84EB-B6838E36E96F}"/>
    <cellStyle name="Normal 5 3 4 5 3 5" xfId="14973" xr:uid="{0BF6D3EC-618A-4281-9EE6-78A4F704D1E0}"/>
    <cellStyle name="Normal 5 3 4 5 4" xfId="20056" xr:uid="{20261178-2D6C-43D0-9842-65DBC07EC717}"/>
    <cellStyle name="Normal 5 3 4 5 5" xfId="28503" xr:uid="{CE3C41D8-CCD0-4F81-B097-46DD3AFA5A42}"/>
    <cellStyle name="Normal 5 3 4 5 6" xfId="36950" xr:uid="{8626FB20-21F6-401F-9289-417B9925CBAA}"/>
    <cellStyle name="Normal 5 3 4 5 7" xfId="10756" xr:uid="{DE089D60-D620-4769-97BB-A1A46DA8F54F}"/>
    <cellStyle name="Normal 5 3 4 6" xfId="1753" xr:uid="{00000000-0005-0000-0000-0000591A0000}"/>
    <cellStyle name="Normal 5 3 4 6 2" xfId="3983" xr:uid="{00000000-0005-0000-0000-00005A1A0000}"/>
    <cellStyle name="Normal 5 3 4 6 2 2" xfId="8205" xr:uid="{00000000-0005-0000-0000-00005B1A0000}"/>
    <cellStyle name="Normal 5 3 4 6 2 2 2" xfId="26831" xr:uid="{9C42EA8F-49C0-41D0-9226-A7B7D3C8F287}"/>
    <cellStyle name="Normal 5 3 4 6 2 2 3" xfId="35278" xr:uid="{41F8792C-5D24-4625-9141-8921372F7851}"/>
    <cellStyle name="Normal 5 3 4 6 2 2 4" xfId="43725" xr:uid="{C98ABF1B-4EFB-44E2-AB17-6BD659873277}"/>
    <cellStyle name="Normal 5 3 4 6 2 2 5" xfId="17531" xr:uid="{CE53167D-B54B-4D3C-BB25-652F6FBBDFE1}"/>
    <cellStyle name="Normal 5 3 4 6 2 3" xfId="22614" xr:uid="{842E725E-C783-4AC1-8F8E-E61063411EA5}"/>
    <cellStyle name="Normal 5 3 4 6 2 4" xfId="31061" xr:uid="{BE09FAC2-757A-4D47-889E-A069057BA03D}"/>
    <cellStyle name="Normal 5 3 4 6 2 5" xfId="39508" xr:uid="{74C587F3-A678-4E12-B373-1BD7A50E6B7C}"/>
    <cellStyle name="Normal 5 3 4 6 2 6" xfId="13314" xr:uid="{86AE7B25-F25F-4D44-B164-47637C848C54}"/>
    <cellStyle name="Normal 5 3 4 6 3" xfId="6060" xr:uid="{00000000-0005-0000-0000-00005C1A0000}"/>
    <cellStyle name="Normal 5 3 4 6 3 2" xfId="24686" xr:uid="{D92AB1C0-C72F-4751-94E5-572CAF46D075}"/>
    <cellStyle name="Normal 5 3 4 6 3 3" xfId="33133" xr:uid="{CBA63242-01F0-4D67-AB52-52CD9D743B40}"/>
    <cellStyle name="Normal 5 3 4 6 3 4" xfId="41580" xr:uid="{1015C607-6E14-425D-AA7B-51A95A423454}"/>
    <cellStyle name="Normal 5 3 4 6 3 5" xfId="15386" xr:uid="{BC4D3893-F862-4525-BC15-7EF259E0B366}"/>
    <cellStyle name="Normal 5 3 4 6 4" xfId="20469" xr:uid="{1B43A142-4A7D-4A51-8E44-B4657DA74E77}"/>
    <cellStyle name="Normal 5 3 4 6 5" xfId="28916" xr:uid="{1B053ACF-EEBB-45D4-9A20-DB58FB450AB1}"/>
    <cellStyle name="Normal 5 3 4 6 6" xfId="37363" xr:uid="{2F4905FB-E4B9-4CBC-89B5-792AEFEEFAD5}"/>
    <cellStyle name="Normal 5 3 4 6 7" xfId="11169" xr:uid="{FCD5B051-C6AD-4BF3-B0C2-AA5DF39390F2}"/>
    <cellStyle name="Normal 5 3 4 7" xfId="2167" xr:uid="{00000000-0005-0000-0000-00005D1A0000}"/>
    <cellStyle name="Normal 5 3 4 7 2" xfId="4396" xr:uid="{00000000-0005-0000-0000-00005E1A0000}"/>
    <cellStyle name="Normal 5 3 4 7 2 2" xfId="8618" xr:uid="{00000000-0005-0000-0000-00005F1A0000}"/>
    <cellStyle name="Normal 5 3 4 7 2 2 2" xfId="27244" xr:uid="{08C9D9E2-3715-48D1-947C-B04B7B8362A3}"/>
    <cellStyle name="Normal 5 3 4 7 2 2 3" xfId="35691" xr:uid="{FDD74F0F-B8AD-4D7A-ABD4-E8C4C9BBCC39}"/>
    <cellStyle name="Normal 5 3 4 7 2 2 4" xfId="44138" xr:uid="{3931A14B-FC11-4F93-8D85-54DC03E7FCCD}"/>
    <cellStyle name="Normal 5 3 4 7 2 2 5" xfId="17944" xr:uid="{08151BBF-ECA3-49F8-A336-01D0EEF48425}"/>
    <cellStyle name="Normal 5 3 4 7 2 3" xfId="23027" xr:uid="{80D469CD-7532-4DE4-8C43-A5A343998BD0}"/>
    <cellStyle name="Normal 5 3 4 7 2 4" xfId="31474" xr:uid="{6D411C98-1565-455E-BBCF-8C3C300FC03F}"/>
    <cellStyle name="Normal 5 3 4 7 2 5" xfId="39921" xr:uid="{B68688AC-711A-4524-80C0-2B9A1836ED6D}"/>
    <cellStyle name="Normal 5 3 4 7 2 6" xfId="13727" xr:uid="{77B63652-0E03-461C-9B78-A8C8D1C9440E}"/>
    <cellStyle name="Normal 5 3 4 7 3" xfId="6473" xr:uid="{00000000-0005-0000-0000-0000601A0000}"/>
    <cellStyle name="Normal 5 3 4 7 3 2" xfId="25099" xr:uid="{4519D250-E00A-4C6C-9B78-50EE63A84B93}"/>
    <cellStyle name="Normal 5 3 4 7 3 3" xfId="33546" xr:uid="{E4B36AA3-D854-47DB-8A16-CC47CB13AA40}"/>
    <cellStyle name="Normal 5 3 4 7 3 4" xfId="41993" xr:uid="{63B7CA89-1332-4863-B0D5-147D1AA366D2}"/>
    <cellStyle name="Normal 5 3 4 7 3 5" xfId="15799" xr:uid="{6BE7E5D0-A162-49B1-A1C7-4A66AD9B7808}"/>
    <cellStyle name="Normal 5 3 4 7 4" xfId="20882" xr:uid="{CD6D11FE-A673-46E8-9A11-44B1D9187C1E}"/>
    <cellStyle name="Normal 5 3 4 7 5" xfId="29329" xr:uid="{B81803AD-80A4-4AA0-9605-A20A203BE202}"/>
    <cellStyle name="Normal 5 3 4 7 6" xfId="37776" xr:uid="{266CF5A6-F289-42BB-89C4-31A70F8D3600}"/>
    <cellStyle name="Normal 5 3 4 7 7" xfId="11582" xr:uid="{8BFB3B69-5632-4111-B7AF-EF799386F515}"/>
    <cellStyle name="Normal 5 3 4 8" xfId="2603" xr:uid="{00000000-0005-0000-0000-0000611A0000}"/>
    <cellStyle name="Normal 5 3 4 8 2" xfId="6886" xr:uid="{00000000-0005-0000-0000-0000621A0000}"/>
    <cellStyle name="Normal 5 3 4 8 2 2" xfId="25512" xr:uid="{4D6956DE-FBDB-4611-B95A-768C4108F9DB}"/>
    <cellStyle name="Normal 5 3 4 8 2 3" xfId="33959" xr:uid="{5EDE3ED8-FFC7-46C9-A1AE-B204DF453FE8}"/>
    <cellStyle name="Normal 5 3 4 8 2 4" xfId="42406" xr:uid="{01F0E1E5-B322-446F-9FB1-5D8FEF53DF0F}"/>
    <cellStyle name="Normal 5 3 4 8 2 5" xfId="16212" xr:uid="{AAC00675-05B1-47C7-AAF5-1B70F85F7651}"/>
    <cellStyle name="Normal 5 3 4 8 3" xfId="21295" xr:uid="{F52A1274-E81F-4250-A2AE-A56C23AF3ECD}"/>
    <cellStyle name="Normal 5 3 4 8 4" xfId="29742" xr:uid="{9F8B339F-4C93-40B7-8576-5A7302A0C85F}"/>
    <cellStyle name="Normal 5 3 4 8 5" xfId="38189" xr:uid="{20BC1465-986E-4B77-9856-8FAAB8EA1DDC}"/>
    <cellStyle name="Normal 5 3 4 8 6" xfId="11995" xr:uid="{32838D2A-0FB5-4197-98DD-E01CB375EF7B}"/>
    <cellStyle name="Normal 5 3 4 9" xfId="4821" xr:uid="{00000000-0005-0000-0000-0000631A0000}"/>
    <cellStyle name="Normal 5 3 4 9 2" xfId="23447" xr:uid="{17E6DD70-F4C1-4611-A8EA-754E3D282815}"/>
    <cellStyle name="Normal 5 3 4 9 3" xfId="31894" xr:uid="{EC3847BC-814D-43BA-987E-D113533E6501}"/>
    <cellStyle name="Normal 5 3 4 9 4" xfId="40341" xr:uid="{3F243B92-0A18-4609-BD50-254CFADDBD43}"/>
    <cellStyle name="Normal 5 3 4 9 5" xfId="14147" xr:uid="{A788AF8B-F95B-442F-8934-96AC89012DED}"/>
    <cellStyle name="Normal 5 3 5" xfId="453" xr:uid="{00000000-0005-0000-0000-0000641A0000}"/>
    <cellStyle name="Normal 5 3 5 10" xfId="19234" xr:uid="{A0125815-7241-49B8-A245-91B3E3A1F47B}"/>
    <cellStyle name="Normal 5 3 5 11" xfId="27681" xr:uid="{9EF14B46-9161-40C3-AEF6-CC16767559BA}"/>
    <cellStyle name="Normal 5 3 5 12" xfId="36128" xr:uid="{BC16D01E-433C-4FA0-A44D-C655B84FCDFB}"/>
    <cellStyle name="Normal 5 3 5 13" xfId="9934" xr:uid="{220B683B-9B5B-4AAF-8BEB-8002A70D3B77}"/>
    <cellStyle name="Normal 5 3 5 2" xfId="454" xr:uid="{00000000-0005-0000-0000-0000651A0000}"/>
    <cellStyle name="Normal 5 3 5 2 10" xfId="27682" xr:uid="{11553578-17B8-4BAE-8368-2459D47DA23A}"/>
    <cellStyle name="Normal 5 3 5 2 11" xfId="36129" xr:uid="{35B2F372-704F-4E94-97CB-BA4F05ADFDAE}"/>
    <cellStyle name="Normal 5 3 5 2 12" xfId="9935" xr:uid="{2656AD78-1506-49D8-B0F0-10FD69051DC5}"/>
    <cellStyle name="Normal 5 3 5 2 2" xfId="928" xr:uid="{00000000-0005-0000-0000-0000661A0000}"/>
    <cellStyle name="Normal 5 3 5 2 2 2" xfId="3162" xr:uid="{00000000-0005-0000-0000-0000671A0000}"/>
    <cellStyle name="Normal 5 3 5 2 2 2 2" xfId="7384" xr:uid="{00000000-0005-0000-0000-0000681A0000}"/>
    <cellStyle name="Normal 5 3 5 2 2 2 2 2" xfId="26010" xr:uid="{66E44440-0600-4EE9-A35B-5606C1BAAC9E}"/>
    <cellStyle name="Normal 5 3 5 2 2 2 2 3" xfId="34457" xr:uid="{D035D995-C5DA-47EA-B9D6-896763CA84F8}"/>
    <cellStyle name="Normal 5 3 5 2 2 2 2 4" xfId="42904" xr:uid="{4654A7C2-6261-4638-9708-4AF53EF43522}"/>
    <cellStyle name="Normal 5 3 5 2 2 2 2 5" xfId="16710" xr:uid="{1ECAA146-FB08-4983-ABBD-58786F00BB9B}"/>
    <cellStyle name="Normal 5 3 5 2 2 2 3" xfId="21793" xr:uid="{49E19543-DFC0-4A26-97F9-3D34594AECF4}"/>
    <cellStyle name="Normal 5 3 5 2 2 2 4" xfId="30240" xr:uid="{D3207A12-FB84-4B22-BFE7-6E8942A85116}"/>
    <cellStyle name="Normal 5 3 5 2 2 2 5" xfId="38687" xr:uid="{7367AFC5-CF53-4021-AAFA-A105B931BEF2}"/>
    <cellStyle name="Normal 5 3 5 2 2 2 6" xfId="12493" xr:uid="{0AD27A06-6D72-4AA7-8D74-262E23A0209F}"/>
    <cellStyle name="Normal 5 3 5 2 2 3" xfId="5239" xr:uid="{00000000-0005-0000-0000-0000691A0000}"/>
    <cellStyle name="Normal 5 3 5 2 2 3 2" xfId="23865" xr:uid="{39C38783-2362-46D3-813B-7AE55797CEC2}"/>
    <cellStyle name="Normal 5 3 5 2 2 3 3" xfId="32312" xr:uid="{6CF72F84-4497-4D3E-9781-6697345E3A6E}"/>
    <cellStyle name="Normal 5 3 5 2 2 3 4" xfId="40759" xr:uid="{9FCB3D08-843D-4EDB-A6DC-78916639BEE9}"/>
    <cellStyle name="Normal 5 3 5 2 2 3 5" xfId="14565" xr:uid="{451BF290-9E4A-496C-8596-3F9E417A1CBE}"/>
    <cellStyle name="Normal 5 3 5 2 2 4" xfId="9485" xr:uid="{E88A0512-4544-44F7-B02F-696DEB177F8E}"/>
    <cellStyle name="Normal 5 3 5 2 2 4 2" xfId="18801" xr:uid="{4958CC52-62BB-404F-9B34-318524526C76}"/>
    <cellStyle name="Normal 5 3 5 2 2 5" xfId="19648" xr:uid="{4C2BD284-3FD4-4D55-A7B6-C85A177365BC}"/>
    <cellStyle name="Normal 5 3 5 2 2 6" xfId="28095" xr:uid="{0651D33B-F20C-4428-951E-7369337AE385}"/>
    <cellStyle name="Normal 5 3 5 2 2 7" xfId="36542" xr:uid="{49E90F54-8418-410B-ACFC-338CCBB800EA}"/>
    <cellStyle name="Normal 5 3 5 2 2 8" xfId="10348" xr:uid="{7F9ECFEE-E8FF-4F11-82C6-28C100909B2E}"/>
    <cellStyle name="Normal 5 3 5 2 3" xfId="1345" xr:uid="{00000000-0005-0000-0000-00006A1A0000}"/>
    <cellStyle name="Normal 5 3 5 2 3 2" xfId="3575" xr:uid="{00000000-0005-0000-0000-00006B1A0000}"/>
    <cellStyle name="Normal 5 3 5 2 3 2 2" xfId="7797" xr:uid="{00000000-0005-0000-0000-00006C1A0000}"/>
    <cellStyle name="Normal 5 3 5 2 3 2 2 2" xfId="26423" xr:uid="{A4B5F97D-CFF5-47FB-B391-52D4219238AD}"/>
    <cellStyle name="Normal 5 3 5 2 3 2 2 3" xfId="34870" xr:uid="{188FDF7C-A3E7-4D4F-B7B2-EEDEADE33EFA}"/>
    <cellStyle name="Normal 5 3 5 2 3 2 2 4" xfId="43317" xr:uid="{0DA31EE6-7F8E-406B-89DB-8C913D27AD47}"/>
    <cellStyle name="Normal 5 3 5 2 3 2 2 5" xfId="17123" xr:uid="{D0AA0756-DB67-4214-9E52-DC704CB92E55}"/>
    <cellStyle name="Normal 5 3 5 2 3 2 3" xfId="22206" xr:uid="{AC08E30C-6F67-4D3E-836E-03CB83E4CD09}"/>
    <cellStyle name="Normal 5 3 5 2 3 2 4" xfId="30653" xr:uid="{17C939BE-3244-496C-9BA2-B12B40962DBC}"/>
    <cellStyle name="Normal 5 3 5 2 3 2 5" xfId="39100" xr:uid="{BFE9092A-B39B-4638-80BF-94BA9544080C}"/>
    <cellStyle name="Normal 5 3 5 2 3 2 6" xfId="12906" xr:uid="{915C096C-4EB2-4471-A380-F3273C6DEB08}"/>
    <cellStyle name="Normal 5 3 5 2 3 3" xfId="5652" xr:uid="{00000000-0005-0000-0000-00006D1A0000}"/>
    <cellStyle name="Normal 5 3 5 2 3 3 2" xfId="24278" xr:uid="{F8D56449-9420-4F28-8A0F-BDEDAD2415FA}"/>
    <cellStyle name="Normal 5 3 5 2 3 3 3" xfId="32725" xr:uid="{BB195172-F2ED-49E5-ABBD-2B802C22BBF1}"/>
    <cellStyle name="Normal 5 3 5 2 3 3 4" xfId="41172" xr:uid="{A16572AE-7786-48CF-8B4A-F5168A3F2E19}"/>
    <cellStyle name="Normal 5 3 5 2 3 3 5" xfId="14978" xr:uid="{E82A18EA-EA93-47A8-A6FE-ECEB1575C390}"/>
    <cellStyle name="Normal 5 3 5 2 3 4" xfId="20061" xr:uid="{FBA5B859-0DAE-47E4-BB6E-5A458A83D808}"/>
    <cellStyle name="Normal 5 3 5 2 3 5" xfId="28508" xr:uid="{8B958D82-C811-4D59-B692-7BA9C4C0117B}"/>
    <cellStyle name="Normal 5 3 5 2 3 6" xfId="36955" xr:uid="{48F9C2BF-60F7-4080-B520-155F7AD51633}"/>
    <cellStyle name="Normal 5 3 5 2 3 7" xfId="10761" xr:uid="{77E41DE4-0044-41E4-8FD9-82BFB9249F8D}"/>
    <cellStyle name="Normal 5 3 5 2 4" xfId="1758" xr:uid="{00000000-0005-0000-0000-00006E1A0000}"/>
    <cellStyle name="Normal 5 3 5 2 4 2" xfId="3988" xr:uid="{00000000-0005-0000-0000-00006F1A0000}"/>
    <cellStyle name="Normal 5 3 5 2 4 2 2" xfId="8210" xr:uid="{00000000-0005-0000-0000-0000701A0000}"/>
    <cellStyle name="Normal 5 3 5 2 4 2 2 2" xfId="26836" xr:uid="{3475E06F-734B-4B7F-BB10-9C2E29B261F2}"/>
    <cellStyle name="Normal 5 3 5 2 4 2 2 3" xfId="35283" xr:uid="{89FD23F4-C8EA-4615-B0B2-C4B78CE807F6}"/>
    <cellStyle name="Normal 5 3 5 2 4 2 2 4" xfId="43730" xr:uid="{1E1D987E-80DE-45AA-90E5-EF667EBA793A}"/>
    <cellStyle name="Normal 5 3 5 2 4 2 2 5" xfId="17536" xr:uid="{EFC3BDDB-D3AE-4BAC-B226-AB04E9AE92AA}"/>
    <cellStyle name="Normal 5 3 5 2 4 2 3" xfId="22619" xr:uid="{25311A34-00F8-4B8A-98A4-2350E903C326}"/>
    <cellStyle name="Normal 5 3 5 2 4 2 4" xfId="31066" xr:uid="{5E1E6B1A-ABE4-464D-9B3A-2D6DA5A102B1}"/>
    <cellStyle name="Normal 5 3 5 2 4 2 5" xfId="39513" xr:uid="{71048B77-3DF9-492D-B54F-6C225AC3C38A}"/>
    <cellStyle name="Normal 5 3 5 2 4 2 6" xfId="13319" xr:uid="{C6D48C94-E119-4DD3-8926-EA343753BA54}"/>
    <cellStyle name="Normal 5 3 5 2 4 3" xfId="6065" xr:uid="{00000000-0005-0000-0000-0000711A0000}"/>
    <cellStyle name="Normal 5 3 5 2 4 3 2" xfId="24691" xr:uid="{4E491077-F893-4229-B52A-1407D84234E9}"/>
    <cellStyle name="Normal 5 3 5 2 4 3 3" xfId="33138" xr:uid="{637C010E-A8CD-4139-B320-7095496F59BA}"/>
    <cellStyle name="Normal 5 3 5 2 4 3 4" xfId="41585" xr:uid="{E6100A61-2805-4143-B446-94CE48691B46}"/>
    <cellStyle name="Normal 5 3 5 2 4 3 5" xfId="15391" xr:uid="{26C34B8A-FE5A-4475-882E-9968A85CF92A}"/>
    <cellStyle name="Normal 5 3 5 2 4 4" xfId="20474" xr:uid="{255AD015-C1C8-49FD-B41D-D7B939DD9658}"/>
    <cellStyle name="Normal 5 3 5 2 4 5" xfId="28921" xr:uid="{3FB0EEE9-4D63-48AE-A04E-527A800BD7F6}"/>
    <cellStyle name="Normal 5 3 5 2 4 6" xfId="37368" xr:uid="{E49C4558-A26D-4424-8257-31CDECD95A26}"/>
    <cellStyle name="Normal 5 3 5 2 4 7" xfId="11174" xr:uid="{222A1151-9613-4B43-8C7F-34C17939B964}"/>
    <cellStyle name="Normal 5 3 5 2 5" xfId="2172" xr:uid="{00000000-0005-0000-0000-0000721A0000}"/>
    <cellStyle name="Normal 5 3 5 2 5 2" xfId="4401" xr:uid="{00000000-0005-0000-0000-0000731A0000}"/>
    <cellStyle name="Normal 5 3 5 2 5 2 2" xfId="8623" xr:uid="{00000000-0005-0000-0000-0000741A0000}"/>
    <cellStyle name="Normal 5 3 5 2 5 2 2 2" xfId="27249" xr:uid="{52585E87-A328-46B0-AE76-CF18DACB73C6}"/>
    <cellStyle name="Normal 5 3 5 2 5 2 2 3" xfId="35696" xr:uid="{DA261DFB-61A7-423D-840A-FBDCA32ECD46}"/>
    <cellStyle name="Normal 5 3 5 2 5 2 2 4" xfId="44143" xr:uid="{4DE13EF9-31E7-47DD-8FE4-2B9D71500E4C}"/>
    <cellStyle name="Normal 5 3 5 2 5 2 2 5" xfId="17949" xr:uid="{68104244-C776-4F81-AF73-A58E36C78295}"/>
    <cellStyle name="Normal 5 3 5 2 5 2 3" xfId="23032" xr:uid="{B94EA6A3-4E94-4D4A-9C0F-471116BBFEE9}"/>
    <cellStyle name="Normal 5 3 5 2 5 2 4" xfId="31479" xr:uid="{2B807D20-9A35-486E-A40B-452AEDD7E946}"/>
    <cellStyle name="Normal 5 3 5 2 5 2 5" xfId="39926" xr:uid="{BEF711D2-7D20-4554-BE5E-BD6BD44EB070}"/>
    <cellStyle name="Normal 5 3 5 2 5 2 6" xfId="13732" xr:uid="{C5779D2F-F784-4AD8-BD98-0A835C1188D7}"/>
    <cellStyle name="Normal 5 3 5 2 5 3" xfId="6478" xr:uid="{00000000-0005-0000-0000-0000751A0000}"/>
    <cellStyle name="Normal 5 3 5 2 5 3 2" xfId="25104" xr:uid="{1D409448-D9C3-4765-BE8A-0B750999724A}"/>
    <cellStyle name="Normal 5 3 5 2 5 3 3" xfId="33551" xr:uid="{4E1FE753-603C-4078-ACDF-60F0AF59C96F}"/>
    <cellStyle name="Normal 5 3 5 2 5 3 4" xfId="41998" xr:uid="{8AEDE9B1-7B7D-46A8-84B6-8FB1F43912EE}"/>
    <cellStyle name="Normal 5 3 5 2 5 3 5" xfId="15804" xr:uid="{23D103D1-94D9-4212-AA14-F920D7BDB8A6}"/>
    <cellStyle name="Normal 5 3 5 2 5 4" xfId="20887" xr:uid="{08204281-23A5-492E-943B-F57F014164A2}"/>
    <cellStyle name="Normal 5 3 5 2 5 5" xfId="29334" xr:uid="{908DEF0B-1BDB-47C6-85F1-520E2DA037F8}"/>
    <cellStyle name="Normal 5 3 5 2 5 6" xfId="37781" xr:uid="{460444FC-09B8-4B73-AC7B-72C32DE99F11}"/>
    <cellStyle name="Normal 5 3 5 2 5 7" xfId="11587" xr:uid="{699E6A6C-B9CD-47D3-9912-D786A3EAC00F}"/>
    <cellStyle name="Normal 5 3 5 2 6" xfId="2608" xr:uid="{00000000-0005-0000-0000-0000761A0000}"/>
    <cellStyle name="Normal 5 3 5 2 6 2" xfId="6891" xr:uid="{00000000-0005-0000-0000-0000771A0000}"/>
    <cellStyle name="Normal 5 3 5 2 6 2 2" xfId="25517" xr:uid="{778E31D7-9722-46EE-9FD2-93A342FC53C0}"/>
    <cellStyle name="Normal 5 3 5 2 6 2 3" xfId="33964" xr:uid="{05967CAE-6817-46E9-A194-DC39935E4D99}"/>
    <cellStyle name="Normal 5 3 5 2 6 2 4" xfId="42411" xr:uid="{9AB8C1A5-9425-4777-9FDA-348CF1C7FDA9}"/>
    <cellStyle name="Normal 5 3 5 2 6 2 5" xfId="16217" xr:uid="{877ABF6E-8758-4D42-ABEA-D812C250EEBD}"/>
    <cellStyle name="Normal 5 3 5 2 6 3" xfId="21300" xr:uid="{2E3E9E93-FD8C-455D-8478-B865C0E05D37}"/>
    <cellStyle name="Normal 5 3 5 2 6 4" xfId="29747" xr:uid="{459C7044-CFBC-48EB-8DB0-FAEA5075DE66}"/>
    <cellStyle name="Normal 5 3 5 2 6 5" xfId="38194" xr:uid="{DB61FBF1-71A1-40F1-A650-80E01954926E}"/>
    <cellStyle name="Normal 5 3 5 2 6 6" xfId="12000" xr:uid="{9A8C77F7-477B-4179-ABD5-7853269B22A2}"/>
    <cellStyle name="Normal 5 3 5 2 7" xfId="4826" xr:uid="{00000000-0005-0000-0000-0000781A0000}"/>
    <cellStyle name="Normal 5 3 5 2 7 2" xfId="23452" xr:uid="{B886F1CF-78D6-4F4E-A93A-302602591797}"/>
    <cellStyle name="Normal 5 3 5 2 7 3" xfId="31899" xr:uid="{CBF96DE2-D894-4451-A5AC-2040DF5E6138}"/>
    <cellStyle name="Normal 5 3 5 2 7 4" xfId="40346" xr:uid="{28F20469-7935-4715-878A-5E559E9D4FF9}"/>
    <cellStyle name="Normal 5 3 5 2 7 5" xfId="14152" xr:uid="{F761918D-D54B-4BA2-8007-9338981B4B9B}"/>
    <cellStyle name="Normal 5 3 5 2 8" xfId="9060" xr:uid="{D76124DC-5753-46E4-97E7-1D76E6E20EEE}"/>
    <cellStyle name="Normal 5 3 5 2 8 2" xfId="18384" xr:uid="{392E35E6-3666-4ABB-ADD2-604B35FA7354}"/>
    <cellStyle name="Normal 5 3 5 2 9" xfId="19235" xr:uid="{2B20C32E-FC2D-4E5A-9A29-DE0D917D1703}"/>
    <cellStyle name="Normal 5 3 5 3" xfId="927" xr:uid="{00000000-0005-0000-0000-0000791A0000}"/>
    <cellStyle name="Normal 5 3 5 3 2" xfId="3161" xr:uid="{00000000-0005-0000-0000-00007A1A0000}"/>
    <cellStyle name="Normal 5 3 5 3 2 2" xfId="7383" xr:uid="{00000000-0005-0000-0000-00007B1A0000}"/>
    <cellStyle name="Normal 5 3 5 3 2 2 2" xfId="26009" xr:uid="{7EC978EA-DEB4-4B74-A0F9-00F9B1DDE119}"/>
    <cellStyle name="Normal 5 3 5 3 2 2 3" xfId="34456" xr:uid="{E549AFD9-0F0A-47EF-9D0D-17F32BF91589}"/>
    <cellStyle name="Normal 5 3 5 3 2 2 4" xfId="42903" xr:uid="{83D8F916-5594-41BE-80E5-F3A19CCE9DBF}"/>
    <cellStyle name="Normal 5 3 5 3 2 2 5" xfId="16709" xr:uid="{7F1C5AAA-DE0A-41A5-8BFA-3155D3EBC4D0}"/>
    <cellStyle name="Normal 5 3 5 3 2 3" xfId="21792" xr:uid="{423BBBE5-550D-4583-8E06-388874EE30E7}"/>
    <cellStyle name="Normal 5 3 5 3 2 4" xfId="30239" xr:uid="{33EB600B-921D-42A0-9238-ECF7E7C22F39}"/>
    <cellStyle name="Normal 5 3 5 3 2 5" xfId="38686" xr:uid="{13195AAC-7B3A-4B38-9CA6-31F0C41593AE}"/>
    <cellStyle name="Normal 5 3 5 3 2 6" xfId="12492" xr:uid="{F4641AB2-35F5-40A6-9A2B-9E6FA24BB206}"/>
    <cellStyle name="Normal 5 3 5 3 3" xfId="5238" xr:uid="{00000000-0005-0000-0000-00007C1A0000}"/>
    <cellStyle name="Normal 5 3 5 3 3 2" xfId="23864" xr:uid="{D1A48D22-BC4A-4610-A1A4-ECA07C5A0CD0}"/>
    <cellStyle name="Normal 5 3 5 3 3 3" xfId="32311" xr:uid="{1D47C217-825D-43E2-BD7C-B77417830F89}"/>
    <cellStyle name="Normal 5 3 5 3 3 4" xfId="40758" xr:uid="{1A99A0F4-AFBB-441B-BACA-0796D627730A}"/>
    <cellStyle name="Normal 5 3 5 3 3 5" xfId="14564" xr:uid="{259D2409-754C-4844-B50C-D11FC2439D76}"/>
    <cellStyle name="Normal 5 3 5 3 4" xfId="9278" xr:uid="{6197750A-97CA-41EF-A67C-63E25EE58E9E}"/>
    <cellStyle name="Normal 5 3 5 3 4 2" xfId="18594" xr:uid="{5A19A151-2470-4FE1-850A-62D02517B8C3}"/>
    <cellStyle name="Normal 5 3 5 3 5" xfId="19647" xr:uid="{6DCD8BC2-88E5-4F87-BA55-15A6857B6495}"/>
    <cellStyle name="Normal 5 3 5 3 6" xfId="28094" xr:uid="{257CE1FB-88C8-4B89-A9CE-59AF6CB69A71}"/>
    <cellStyle name="Normal 5 3 5 3 7" xfId="36541" xr:uid="{585451B4-D555-4445-9501-C3FBAB44C9E5}"/>
    <cellStyle name="Normal 5 3 5 3 8" xfId="10347" xr:uid="{A198D9C2-18EA-43F7-A726-CEAF9BAC0BA4}"/>
    <cellStyle name="Normal 5 3 5 4" xfId="1344" xr:uid="{00000000-0005-0000-0000-00007D1A0000}"/>
    <cellStyle name="Normal 5 3 5 4 2" xfId="3574" xr:uid="{00000000-0005-0000-0000-00007E1A0000}"/>
    <cellStyle name="Normal 5 3 5 4 2 2" xfId="7796" xr:uid="{00000000-0005-0000-0000-00007F1A0000}"/>
    <cellStyle name="Normal 5 3 5 4 2 2 2" xfId="26422" xr:uid="{8AC96E23-993F-4C50-9464-8A965CEEF090}"/>
    <cellStyle name="Normal 5 3 5 4 2 2 3" xfId="34869" xr:uid="{47A30299-6252-4336-8937-E1BF1CFA9070}"/>
    <cellStyle name="Normal 5 3 5 4 2 2 4" xfId="43316" xr:uid="{A380877C-D8FE-4698-A0F4-4BB129EE0765}"/>
    <cellStyle name="Normal 5 3 5 4 2 2 5" xfId="17122" xr:uid="{796CEF2C-76A4-4DCB-87F7-8113F2370FC3}"/>
    <cellStyle name="Normal 5 3 5 4 2 3" xfId="22205" xr:uid="{DF817148-0429-4B9B-8CEA-AB112E231247}"/>
    <cellStyle name="Normal 5 3 5 4 2 4" xfId="30652" xr:uid="{90E5E017-E5B5-4FB4-A487-5456C3F700E6}"/>
    <cellStyle name="Normal 5 3 5 4 2 5" xfId="39099" xr:uid="{0D125876-3FC6-419B-9698-448BB834C9CE}"/>
    <cellStyle name="Normal 5 3 5 4 2 6" xfId="12905" xr:uid="{A7901355-5C21-4148-BE10-EC934E08DECF}"/>
    <cellStyle name="Normal 5 3 5 4 3" xfId="5651" xr:uid="{00000000-0005-0000-0000-0000801A0000}"/>
    <cellStyle name="Normal 5 3 5 4 3 2" xfId="24277" xr:uid="{59466840-B4B5-416D-8DB8-F8777C5208DE}"/>
    <cellStyle name="Normal 5 3 5 4 3 3" xfId="32724" xr:uid="{7C7CC090-E5D8-48AA-A673-F9B9F66ED033}"/>
    <cellStyle name="Normal 5 3 5 4 3 4" xfId="41171" xr:uid="{BA245630-D227-4C1D-8E46-0035521D3333}"/>
    <cellStyle name="Normal 5 3 5 4 3 5" xfId="14977" xr:uid="{679549A1-CB20-4B1C-8EEA-5A2DC72399BF}"/>
    <cellStyle name="Normal 5 3 5 4 4" xfId="20060" xr:uid="{721EA711-40EF-4DC7-ACF0-1E01DC342B2F}"/>
    <cellStyle name="Normal 5 3 5 4 5" xfId="28507" xr:uid="{74C43857-4A44-4289-86E1-1AFA5B9BFD23}"/>
    <cellStyle name="Normal 5 3 5 4 6" xfId="36954" xr:uid="{C55755C3-53ED-449A-B711-F037D2F83326}"/>
    <cellStyle name="Normal 5 3 5 4 7" xfId="10760" xr:uid="{C2E86506-8BFE-4E92-B1A5-D3FFE12B8B14}"/>
    <cellStyle name="Normal 5 3 5 5" xfId="1757" xr:uid="{00000000-0005-0000-0000-0000811A0000}"/>
    <cellStyle name="Normal 5 3 5 5 2" xfId="3987" xr:uid="{00000000-0005-0000-0000-0000821A0000}"/>
    <cellStyle name="Normal 5 3 5 5 2 2" xfId="8209" xr:uid="{00000000-0005-0000-0000-0000831A0000}"/>
    <cellStyle name="Normal 5 3 5 5 2 2 2" xfId="26835" xr:uid="{3D42B060-D681-4A45-9A64-55B8E9129464}"/>
    <cellStyle name="Normal 5 3 5 5 2 2 3" xfId="35282" xr:uid="{664ACF86-E8A7-47BC-9259-B361ED016E5A}"/>
    <cellStyle name="Normal 5 3 5 5 2 2 4" xfId="43729" xr:uid="{032CCDE1-D752-4B69-8264-BD514ED4D760}"/>
    <cellStyle name="Normal 5 3 5 5 2 2 5" xfId="17535" xr:uid="{0F7CAA08-1A99-4695-8C43-648986CADA5F}"/>
    <cellStyle name="Normal 5 3 5 5 2 3" xfId="22618" xr:uid="{8CDA8B65-0BC0-46FD-9B56-BCA11A571691}"/>
    <cellStyle name="Normal 5 3 5 5 2 4" xfId="31065" xr:uid="{B3B0370F-4EA1-4335-8989-FA8892C62B6B}"/>
    <cellStyle name="Normal 5 3 5 5 2 5" xfId="39512" xr:uid="{2238468D-5BE0-4765-94CB-58F0BE3D0E06}"/>
    <cellStyle name="Normal 5 3 5 5 2 6" xfId="13318" xr:uid="{1F97C1A2-CCDE-4212-A396-BD65F6829C38}"/>
    <cellStyle name="Normal 5 3 5 5 3" xfId="6064" xr:uid="{00000000-0005-0000-0000-0000841A0000}"/>
    <cellStyle name="Normal 5 3 5 5 3 2" xfId="24690" xr:uid="{7FA60236-8F31-418A-86E5-18465183BE4F}"/>
    <cellStyle name="Normal 5 3 5 5 3 3" xfId="33137" xr:uid="{DC55EAFA-615E-493B-803D-A478F9489E76}"/>
    <cellStyle name="Normal 5 3 5 5 3 4" xfId="41584" xr:uid="{ECE4974C-AA82-4146-B9C6-1ED138435139}"/>
    <cellStyle name="Normal 5 3 5 5 3 5" xfId="15390" xr:uid="{A2139327-4562-4E9E-94EC-D0902ECB0ABE}"/>
    <cellStyle name="Normal 5 3 5 5 4" xfId="20473" xr:uid="{72DF19DB-FED6-4C13-BBE8-2C82D353FFAE}"/>
    <cellStyle name="Normal 5 3 5 5 5" xfId="28920" xr:uid="{05A4A6FA-AEEF-4600-B76E-81F0AA05A383}"/>
    <cellStyle name="Normal 5 3 5 5 6" xfId="37367" xr:uid="{1B56FBC0-987D-47B7-977D-70FC5A33805B}"/>
    <cellStyle name="Normal 5 3 5 5 7" xfId="11173" xr:uid="{4D1E2A2A-281C-46ED-9E06-E4405BE3FC21}"/>
    <cellStyle name="Normal 5 3 5 6" xfId="2171" xr:uid="{00000000-0005-0000-0000-0000851A0000}"/>
    <cellStyle name="Normal 5 3 5 6 2" xfId="4400" xr:uid="{00000000-0005-0000-0000-0000861A0000}"/>
    <cellStyle name="Normal 5 3 5 6 2 2" xfId="8622" xr:uid="{00000000-0005-0000-0000-0000871A0000}"/>
    <cellStyle name="Normal 5 3 5 6 2 2 2" xfId="27248" xr:uid="{02E95499-590C-47E7-A115-55505695577F}"/>
    <cellStyle name="Normal 5 3 5 6 2 2 3" xfId="35695" xr:uid="{DCD9838A-9128-47B5-ADC9-5495DCBFE67E}"/>
    <cellStyle name="Normal 5 3 5 6 2 2 4" xfId="44142" xr:uid="{7EC25F22-2D06-4840-B02B-EE3258D6D9BA}"/>
    <cellStyle name="Normal 5 3 5 6 2 2 5" xfId="17948" xr:uid="{ACA0FE67-F35F-49C4-A88B-46F5B1278DA7}"/>
    <cellStyle name="Normal 5 3 5 6 2 3" xfId="23031" xr:uid="{92D65513-F4FA-4333-A76F-BE5AAF4144CC}"/>
    <cellStyle name="Normal 5 3 5 6 2 4" xfId="31478" xr:uid="{E59F240D-6245-4F7B-9DB6-81B78CBEDA23}"/>
    <cellStyle name="Normal 5 3 5 6 2 5" xfId="39925" xr:uid="{B4689BB6-D912-41AA-9661-BA0BA074A66F}"/>
    <cellStyle name="Normal 5 3 5 6 2 6" xfId="13731" xr:uid="{048F8669-1D9C-4781-8D28-67A2B1AEC640}"/>
    <cellStyle name="Normal 5 3 5 6 3" xfId="6477" xr:uid="{00000000-0005-0000-0000-0000881A0000}"/>
    <cellStyle name="Normal 5 3 5 6 3 2" xfId="25103" xr:uid="{CFB4B05A-D1DD-45CB-AD29-CAD43F49B3EE}"/>
    <cellStyle name="Normal 5 3 5 6 3 3" xfId="33550" xr:uid="{3EC7EB8B-A6AD-4AD4-A9E8-4801C5AA2C66}"/>
    <cellStyle name="Normal 5 3 5 6 3 4" xfId="41997" xr:uid="{BC13CF67-BC97-4543-8C4D-066E2B972E4D}"/>
    <cellStyle name="Normal 5 3 5 6 3 5" xfId="15803" xr:uid="{AE8BB9B4-2A0F-4539-9320-4195E886B1F3}"/>
    <cellStyle name="Normal 5 3 5 6 4" xfId="20886" xr:uid="{0B4C6A6C-EBA3-4292-B471-98857C63CC62}"/>
    <cellStyle name="Normal 5 3 5 6 5" xfId="29333" xr:uid="{B6851516-96F1-47BE-9D28-5C48AC804F42}"/>
    <cellStyle name="Normal 5 3 5 6 6" xfId="37780" xr:uid="{A6B71805-FFCF-406C-B77C-7D5F7086F67D}"/>
    <cellStyle name="Normal 5 3 5 6 7" xfId="11586" xr:uid="{2E908D2F-1990-4B41-817D-35E1AD92714B}"/>
    <cellStyle name="Normal 5 3 5 7" xfId="2607" xr:uid="{00000000-0005-0000-0000-0000891A0000}"/>
    <cellStyle name="Normal 5 3 5 7 2" xfId="6890" xr:uid="{00000000-0005-0000-0000-00008A1A0000}"/>
    <cellStyle name="Normal 5 3 5 7 2 2" xfId="25516" xr:uid="{2D47755A-A859-4F8C-BE27-8C72C05DFFA0}"/>
    <cellStyle name="Normal 5 3 5 7 2 3" xfId="33963" xr:uid="{A5AF31EB-ADDC-4967-B17E-86A18DD0E3DF}"/>
    <cellStyle name="Normal 5 3 5 7 2 4" xfId="42410" xr:uid="{8823489B-CFDD-46DE-98AD-590D3528E761}"/>
    <cellStyle name="Normal 5 3 5 7 2 5" xfId="16216" xr:uid="{C67D94AC-7BFC-42B8-A2C2-AC76B72A5FD4}"/>
    <cellStyle name="Normal 5 3 5 7 3" xfId="21299" xr:uid="{2997FB49-10E8-4863-BE30-6367E2900531}"/>
    <cellStyle name="Normal 5 3 5 7 4" xfId="29746" xr:uid="{2045859F-646B-4825-BE79-4F82EB2C89D0}"/>
    <cellStyle name="Normal 5 3 5 7 5" xfId="38193" xr:uid="{9E65D85C-5A7D-4C1E-BC18-F99262CECD85}"/>
    <cellStyle name="Normal 5 3 5 7 6" xfId="11999" xr:uid="{FC1E441A-D3AD-4D8E-A574-CDA669444FB6}"/>
    <cellStyle name="Normal 5 3 5 8" xfId="4825" xr:uid="{00000000-0005-0000-0000-00008B1A0000}"/>
    <cellStyle name="Normal 5 3 5 8 2" xfId="23451" xr:uid="{C9EDE1BF-068D-4C7D-81AA-5C6AFAE201DC}"/>
    <cellStyle name="Normal 5 3 5 8 3" xfId="31898" xr:uid="{A5763C60-2313-497C-BCAD-BCFA14193A40}"/>
    <cellStyle name="Normal 5 3 5 8 4" xfId="40345" xr:uid="{28C54875-72CC-4B2F-8445-8BE0402CBC39}"/>
    <cellStyle name="Normal 5 3 5 8 5" xfId="14151" xr:uid="{8F95BDC8-0AF8-4299-942C-DE5AD85D99B6}"/>
    <cellStyle name="Normal 5 3 5 9" xfId="8853" xr:uid="{049FA2CE-003F-47C1-A264-645323886F35}"/>
    <cellStyle name="Normal 5 3 5 9 2" xfId="18177" xr:uid="{D583110D-3EB8-4592-84FD-03B44E6E7BD5}"/>
    <cellStyle name="Normal 5 3 6" xfId="455" xr:uid="{00000000-0005-0000-0000-00008C1A0000}"/>
    <cellStyle name="Normal 5 3 6 10" xfId="27683" xr:uid="{5249689F-A84E-4A92-BAD1-2CF304844404}"/>
    <cellStyle name="Normal 5 3 6 11" xfId="36130" xr:uid="{3011A138-1884-4B0A-BAB7-0507F83DE495}"/>
    <cellStyle name="Normal 5 3 6 12" xfId="9936" xr:uid="{3EE15DCF-A313-4613-A31F-FC6C4EEB8D2F}"/>
    <cellStyle name="Normal 5 3 6 2" xfId="929" xr:uid="{00000000-0005-0000-0000-00008D1A0000}"/>
    <cellStyle name="Normal 5 3 6 2 2" xfId="3163" xr:uid="{00000000-0005-0000-0000-00008E1A0000}"/>
    <cellStyle name="Normal 5 3 6 2 2 2" xfId="7385" xr:uid="{00000000-0005-0000-0000-00008F1A0000}"/>
    <cellStyle name="Normal 5 3 6 2 2 2 2" xfId="26011" xr:uid="{B8906694-F698-4183-9CCE-EF5ABB3EC5AD}"/>
    <cellStyle name="Normal 5 3 6 2 2 2 3" xfId="34458" xr:uid="{B1CC6635-CE0A-4C69-95D1-E95D494A85A1}"/>
    <cellStyle name="Normal 5 3 6 2 2 2 4" xfId="42905" xr:uid="{08867FE0-3B08-4D95-A7E3-82D6BB7801A1}"/>
    <cellStyle name="Normal 5 3 6 2 2 2 5" xfId="16711" xr:uid="{C36D999C-82DF-4A7A-B86E-DB26EA78A5B5}"/>
    <cellStyle name="Normal 5 3 6 2 2 3" xfId="21794" xr:uid="{D07CB064-4620-47B0-B959-52DF46575FEA}"/>
    <cellStyle name="Normal 5 3 6 2 2 4" xfId="30241" xr:uid="{98E5A776-7B50-4418-8AFF-12BF432ADDA4}"/>
    <cellStyle name="Normal 5 3 6 2 2 5" xfId="38688" xr:uid="{8C712F99-85D4-4FD4-8FF7-0692FF4B1940}"/>
    <cellStyle name="Normal 5 3 6 2 2 6" xfId="12494" xr:uid="{D9C4C5DD-77B9-4DCE-9769-3EC5B5F8DA8C}"/>
    <cellStyle name="Normal 5 3 6 2 3" xfId="5240" xr:uid="{00000000-0005-0000-0000-0000901A0000}"/>
    <cellStyle name="Normal 5 3 6 2 3 2" xfId="23866" xr:uid="{557D285F-5641-4F45-A94C-F8F715913262}"/>
    <cellStyle name="Normal 5 3 6 2 3 3" xfId="32313" xr:uid="{C4F83AB1-BAF2-4BCE-9C95-21BD6F662E75}"/>
    <cellStyle name="Normal 5 3 6 2 3 4" xfId="40760" xr:uid="{6C4B3788-C4BD-4C96-927F-68D278B500BD}"/>
    <cellStyle name="Normal 5 3 6 2 3 5" xfId="14566" xr:uid="{95934EBC-4405-488D-94B0-93588FB6A98C}"/>
    <cellStyle name="Normal 5 3 6 2 4" xfId="9394" xr:uid="{040FDD8C-10C9-4583-9A6E-8F76047ECA0C}"/>
    <cellStyle name="Normal 5 3 6 2 4 2" xfId="18710" xr:uid="{B5C8E7AD-CD69-4D62-B8CD-430DBE45B984}"/>
    <cellStyle name="Normal 5 3 6 2 5" xfId="19649" xr:uid="{7F8BFD9E-3DC3-4990-B45D-2D11BBBA97DB}"/>
    <cellStyle name="Normal 5 3 6 2 6" xfId="28096" xr:uid="{AE82890B-6EBC-47B2-B0A5-5F3AE7ECCF19}"/>
    <cellStyle name="Normal 5 3 6 2 7" xfId="36543" xr:uid="{737CBC24-115E-47E6-8A1E-D60D3B0942AF}"/>
    <cellStyle name="Normal 5 3 6 2 8" xfId="10349" xr:uid="{679CAEA8-D450-47F7-860C-68FF4CD478CA}"/>
    <cellStyle name="Normal 5 3 6 3" xfId="1346" xr:uid="{00000000-0005-0000-0000-0000911A0000}"/>
    <cellStyle name="Normal 5 3 6 3 2" xfId="3576" xr:uid="{00000000-0005-0000-0000-0000921A0000}"/>
    <cellStyle name="Normal 5 3 6 3 2 2" xfId="7798" xr:uid="{00000000-0005-0000-0000-0000931A0000}"/>
    <cellStyle name="Normal 5 3 6 3 2 2 2" xfId="26424" xr:uid="{AA532CCE-D5E3-4114-B9D5-A9533014BC56}"/>
    <cellStyle name="Normal 5 3 6 3 2 2 3" xfId="34871" xr:uid="{974547B4-7EDF-4A83-BA1D-984ED61C6046}"/>
    <cellStyle name="Normal 5 3 6 3 2 2 4" xfId="43318" xr:uid="{22850E72-72BC-4C65-9718-3F1BDBFA73B8}"/>
    <cellStyle name="Normal 5 3 6 3 2 2 5" xfId="17124" xr:uid="{29E5838D-749C-4F7E-92A5-FE2E5D7EF283}"/>
    <cellStyle name="Normal 5 3 6 3 2 3" xfId="22207" xr:uid="{8D40CF72-B628-4EC0-978C-D8C22344E841}"/>
    <cellStyle name="Normal 5 3 6 3 2 4" xfId="30654" xr:uid="{3C974722-5E7C-4039-B359-086980BFE82F}"/>
    <cellStyle name="Normal 5 3 6 3 2 5" xfId="39101" xr:uid="{F7101C3A-577C-4E99-B9DA-F624C35E818D}"/>
    <cellStyle name="Normal 5 3 6 3 2 6" xfId="12907" xr:uid="{0F2F629D-1C79-4E73-AB56-6F24F45A3CED}"/>
    <cellStyle name="Normal 5 3 6 3 3" xfId="5653" xr:uid="{00000000-0005-0000-0000-0000941A0000}"/>
    <cellStyle name="Normal 5 3 6 3 3 2" xfId="24279" xr:uid="{0526319E-27E8-40BF-93B9-2761AC571F33}"/>
    <cellStyle name="Normal 5 3 6 3 3 3" xfId="32726" xr:uid="{59CF2F3D-CD99-4285-A07E-199CD04B7857}"/>
    <cellStyle name="Normal 5 3 6 3 3 4" xfId="41173" xr:uid="{6FC9CAEA-C5D6-452F-8DB0-2F079EE9F524}"/>
    <cellStyle name="Normal 5 3 6 3 3 5" xfId="14979" xr:uid="{55AD42C5-5D52-40F3-83A4-8EAEC57B7DCF}"/>
    <cellStyle name="Normal 5 3 6 3 4" xfId="20062" xr:uid="{D5465BD4-3DD2-4FD4-A798-3A01E5937C4F}"/>
    <cellStyle name="Normal 5 3 6 3 5" xfId="28509" xr:uid="{8DCF1879-DEBF-4A99-8761-43B5C6B91011}"/>
    <cellStyle name="Normal 5 3 6 3 6" xfId="36956" xr:uid="{FF7FCF98-D0E0-4C46-88A2-301808B9F25D}"/>
    <cellStyle name="Normal 5 3 6 3 7" xfId="10762" xr:uid="{218B218E-266D-4700-A965-84BC95C86D0E}"/>
    <cellStyle name="Normal 5 3 6 4" xfId="1759" xr:uid="{00000000-0005-0000-0000-0000951A0000}"/>
    <cellStyle name="Normal 5 3 6 4 2" xfId="3989" xr:uid="{00000000-0005-0000-0000-0000961A0000}"/>
    <cellStyle name="Normal 5 3 6 4 2 2" xfId="8211" xr:uid="{00000000-0005-0000-0000-0000971A0000}"/>
    <cellStyle name="Normal 5 3 6 4 2 2 2" xfId="26837" xr:uid="{C4D06438-A448-419F-8B10-D6D7B77E46D0}"/>
    <cellStyle name="Normal 5 3 6 4 2 2 3" xfId="35284" xr:uid="{63845AC8-B406-48F5-8995-BDE24DA12AA5}"/>
    <cellStyle name="Normal 5 3 6 4 2 2 4" xfId="43731" xr:uid="{2673CA5D-0C2E-4A8C-BD50-BB383FE307D3}"/>
    <cellStyle name="Normal 5 3 6 4 2 2 5" xfId="17537" xr:uid="{ABBBE23D-4163-4D58-82AB-EED96299805D}"/>
    <cellStyle name="Normal 5 3 6 4 2 3" xfId="22620" xr:uid="{653B078D-B5D5-447F-AD96-074B1CA83D9C}"/>
    <cellStyle name="Normal 5 3 6 4 2 4" xfId="31067" xr:uid="{452FC350-2567-4A12-BA76-DF219F3BDAFD}"/>
    <cellStyle name="Normal 5 3 6 4 2 5" xfId="39514" xr:uid="{4981AFA1-B92A-4830-B116-209CE3B1914C}"/>
    <cellStyle name="Normal 5 3 6 4 2 6" xfId="13320" xr:uid="{0669E086-6067-4289-93A1-9665CAF5A580}"/>
    <cellStyle name="Normal 5 3 6 4 3" xfId="6066" xr:uid="{00000000-0005-0000-0000-0000981A0000}"/>
    <cellStyle name="Normal 5 3 6 4 3 2" xfId="24692" xr:uid="{25BA655B-C0C2-4623-BD85-D9D44D6FF181}"/>
    <cellStyle name="Normal 5 3 6 4 3 3" xfId="33139" xr:uid="{D8DEC392-AAEC-40F6-872F-AFD58EF944B4}"/>
    <cellStyle name="Normal 5 3 6 4 3 4" xfId="41586" xr:uid="{A30230FE-00B5-44BD-8C20-E5C8289D1080}"/>
    <cellStyle name="Normal 5 3 6 4 3 5" xfId="15392" xr:uid="{5E971017-1A77-4D6D-96AE-DDC96E1CF4DA}"/>
    <cellStyle name="Normal 5 3 6 4 4" xfId="20475" xr:uid="{75F9BBFB-2CAB-4C6C-99AF-955C7A94BFCF}"/>
    <cellStyle name="Normal 5 3 6 4 5" xfId="28922" xr:uid="{E1001466-8604-4FAA-A8F2-0E093FD58341}"/>
    <cellStyle name="Normal 5 3 6 4 6" xfId="37369" xr:uid="{935A1A75-00B3-40D6-A9C6-F1A4570683FF}"/>
    <cellStyle name="Normal 5 3 6 4 7" xfId="11175" xr:uid="{39FCD7F4-B47F-46AA-8E45-AAF608DF53A6}"/>
    <cellStyle name="Normal 5 3 6 5" xfId="2173" xr:uid="{00000000-0005-0000-0000-0000991A0000}"/>
    <cellStyle name="Normal 5 3 6 5 2" xfId="4402" xr:uid="{00000000-0005-0000-0000-00009A1A0000}"/>
    <cellStyle name="Normal 5 3 6 5 2 2" xfId="8624" xr:uid="{00000000-0005-0000-0000-00009B1A0000}"/>
    <cellStyle name="Normal 5 3 6 5 2 2 2" xfId="27250" xr:uid="{DE0B03A0-8B59-471F-B5BA-38FCFBDBDD8F}"/>
    <cellStyle name="Normal 5 3 6 5 2 2 3" xfId="35697" xr:uid="{5AE342CA-26CD-4D60-8A07-7B4D9E137DB8}"/>
    <cellStyle name="Normal 5 3 6 5 2 2 4" xfId="44144" xr:uid="{694F00D6-6C7C-4087-9BC3-EEBD950EAD94}"/>
    <cellStyle name="Normal 5 3 6 5 2 2 5" xfId="17950" xr:uid="{2E7DFB25-0F45-45D8-9252-68CDC659E1B6}"/>
    <cellStyle name="Normal 5 3 6 5 2 3" xfId="23033" xr:uid="{70AEF5BC-DD08-4F06-A333-7D3DDF79EDB2}"/>
    <cellStyle name="Normal 5 3 6 5 2 4" xfId="31480" xr:uid="{71E331F4-CE40-4609-AC62-2EE5BFE6008F}"/>
    <cellStyle name="Normal 5 3 6 5 2 5" xfId="39927" xr:uid="{C4727A82-1161-4402-93E0-1238BCA01B58}"/>
    <cellStyle name="Normal 5 3 6 5 2 6" xfId="13733" xr:uid="{3543555D-6E46-484D-A6B7-7BA0B21A5868}"/>
    <cellStyle name="Normal 5 3 6 5 3" xfId="6479" xr:uid="{00000000-0005-0000-0000-00009C1A0000}"/>
    <cellStyle name="Normal 5 3 6 5 3 2" xfId="25105" xr:uid="{CDA8B367-DEC7-465E-800C-6E3CFB5B838A}"/>
    <cellStyle name="Normal 5 3 6 5 3 3" xfId="33552" xr:uid="{F0E73E6B-817C-4C8F-819C-8266FC339349}"/>
    <cellStyle name="Normal 5 3 6 5 3 4" xfId="41999" xr:uid="{C01D658A-6881-4975-B098-7A9014F2C331}"/>
    <cellStyle name="Normal 5 3 6 5 3 5" xfId="15805" xr:uid="{1CB68978-ACDA-4D90-8486-74943BA547A1}"/>
    <cellStyle name="Normal 5 3 6 5 4" xfId="20888" xr:uid="{66F01749-4BA1-442B-8CFA-261A70C0E862}"/>
    <cellStyle name="Normal 5 3 6 5 5" xfId="29335" xr:uid="{FE9FF5D0-2516-43DD-86A5-63534439A872}"/>
    <cellStyle name="Normal 5 3 6 5 6" xfId="37782" xr:uid="{05508A05-F583-4F62-A9E9-A1B47E22FACA}"/>
    <cellStyle name="Normal 5 3 6 5 7" xfId="11588" xr:uid="{981E5911-987C-48C0-BA12-50C6CD67CEC1}"/>
    <cellStyle name="Normal 5 3 6 6" xfId="2609" xr:uid="{00000000-0005-0000-0000-00009D1A0000}"/>
    <cellStyle name="Normal 5 3 6 6 2" xfId="6892" xr:uid="{00000000-0005-0000-0000-00009E1A0000}"/>
    <cellStyle name="Normal 5 3 6 6 2 2" xfId="25518" xr:uid="{C0BAE0C2-A2DB-41F0-8768-5099B3ADD171}"/>
    <cellStyle name="Normal 5 3 6 6 2 3" xfId="33965" xr:uid="{A58570FC-BBDD-4282-B977-18B5D18206CA}"/>
    <cellStyle name="Normal 5 3 6 6 2 4" xfId="42412" xr:uid="{E09D5CDA-DACC-4E0A-9F35-7E35DD2CB449}"/>
    <cellStyle name="Normal 5 3 6 6 2 5" xfId="16218" xr:uid="{7996F72E-2E62-4F60-8B2C-56D485337168}"/>
    <cellStyle name="Normal 5 3 6 6 3" xfId="21301" xr:uid="{5B031783-79D2-46F7-B1E3-9145ED946EA3}"/>
    <cellStyle name="Normal 5 3 6 6 4" xfId="29748" xr:uid="{8FE8946F-5216-4BF2-A95B-84BC44201C03}"/>
    <cellStyle name="Normal 5 3 6 6 5" xfId="38195" xr:uid="{9BFEE6D4-A1B4-4850-8451-B7D17775B538}"/>
    <cellStyle name="Normal 5 3 6 6 6" xfId="12001" xr:uid="{E87C5D7C-6905-4230-B8E5-1D0CBB8B5423}"/>
    <cellStyle name="Normal 5 3 6 7" xfId="4827" xr:uid="{00000000-0005-0000-0000-00009F1A0000}"/>
    <cellStyle name="Normal 5 3 6 7 2" xfId="23453" xr:uid="{745B037E-8707-4B8C-B077-BA574AED0B38}"/>
    <cellStyle name="Normal 5 3 6 7 3" xfId="31900" xr:uid="{CD7A820A-3331-4F7D-B702-CDE0CB94A34F}"/>
    <cellStyle name="Normal 5 3 6 7 4" xfId="40347" xr:uid="{1B446276-8479-4D5F-A204-BA106AF1581D}"/>
    <cellStyle name="Normal 5 3 6 7 5" xfId="14153" xr:uid="{7311FA0A-C213-4A23-8D3B-B6347D0432C6}"/>
    <cellStyle name="Normal 5 3 6 8" xfId="8969" xr:uid="{FA7ABEAF-BFEA-4D3E-A53B-E23F3117BFD8}"/>
    <cellStyle name="Normal 5 3 6 8 2" xfId="18293" xr:uid="{79ECE1BD-5F62-4799-B49E-AEAC31F4B42A}"/>
    <cellStyle name="Normal 5 3 6 9" xfId="19236" xr:uid="{496A754D-6C76-4EA7-83D4-D90456970280}"/>
    <cellStyle name="Normal 5 3 7" xfId="913" xr:uid="{00000000-0005-0000-0000-0000A01A0000}"/>
    <cellStyle name="Normal 5 3 7 2" xfId="3148" xr:uid="{00000000-0005-0000-0000-0000A11A0000}"/>
    <cellStyle name="Normal 5 3 7 2 2" xfId="7370" xr:uid="{00000000-0005-0000-0000-0000A21A0000}"/>
    <cellStyle name="Normal 5 3 7 2 2 2" xfId="25996" xr:uid="{FB47BCE4-DC63-4BB2-B220-B8941800504A}"/>
    <cellStyle name="Normal 5 3 7 2 2 3" xfId="34443" xr:uid="{8F221E12-4A83-4DF9-A6E6-E49A7BC14810}"/>
    <cellStyle name="Normal 5 3 7 2 2 4" xfId="42890" xr:uid="{46C5F253-DCF4-4E3E-BE58-5C131DED159B}"/>
    <cellStyle name="Normal 5 3 7 2 2 5" xfId="16696" xr:uid="{3E9B16D2-9350-419F-BD94-28D7EE410520}"/>
    <cellStyle name="Normal 5 3 7 2 3" xfId="21779" xr:uid="{928CCD6C-E856-4F35-BF2B-DEDC015FC592}"/>
    <cellStyle name="Normal 5 3 7 2 4" xfId="30226" xr:uid="{8C593658-4839-4183-96DA-07CFA28DBBBC}"/>
    <cellStyle name="Normal 5 3 7 2 5" xfId="38673" xr:uid="{AC22B9EB-416E-468B-B190-3947277EBBD3}"/>
    <cellStyle name="Normal 5 3 7 2 6" xfId="12479" xr:uid="{9CE285D1-423D-46B3-BE93-C81908550931}"/>
    <cellStyle name="Normal 5 3 7 3" xfId="5225" xr:uid="{00000000-0005-0000-0000-0000A31A0000}"/>
    <cellStyle name="Normal 5 3 7 3 2" xfId="23851" xr:uid="{06EBDCFF-B3C1-4725-B915-556B8E3D5B69}"/>
    <cellStyle name="Normal 5 3 7 3 3" xfId="32298" xr:uid="{66FBAECF-DCD6-4E38-AAC0-4AAC9A53EDC5}"/>
    <cellStyle name="Normal 5 3 7 3 4" xfId="40745" xr:uid="{F4D3C739-C422-4F63-A7A5-C590B73219E6}"/>
    <cellStyle name="Normal 5 3 7 3 5" xfId="14551" xr:uid="{DC3A231C-E430-454D-BCBB-F93C0B39A9A4}"/>
    <cellStyle name="Normal 5 3 7 4" xfId="9172" xr:uid="{5609ABAF-B913-41DD-9CCE-B28C6A880815}"/>
    <cellStyle name="Normal 5 3 7 4 2" xfId="18491" xr:uid="{D81E6A96-BE58-436C-90AA-D51C74914F9D}"/>
    <cellStyle name="Normal 5 3 7 5" xfId="19634" xr:uid="{6EB05E74-EF2B-44AC-8F59-FAF7FC50CF5A}"/>
    <cellStyle name="Normal 5 3 7 6" xfId="28081" xr:uid="{214CB95B-18A1-4713-8A28-791F160B6F77}"/>
    <cellStyle name="Normal 5 3 7 7" xfId="36528" xr:uid="{5595396A-AFFA-4346-87DB-E5678985565B}"/>
    <cellStyle name="Normal 5 3 7 8" xfId="10334" xr:uid="{3657AAE4-6A2D-4737-8999-90E3ABFD4100}"/>
    <cellStyle name="Normal 5 3 8" xfId="1331" xr:uid="{00000000-0005-0000-0000-0000A41A0000}"/>
    <cellStyle name="Normal 5 3 8 2" xfId="3561" xr:uid="{00000000-0005-0000-0000-0000A51A0000}"/>
    <cellStyle name="Normal 5 3 8 2 2" xfId="7783" xr:uid="{00000000-0005-0000-0000-0000A61A0000}"/>
    <cellStyle name="Normal 5 3 8 2 2 2" xfId="26409" xr:uid="{35F629EC-29C1-4F6E-8D3B-60815F7F48DC}"/>
    <cellStyle name="Normal 5 3 8 2 2 3" xfId="34856" xr:uid="{30B5186C-0E5A-41E4-BDB5-4DEC339DB6EE}"/>
    <cellStyle name="Normal 5 3 8 2 2 4" xfId="43303" xr:uid="{8EA52A83-AE2F-4892-9094-D80B394776D4}"/>
    <cellStyle name="Normal 5 3 8 2 2 5" xfId="17109" xr:uid="{7214BDB2-7C11-48D4-AFCA-E1C53A5968A6}"/>
    <cellStyle name="Normal 5 3 8 2 3" xfId="22192" xr:uid="{6AFA84E6-8CFA-493A-89BE-0CC5647E7D45}"/>
    <cellStyle name="Normal 5 3 8 2 4" xfId="30639" xr:uid="{170D2839-05DA-4A85-B309-7A40BCB72B8E}"/>
    <cellStyle name="Normal 5 3 8 2 5" xfId="39086" xr:uid="{F2FCD48D-8958-4E33-AAE3-B3C5D8FC38BA}"/>
    <cellStyle name="Normal 5 3 8 2 6" xfId="12892" xr:uid="{F63C2503-2D9E-4907-A968-71977591F19E}"/>
    <cellStyle name="Normal 5 3 8 3" xfId="5638" xr:uid="{00000000-0005-0000-0000-0000A71A0000}"/>
    <cellStyle name="Normal 5 3 8 3 2" xfId="24264" xr:uid="{94BA290A-BD2E-4BFB-9A34-4230D000D0EB}"/>
    <cellStyle name="Normal 5 3 8 3 3" xfId="32711" xr:uid="{4C7C6EE6-88C5-414D-A1F3-405C4E6B4A7A}"/>
    <cellStyle name="Normal 5 3 8 3 4" xfId="41158" xr:uid="{0429FA73-05C1-4DEA-877F-5B2F1A6607B5}"/>
    <cellStyle name="Normal 5 3 8 3 5" xfId="14964" xr:uid="{822AEECE-148E-4AD0-A6BE-8C1162B2AE24}"/>
    <cellStyle name="Normal 5 3 8 4" xfId="20047" xr:uid="{D878A82A-E2E8-4E67-8FB4-8B8FB0393D08}"/>
    <cellStyle name="Normal 5 3 8 5" xfId="28494" xr:uid="{CFCFE580-1103-4652-B385-F573610909F8}"/>
    <cellStyle name="Normal 5 3 8 6" xfId="36941" xr:uid="{9DB23A3E-3229-4FAF-9CC1-583127EE5FAB}"/>
    <cellStyle name="Normal 5 3 8 7" xfId="10747" xr:uid="{332EFEEA-C3A1-4BA0-83FF-BCD30F7B7821}"/>
    <cellStyle name="Normal 5 3 9" xfId="1744" xr:uid="{00000000-0005-0000-0000-0000A81A0000}"/>
    <cellStyle name="Normal 5 3 9 2" xfId="3974" xr:uid="{00000000-0005-0000-0000-0000A91A0000}"/>
    <cellStyle name="Normal 5 3 9 2 2" xfId="8196" xr:uid="{00000000-0005-0000-0000-0000AA1A0000}"/>
    <cellStyle name="Normal 5 3 9 2 2 2" xfId="26822" xr:uid="{51389DC4-56DA-4B23-8AC8-FA250E0A0284}"/>
    <cellStyle name="Normal 5 3 9 2 2 3" xfId="35269" xr:uid="{1167FE4C-A8AA-4C96-9420-8347E1E6E8E0}"/>
    <cellStyle name="Normal 5 3 9 2 2 4" xfId="43716" xr:uid="{0CD5DCFD-2DCD-4C60-9606-C64FE86D6387}"/>
    <cellStyle name="Normal 5 3 9 2 2 5" xfId="17522" xr:uid="{77A94664-A220-42CF-AE62-094C4F1F2EB9}"/>
    <cellStyle name="Normal 5 3 9 2 3" xfId="22605" xr:uid="{7705D2AD-585E-4C52-8AFD-47577894DDA6}"/>
    <cellStyle name="Normal 5 3 9 2 4" xfId="31052" xr:uid="{75C85F40-9D19-4B50-AA26-9C0BEB66BFD0}"/>
    <cellStyle name="Normal 5 3 9 2 5" xfId="39499" xr:uid="{FE00541A-73F6-48F0-82DE-FD5A6376CA50}"/>
    <cellStyle name="Normal 5 3 9 2 6" xfId="13305" xr:uid="{71D16B02-106F-462A-9A41-F9668B4574AA}"/>
    <cellStyle name="Normal 5 3 9 3" xfId="6051" xr:uid="{00000000-0005-0000-0000-0000AB1A0000}"/>
    <cellStyle name="Normal 5 3 9 3 2" xfId="24677" xr:uid="{6A9D11DD-BFAC-4F07-8F75-5665BB13D009}"/>
    <cellStyle name="Normal 5 3 9 3 3" xfId="33124" xr:uid="{D9DE4EA5-854E-4EB3-B79D-7D5FC65936AE}"/>
    <cellStyle name="Normal 5 3 9 3 4" xfId="41571" xr:uid="{6E16A4F9-11A8-4858-BAB9-ACAB4738B87D}"/>
    <cellStyle name="Normal 5 3 9 3 5" xfId="15377" xr:uid="{C334509F-E4E8-4972-BDB8-6F6C8CDB9F2D}"/>
    <cellStyle name="Normal 5 3 9 4" xfId="20460" xr:uid="{95A0365F-D972-40D7-8C46-A66C86BFD4C6}"/>
    <cellStyle name="Normal 5 3 9 5" xfId="28907" xr:uid="{7709545B-F02E-4192-9799-A9D79B20E8D3}"/>
    <cellStyle name="Normal 5 3 9 6" xfId="37354" xr:uid="{BC5E9386-A469-4565-B6A5-FA404A983A52}"/>
    <cellStyle name="Normal 5 3 9 7" xfId="11160" xr:uid="{63912721-CD5B-4436-8328-A6F2B102F5F2}"/>
    <cellStyle name="Normal 5 4" xfId="456" xr:uid="{00000000-0005-0000-0000-0000AC1A0000}"/>
    <cellStyle name="Normal 5 4 10" xfId="4828" xr:uid="{00000000-0005-0000-0000-0000AD1A0000}"/>
    <cellStyle name="Normal 5 4 10 2" xfId="23454" xr:uid="{23F2233F-2780-4F2B-8453-AC6080B19BFB}"/>
    <cellStyle name="Normal 5 4 10 3" xfId="31901" xr:uid="{05CD6FDC-068C-40F9-9700-605D8C150D8D}"/>
    <cellStyle name="Normal 5 4 10 4" xfId="40348" xr:uid="{7090972E-7EE8-47E9-9E27-AB1374D3DD54}"/>
    <cellStyle name="Normal 5 4 10 5" xfId="14154" xr:uid="{AC133FDB-8929-4DF8-86A4-289BC4D82FB0}"/>
    <cellStyle name="Normal 5 4 11" xfId="8773" xr:uid="{50472F80-32FD-428C-B078-8DE338D6CA16}"/>
    <cellStyle name="Normal 5 4 11 2" xfId="18097" xr:uid="{9ACF13B8-4A04-458C-A739-C82AE2A01B8F}"/>
    <cellStyle name="Normal 5 4 12" xfId="19237" xr:uid="{080CE140-B10B-42C0-9C43-83E0CAD66732}"/>
    <cellStyle name="Normal 5 4 13" xfId="27684" xr:uid="{FB4B7C1A-1409-47FF-A1A8-F6C5F3799FED}"/>
    <cellStyle name="Normal 5 4 14" xfId="36131" xr:uid="{413CF938-CF47-43A1-B73E-31BA171A9919}"/>
    <cellStyle name="Normal 5 4 15" xfId="9937" xr:uid="{703B23AB-685B-442E-B2B9-0BCE29229E9A}"/>
    <cellStyle name="Normal 5 4 2" xfId="457" xr:uid="{00000000-0005-0000-0000-0000AE1A0000}"/>
    <cellStyle name="Normal 5 4 2 10" xfId="8833" xr:uid="{6EA55230-8E5B-4EF6-B83C-8DF4202F8C31}"/>
    <cellStyle name="Normal 5 4 2 10 2" xfId="18157" xr:uid="{2B749C38-3E39-4210-B267-4C825605529A}"/>
    <cellStyle name="Normal 5 4 2 11" xfId="19238" xr:uid="{E1034B24-866C-4A1E-A636-6774A01B6D06}"/>
    <cellStyle name="Normal 5 4 2 12" xfId="27685" xr:uid="{A8C2D194-7583-460D-9570-114B9616B6CA}"/>
    <cellStyle name="Normal 5 4 2 13" xfId="36132" xr:uid="{F6B99E17-319B-4B36-A63B-E59995D00BB1}"/>
    <cellStyle name="Normal 5 4 2 14" xfId="9938" xr:uid="{A9861C80-84ED-4C70-9014-954FC61AF214}"/>
    <cellStyle name="Normal 5 4 2 2" xfId="458" xr:uid="{00000000-0005-0000-0000-0000AF1A0000}"/>
    <cellStyle name="Normal 5 4 2 2 10" xfId="19239" xr:uid="{AFEB5DDE-77A3-4E5E-8379-F272B0A40A35}"/>
    <cellStyle name="Normal 5 4 2 2 11" xfId="27686" xr:uid="{3FC7DD01-4DB9-4147-9C7A-8AC1E7E8EEF0}"/>
    <cellStyle name="Normal 5 4 2 2 12" xfId="36133" xr:uid="{103DFA48-A4C0-41EF-BEBF-9DA8C3D4DAA9}"/>
    <cellStyle name="Normal 5 4 2 2 13" xfId="9939" xr:uid="{DB788670-A8B0-40FE-9760-DAB7F2AD1770}"/>
    <cellStyle name="Normal 5 4 2 2 2" xfId="459" xr:uid="{00000000-0005-0000-0000-0000B01A0000}"/>
    <cellStyle name="Normal 5 4 2 2 2 10" xfId="27687" xr:uid="{9793CFA4-2C3F-45EE-9D61-65F6AC48FB4C}"/>
    <cellStyle name="Normal 5 4 2 2 2 11" xfId="36134" xr:uid="{70E40277-D172-482D-B5D4-CAB569620514}"/>
    <cellStyle name="Normal 5 4 2 2 2 12" xfId="9940" xr:uid="{1A3A6B3B-A1E0-4AD6-94AF-B5D9DF2BD709}"/>
    <cellStyle name="Normal 5 4 2 2 2 2" xfId="933" xr:uid="{00000000-0005-0000-0000-0000B11A0000}"/>
    <cellStyle name="Normal 5 4 2 2 2 2 2" xfId="3167" xr:uid="{00000000-0005-0000-0000-0000B21A0000}"/>
    <cellStyle name="Normal 5 4 2 2 2 2 2 2" xfId="7389" xr:uid="{00000000-0005-0000-0000-0000B31A0000}"/>
    <cellStyle name="Normal 5 4 2 2 2 2 2 2 2" xfId="26015" xr:uid="{C6E0F87B-AFAD-4F47-8434-CBD4273E96A8}"/>
    <cellStyle name="Normal 5 4 2 2 2 2 2 2 3" xfId="34462" xr:uid="{683F9849-4118-4CEF-BB07-3D2C5B2F721E}"/>
    <cellStyle name="Normal 5 4 2 2 2 2 2 2 4" xfId="42909" xr:uid="{16095ECD-C0E2-4F3E-8E39-6CEF85A1CB6B}"/>
    <cellStyle name="Normal 5 4 2 2 2 2 2 2 5" xfId="16715" xr:uid="{A4D7C366-F3B5-440C-9E7D-D237738C3D07}"/>
    <cellStyle name="Normal 5 4 2 2 2 2 2 3" xfId="21798" xr:uid="{4174BFD5-E8B9-4F3B-A9B4-87AA6A53B4A4}"/>
    <cellStyle name="Normal 5 4 2 2 2 2 2 4" xfId="30245" xr:uid="{B1480960-0039-400F-94FD-08E16F493736}"/>
    <cellStyle name="Normal 5 4 2 2 2 2 2 5" xfId="38692" xr:uid="{B521F5DD-1645-4AA7-A2A0-40A8E9A9B7FA}"/>
    <cellStyle name="Normal 5 4 2 2 2 2 2 6" xfId="12498" xr:uid="{BB2C7673-2367-4AC7-9651-A3E3031104B2}"/>
    <cellStyle name="Normal 5 4 2 2 2 2 3" xfId="5244" xr:uid="{00000000-0005-0000-0000-0000B41A0000}"/>
    <cellStyle name="Normal 5 4 2 2 2 2 3 2" xfId="23870" xr:uid="{5741CFF8-4C58-4429-B3FC-618C43542E02}"/>
    <cellStyle name="Normal 5 4 2 2 2 2 3 3" xfId="32317" xr:uid="{683F1318-A757-433C-8A95-3100FFB109B6}"/>
    <cellStyle name="Normal 5 4 2 2 2 2 3 4" xfId="40764" xr:uid="{FAF7E924-65B8-4F54-B8B0-8EBAA1D40F5F}"/>
    <cellStyle name="Normal 5 4 2 2 2 2 3 5" xfId="14570" xr:uid="{293ED0B4-5E2D-4A6D-8B65-D3EF97524CE5}"/>
    <cellStyle name="Normal 5 4 2 2 2 2 4" xfId="9568" xr:uid="{C9922021-D284-4633-BD4E-F2DB1197482A}"/>
    <cellStyle name="Normal 5 4 2 2 2 2 4 2" xfId="18884" xr:uid="{D01A7EE0-ABCE-4C27-962F-22FBEAF34534}"/>
    <cellStyle name="Normal 5 4 2 2 2 2 5" xfId="19653" xr:uid="{007CA7C3-159C-453C-AABA-51774E7460D5}"/>
    <cellStyle name="Normal 5 4 2 2 2 2 6" xfId="28100" xr:uid="{E8D6909B-AEB5-4559-9139-341E33E57BE6}"/>
    <cellStyle name="Normal 5 4 2 2 2 2 7" xfId="36547" xr:uid="{A5BBE3A2-F814-46D2-A23D-F5DDBB89F41E}"/>
    <cellStyle name="Normal 5 4 2 2 2 2 8" xfId="10353" xr:uid="{1C14DB5D-D2E9-4CFE-86B6-0061DF12FC65}"/>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2 2 2" xfId="26428" xr:uid="{299FC798-21C2-42D2-9BB6-F5497D69A498}"/>
    <cellStyle name="Normal 5 4 2 2 2 3 2 2 3" xfId="34875" xr:uid="{6FDC241B-E718-44D9-807B-3BB933AF6E97}"/>
    <cellStyle name="Normal 5 4 2 2 2 3 2 2 4" xfId="43322" xr:uid="{E041C8D6-6727-4357-92AC-1BCAEB5E9271}"/>
    <cellStyle name="Normal 5 4 2 2 2 3 2 2 5" xfId="17128" xr:uid="{FEE659FA-959D-472F-8FEB-87C6CB4D7411}"/>
    <cellStyle name="Normal 5 4 2 2 2 3 2 3" xfId="22211" xr:uid="{672189B5-63AB-488A-B3A4-906C5A6366B8}"/>
    <cellStyle name="Normal 5 4 2 2 2 3 2 4" xfId="30658" xr:uid="{60F18EC6-1F10-456B-AC77-175592375732}"/>
    <cellStyle name="Normal 5 4 2 2 2 3 2 5" xfId="39105" xr:uid="{394D39E7-3D5E-44A1-9946-CC31B33C6639}"/>
    <cellStyle name="Normal 5 4 2 2 2 3 2 6" xfId="12911" xr:uid="{C237BDB0-1117-4EC3-9E4D-C4129DF6CA8A}"/>
    <cellStyle name="Normal 5 4 2 2 2 3 3" xfId="5657" xr:uid="{00000000-0005-0000-0000-0000B81A0000}"/>
    <cellStyle name="Normal 5 4 2 2 2 3 3 2" xfId="24283" xr:uid="{F35C9627-DCA7-4763-97DC-40B5C12D2DC1}"/>
    <cellStyle name="Normal 5 4 2 2 2 3 3 3" xfId="32730" xr:uid="{CABE3E99-B9AE-4B38-B375-6DF7D52002B5}"/>
    <cellStyle name="Normal 5 4 2 2 2 3 3 4" xfId="41177" xr:uid="{DAD1FC7C-8E79-4D14-BF44-3EEC326DE98E}"/>
    <cellStyle name="Normal 5 4 2 2 2 3 3 5" xfId="14983" xr:uid="{F35E65ED-C8EB-46CA-8F90-EAA2D92D6CD9}"/>
    <cellStyle name="Normal 5 4 2 2 2 3 4" xfId="20066" xr:uid="{CB4EA855-D2F6-4A29-AEEA-3F6E43C7A0AB}"/>
    <cellStyle name="Normal 5 4 2 2 2 3 5" xfId="28513" xr:uid="{2C8ACCCA-9752-40F6-B621-DA5D2A6B1705}"/>
    <cellStyle name="Normal 5 4 2 2 2 3 6" xfId="36960" xr:uid="{7E43C12E-6D6C-42CE-ABD3-6A79D3552565}"/>
    <cellStyle name="Normal 5 4 2 2 2 3 7" xfId="10766" xr:uid="{9FC3062A-CD6B-4E12-A262-B125EBAE8966}"/>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2 2 2" xfId="26841" xr:uid="{F6E7A48C-C5A9-40A9-A1F9-C39A0DDF06C7}"/>
    <cellStyle name="Normal 5 4 2 2 2 4 2 2 3" xfId="35288" xr:uid="{9FB9B4D6-4900-44D9-9506-DEDC61E5911C}"/>
    <cellStyle name="Normal 5 4 2 2 2 4 2 2 4" xfId="43735" xr:uid="{78B7D8C2-72AF-4F80-8BA4-8AAE2C6345A9}"/>
    <cellStyle name="Normal 5 4 2 2 2 4 2 2 5" xfId="17541" xr:uid="{29212388-60E7-401B-9508-A16E7C03AAA6}"/>
    <cellStyle name="Normal 5 4 2 2 2 4 2 3" xfId="22624" xr:uid="{5680384B-B2AC-4874-B92C-286428219A7F}"/>
    <cellStyle name="Normal 5 4 2 2 2 4 2 4" xfId="31071" xr:uid="{C76DC290-3882-4A6F-8FD4-7924093E32D8}"/>
    <cellStyle name="Normal 5 4 2 2 2 4 2 5" xfId="39518" xr:uid="{F03A27D6-55B5-4026-9621-FC86482DE9C0}"/>
    <cellStyle name="Normal 5 4 2 2 2 4 2 6" xfId="13324" xr:uid="{9A1375F8-5D7B-4C14-9C11-B149B5D33977}"/>
    <cellStyle name="Normal 5 4 2 2 2 4 3" xfId="6070" xr:uid="{00000000-0005-0000-0000-0000BC1A0000}"/>
    <cellStyle name="Normal 5 4 2 2 2 4 3 2" xfId="24696" xr:uid="{B0CE8FFC-AAD8-418D-B3B1-B8537BDAC702}"/>
    <cellStyle name="Normal 5 4 2 2 2 4 3 3" xfId="33143" xr:uid="{F83EA901-87BC-45B5-905A-45779ECC70DC}"/>
    <cellStyle name="Normal 5 4 2 2 2 4 3 4" xfId="41590" xr:uid="{3B3BF5F2-E1DB-4143-AA34-B49A65CD60AD}"/>
    <cellStyle name="Normal 5 4 2 2 2 4 3 5" xfId="15396" xr:uid="{71A4E027-65DB-41D0-B7A5-42C2206716A8}"/>
    <cellStyle name="Normal 5 4 2 2 2 4 4" xfId="20479" xr:uid="{6D518DD6-E699-4FBB-9AEE-A60271491DB8}"/>
    <cellStyle name="Normal 5 4 2 2 2 4 5" xfId="28926" xr:uid="{94E6F33D-0BF5-449B-94B1-7EDB013C5418}"/>
    <cellStyle name="Normal 5 4 2 2 2 4 6" xfId="37373" xr:uid="{F78C2872-0A3F-4978-B36A-5107FA7A7DBF}"/>
    <cellStyle name="Normal 5 4 2 2 2 4 7" xfId="11179" xr:uid="{EB2173C7-F6FA-4376-8192-3CF390120E8A}"/>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2 2 2" xfId="27254" xr:uid="{AFD41707-FC20-4CA8-AADC-3E8995F65CDB}"/>
    <cellStyle name="Normal 5 4 2 2 2 5 2 2 3" xfId="35701" xr:uid="{0CF29366-E5B4-4F1B-A933-822BEF9D3B11}"/>
    <cellStyle name="Normal 5 4 2 2 2 5 2 2 4" xfId="44148" xr:uid="{F62E011D-39FD-4BAD-B260-F2E0A4452653}"/>
    <cellStyle name="Normal 5 4 2 2 2 5 2 2 5" xfId="17954" xr:uid="{475B46B6-56C1-491B-A1DD-BB4A139FD883}"/>
    <cellStyle name="Normal 5 4 2 2 2 5 2 3" xfId="23037" xr:uid="{1D9203EF-750B-44D3-A9B1-B1749FDBD732}"/>
    <cellStyle name="Normal 5 4 2 2 2 5 2 4" xfId="31484" xr:uid="{ED7AC609-EE02-42FA-A826-0C15E5169820}"/>
    <cellStyle name="Normal 5 4 2 2 2 5 2 5" xfId="39931" xr:uid="{458C3522-88D8-47CF-8C97-1298BA56C83D}"/>
    <cellStyle name="Normal 5 4 2 2 2 5 2 6" xfId="13737" xr:uid="{6FEADDEB-0F98-412B-8715-2D5C7A2599A7}"/>
    <cellStyle name="Normal 5 4 2 2 2 5 3" xfId="6483" xr:uid="{00000000-0005-0000-0000-0000C01A0000}"/>
    <cellStyle name="Normal 5 4 2 2 2 5 3 2" xfId="25109" xr:uid="{0BD27F2A-3E3A-4C81-B441-5A866856E7D9}"/>
    <cellStyle name="Normal 5 4 2 2 2 5 3 3" xfId="33556" xr:uid="{CBD09B51-4F06-42B0-9599-7913356D8B9B}"/>
    <cellStyle name="Normal 5 4 2 2 2 5 3 4" xfId="42003" xr:uid="{869E15DF-7AAE-4125-9EDC-CAD3E8CB8E4A}"/>
    <cellStyle name="Normal 5 4 2 2 2 5 3 5" xfId="15809" xr:uid="{16FB77C9-7246-4029-8D0B-A4CAFA47F766}"/>
    <cellStyle name="Normal 5 4 2 2 2 5 4" xfId="20892" xr:uid="{4CEBA15F-7AF0-485C-B555-655434BCE24B}"/>
    <cellStyle name="Normal 5 4 2 2 2 5 5" xfId="29339" xr:uid="{E513B99F-4C44-4FCA-AE26-452F08757B5A}"/>
    <cellStyle name="Normal 5 4 2 2 2 5 6" xfId="37786" xr:uid="{12AC3F72-91AF-4BF5-9D71-A433236C128B}"/>
    <cellStyle name="Normal 5 4 2 2 2 5 7" xfId="11592" xr:uid="{7D7020C7-B859-4876-B090-61FB7EC7D273}"/>
    <cellStyle name="Normal 5 4 2 2 2 6" xfId="2613" xr:uid="{00000000-0005-0000-0000-0000C11A0000}"/>
    <cellStyle name="Normal 5 4 2 2 2 6 2" xfId="6896" xr:uid="{00000000-0005-0000-0000-0000C21A0000}"/>
    <cellStyle name="Normal 5 4 2 2 2 6 2 2" xfId="25522" xr:uid="{50BF4F0B-B334-4524-B093-A17E594E91F1}"/>
    <cellStyle name="Normal 5 4 2 2 2 6 2 3" xfId="33969" xr:uid="{727C1ECD-83E0-41D9-8161-9B51FC595677}"/>
    <cellStyle name="Normal 5 4 2 2 2 6 2 4" xfId="42416" xr:uid="{764D2A66-D8DF-45B5-A09F-4E74456621F7}"/>
    <cellStyle name="Normal 5 4 2 2 2 6 2 5" xfId="16222" xr:uid="{8109DA7C-1993-4194-AA77-A76BF88CFCEA}"/>
    <cellStyle name="Normal 5 4 2 2 2 6 3" xfId="21305" xr:uid="{09D3F42F-9E4C-44B8-A850-7FD67A015E4D}"/>
    <cellStyle name="Normal 5 4 2 2 2 6 4" xfId="29752" xr:uid="{594F71E8-E221-4F93-9C4C-CA4A22228342}"/>
    <cellStyle name="Normal 5 4 2 2 2 6 5" xfId="38199" xr:uid="{9D7B3F3C-7797-48A6-9FDA-4786EB988593}"/>
    <cellStyle name="Normal 5 4 2 2 2 6 6" xfId="12005" xr:uid="{21A47EB8-07C2-40F3-BC06-D3E7673A9D2B}"/>
    <cellStyle name="Normal 5 4 2 2 2 7" xfId="4831" xr:uid="{00000000-0005-0000-0000-0000C31A0000}"/>
    <cellStyle name="Normal 5 4 2 2 2 7 2" xfId="23457" xr:uid="{53224E09-471D-41FD-A6C5-2C8945C44EBB}"/>
    <cellStyle name="Normal 5 4 2 2 2 7 3" xfId="31904" xr:uid="{1EC98786-5F93-48F5-9B4D-D32F7D3F6683}"/>
    <cellStyle name="Normal 5 4 2 2 2 7 4" xfId="40351" xr:uid="{8AA63AC1-C6A3-4EA8-84D8-795AF53158B3}"/>
    <cellStyle name="Normal 5 4 2 2 2 7 5" xfId="14157" xr:uid="{949F0219-6439-4A1F-83C2-7BDD6EF8F407}"/>
    <cellStyle name="Normal 5 4 2 2 2 8" xfId="9143" xr:uid="{C8F15FA9-FDFE-4358-95A8-17B14299B14C}"/>
    <cellStyle name="Normal 5 4 2 2 2 8 2" xfId="18467" xr:uid="{BC9333ED-492F-439E-AD19-42DA08A81E5A}"/>
    <cellStyle name="Normal 5 4 2 2 2 9" xfId="19240" xr:uid="{1C44C13D-AFD3-4DC8-9052-B11A1F55D68F}"/>
    <cellStyle name="Normal 5 4 2 2 3" xfId="932" xr:uid="{00000000-0005-0000-0000-0000C41A0000}"/>
    <cellStyle name="Normal 5 4 2 2 3 2" xfId="3166" xr:uid="{00000000-0005-0000-0000-0000C51A0000}"/>
    <cellStyle name="Normal 5 4 2 2 3 2 2" xfId="7388" xr:uid="{00000000-0005-0000-0000-0000C61A0000}"/>
    <cellStyle name="Normal 5 4 2 2 3 2 2 2" xfId="26014" xr:uid="{E6EB491C-C710-4C6A-AF6D-D9191490C896}"/>
    <cellStyle name="Normal 5 4 2 2 3 2 2 3" xfId="34461" xr:uid="{93545C02-8CEB-4687-A91F-14242C9F3769}"/>
    <cellStyle name="Normal 5 4 2 2 3 2 2 4" xfId="42908" xr:uid="{114697CB-BAFA-4A48-82D1-95E38F7191CF}"/>
    <cellStyle name="Normal 5 4 2 2 3 2 2 5" xfId="16714" xr:uid="{2CE22204-D7AD-45C4-86F1-63F20A7FD37B}"/>
    <cellStyle name="Normal 5 4 2 2 3 2 3" xfId="21797" xr:uid="{01B6B019-30E4-4D3A-8B22-F9702DC3EBBC}"/>
    <cellStyle name="Normal 5 4 2 2 3 2 4" xfId="30244" xr:uid="{F7285430-E6C1-4D5B-9D65-C2B9C1FCA5FC}"/>
    <cellStyle name="Normal 5 4 2 2 3 2 5" xfId="38691" xr:uid="{148D3DFB-CA72-43EB-AABD-DAE5288F0420}"/>
    <cellStyle name="Normal 5 4 2 2 3 2 6" xfId="12497" xr:uid="{B566F63B-A9D0-4D78-B01D-2C451E9E5A61}"/>
    <cellStyle name="Normal 5 4 2 2 3 3" xfId="5243" xr:uid="{00000000-0005-0000-0000-0000C71A0000}"/>
    <cellStyle name="Normal 5 4 2 2 3 3 2" xfId="23869" xr:uid="{C022A4F9-7548-4739-B383-2B0431675F29}"/>
    <cellStyle name="Normal 5 4 2 2 3 3 3" xfId="32316" xr:uid="{02144698-5867-4634-A300-6A4532141F07}"/>
    <cellStyle name="Normal 5 4 2 2 3 3 4" xfId="40763" xr:uid="{622847FD-5297-447B-9CEB-1CF1F289910D}"/>
    <cellStyle name="Normal 5 4 2 2 3 3 5" xfId="14569" xr:uid="{A3208633-054A-4834-81B1-F65603F4C0D1}"/>
    <cellStyle name="Normal 5 4 2 2 3 4" xfId="9361" xr:uid="{421F0FC8-8E8F-498F-BD31-B00CB58D5B43}"/>
    <cellStyle name="Normal 5 4 2 2 3 4 2" xfId="18677" xr:uid="{AE9FD931-6FF0-4907-89A5-FA2BCC96CC20}"/>
    <cellStyle name="Normal 5 4 2 2 3 5" xfId="19652" xr:uid="{7E2B80F9-5F56-4847-A0A8-F56CE21B4F3F}"/>
    <cellStyle name="Normal 5 4 2 2 3 6" xfId="28099" xr:uid="{CDBC63D5-8CB6-49F9-BFD7-75329695156F}"/>
    <cellStyle name="Normal 5 4 2 2 3 7" xfId="36546" xr:uid="{5209FC3B-1FD0-48AE-A6C3-A5BC3C3F012D}"/>
    <cellStyle name="Normal 5 4 2 2 3 8" xfId="10352" xr:uid="{9C52E60A-11A8-4523-89D9-FEFE4831CDD3}"/>
    <cellStyle name="Normal 5 4 2 2 4" xfId="1349" xr:uid="{00000000-0005-0000-0000-0000C81A0000}"/>
    <cellStyle name="Normal 5 4 2 2 4 2" xfId="3579" xr:uid="{00000000-0005-0000-0000-0000C91A0000}"/>
    <cellStyle name="Normal 5 4 2 2 4 2 2" xfId="7801" xr:uid="{00000000-0005-0000-0000-0000CA1A0000}"/>
    <cellStyle name="Normal 5 4 2 2 4 2 2 2" xfId="26427" xr:uid="{7074325A-BC3F-494D-BF59-820CB88E9729}"/>
    <cellStyle name="Normal 5 4 2 2 4 2 2 3" xfId="34874" xr:uid="{E2614810-C4B2-4534-81B4-EA2D25E0427E}"/>
    <cellStyle name="Normal 5 4 2 2 4 2 2 4" xfId="43321" xr:uid="{3FFBB8C4-D947-4D6C-843B-BE43C7B86968}"/>
    <cellStyle name="Normal 5 4 2 2 4 2 2 5" xfId="17127" xr:uid="{0E8525F5-B576-4182-A5DB-70EEF3B5E242}"/>
    <cellStyle name="Normal 5 4 2 2 4 2 3" xfId="22210" xr:uid="{D2C6040E-F46F-40C3-A327-A5593CD47D59}"/>
    <cellStyle name="Normal 5 4 2 2 4 2 4" xfId="30657" xr:uid="{BAF0E585-0EF4-4661-A283-E00CAE9A9282}"/>
    <cellStyle name="Normal 5 4 2 2 4 2 5" xfId="39104" xr:uid="{547A0A3A-5A0D-4D62-AC7F-D5B1B0269B49}"/>
    <cellStyle name="Normal 5 4 2 2 4 2 6" xfId="12910" xr:uid="{08FD0A63-B726-4F35-ABFB-2E9B353419F8}"/>
    <cellStyle name="Normal 5 4 2 2 4 3" xfId="5656" xr:uid="{00000000-0005-0000-0000-0000CB1A0000}"/>
    <cellStyle name="Normal 5 4 2 2 4 3 2" xfId="24282" xr:uid="{736621B4-EA42-4C39-AE1C-A0B6FAB49603}"/>
    <cellStyle name="Normal 5 4 2 2 4 3 3" xfId="32729" xr:uid="{20CDC2F9-05E8-41E9-BF74-3CD2163E6962}"/>
    <cellStyle name="Normal 5 4 2 2 4 3 4" xfId="41176" xr:uid="{C437131C-69E1-471A-A06F-7781AF574294}"/>
    <cellStyle name="Normal 5 4 2 2 4 3 5" xfId="14982" xr:uid="{E9374446-C45A-45D7-A7C4-20F490B8C2E6}"/>
    <cellStyle name="Normal 5 4 2 2 4 4" xfId="20065" xr:uid="{49051E8E-B4E2-470E-8765-06D0E9DC2E15}"/>
    <cellStyle name="Normal 5 4 2 2 4 5" xfId="28512" xr:uid="{7690F247-8694-43FB-B59B-4D7D8873F886}"/>
    <cellStyle name="Normal 5 4 2 2 4 6" xfId="36959" xr:uid="{FEF91BC0-476B-4912-A22A-1E9302F03696}"/>
    <cellStyle name="Normal 5 4 2 2 4 7" xfId="10765" xr:uid="{60257E49-CB2B-4EA3-80B0-C7F8E2A29D86}"/>
    <cellStyle name="Normal 5 4 2 2 5" xfId="1762" xr:uid="{00000000-0005-0000-0000-0000CC1A0000}"/>
    <cellStyle name="Normal 5 4 2 2 5 2" xfId="3992" xr:uid="{00000000-0005-0000-0000-0000CD1A0000}"/>
    <cellStyle name="Normal 5 4 2 2 5 2 2" xfId="8214" xr:uid="{00000000-0005-0000-0000-0000CE1A0000}"/>
    <cellStyle name="Normal 5 4 2 2 5 2 2 2" xfId="26840" xr:uid="{EE702514-AB3A-48FE-8756-D08292CE9AF9}"/>
    <cellStyle name="Normal 5 4 2 2 5 2 2 3" xfId="35287" xr:uid="{0784CA8C-0DA8-4BC3-8824-F98205A03992}"/>
    <cellStyle name="Normal 5 4 2 2 5 2 2 4" xfId="43734" xr:uid="{44A830DD-0883-4F1E-8FFD-0F6C7BABC844}"/>
    <cellStyle name="Normal 5 4 2 2 5 2 2 5" xfId="17540" xr:uid="{AC8357B8-B340-41B7-A298-8C5AA1396E1F}"/>
    <cellStyle name="Normal 5 4 2 2 5 2 3" xfId="22623" xr:uid="{B0DF1E7E-223A-40B6-954A-1F5F4803F9F5}"/>
    <cellStyle name="Normal 5 4 2 2 5 2 4" xfId="31070" xr:uid="{C4BF5D7D-0828-4684-A484-1B0A4722C938}"/>
    <cellStyle name="Normal 5 4 2 2 5 2 5" xfId="39517" xr:uid="{4B9DB51E-3A99-4505-94E6-5E5298826EBF}"/>
    <cellStyle name="Normal 5 4 2 2 5 2 6" xfId="13323" xr:uid="{C8F29689-AEAF-48AA-8F06-F1338E07CD55}"/>
    <cellStyle name="Normal 5 4 2 2 5 3" xfId="6069" xr:uid="{00000000-0005-0000-0000-0000CF1A0000}"/>
    <cellStyle name="Normal 5 4 2 2 5 3 2" xfId="24695" xr:uid="{D0EB45C2-BDD2-4D72-8C52-4BFA4AFB2CB3}"/>
    <cellStyle name="Normal 5 4 2 2 5 3 3" xfId="33142" xr:uid="{8BDEC4DD-84CA-4304-B6D2-8B2050E9656C}"/>
    <cellStyle name="Normal 5 4 2 2 5 3 4" xfId="41589" xr:uid="{4CEE7A7D-4FB5-4FF1-A1E1-8C0DBA3A20A5}"/>
    <cellStyle name="Normal 5 4 2 2 5 3 5" xfId="15395" xr:uid="{64737703-DA66-4017-96F3-955D19947A08}"/>
    <cellStyle name="Normal 5 4 2 2 5 4" xfId="20478" xr:uid="{62D79495-64CE-4158-A95A-46757C6125B9}"/>
    <cellStyle name="Normal 5 4 2 2 5 5" xfId="28925" xr:uid="{8B4F256F-4BFA-4ABD-A2A7-3435DA849A77}"/>
    <cellStyle name="Normal 5 4 2 2 5 6" xfId="37372" xr:uid="{92DE18EE-1B9C-4954-8B5F-D73FB6922FAA}"/>
    <cellStyle name="Normal 5 4 2 2 5 7" xfId="11178" xr:uid="{078F9BCE-7899-43F1-8EE5-12C53A8F5966}"/>
    <cellStyle name="Normal 5 4 2 2 6" xfId="2176" xr:uid="{00000000-0005-0000-0000-0000D01A0000}"/>
    <cellStyle name="Normal 5 4 2 2 6 2" xfId="4405" xr:uid="{00000000-0005-0000-0000-0000D11A0000}"/>
    <cellStyle name="Normal 5 4 2 2 6 2 2" xfId="8627" xr:uid="{00000000-0005-0000-0000-0000D21A0000}"/>
    <cellStyle name="Normal 5 4 2 2 6 2 2 2" xfId="27253" xr:uid="{A346C806-21B8-41D3-AE20-90E1B37AE4E1}"/>
    <cellStyle name="Normal 5 4 2 2 6 2 2 3" xfId="35700" xr:uid="{E490EF74-2A31-4A1E-B702-25D01FD82F4A}"/>
    <cellStyle name="Normal 5 4 2 2 6 2 2 4" xfId="44147" xr:uid="{BC60A581-980F-4A35-BF8D-3C0DE32B5A19}"/>
    <cellStyle name="Normal 5 4 2 2 6 2 2 5" xfId="17953" xr:uid="{A5053831-4E6C-4779-B901-015725503A97}"/>
    <cellStyle name="Normal 5 4 2 2 6 2 3" xfId="23036" xr:uid="{56D8515D-3BFB-4D13-B89B-701EB3F4829F}"/>
    <cellStyle name="Normal 5 4 2 2 6 2 4" xfId="31483" xr:uid="{C8D5963D-4CF0-406E-90E2-3141B8B5B559}"/>
    <cellStyle name="Normal 5 4 2 2 6 2 5" xfId="39930" xr:uid="{FB1FAE8A-66A7-429E-AB60-50296018C5BC}"/>
    <cellStyle name="Normal 5 4 2 2 6 2 6" xfId="13736" xr:uid="{82332AD9-F1B0-4E85-8F88-D6FA95AA45DB}"/>
    <cellStyle name="Normal 5 4 2 2 6 3" xfId="6482" xr:uid="{00000000-0005-0000-0000-0000D31A0000}"/>
    <cellStyle name="Normal 5 4 2 2 6 3 2" xfId="25108" xr:uid="{586906B4-1AFD-4EF5-92D3-7DB48BD380F9}"/>
    <cellStyle name="Normal 5 4 2 2 6 3 3" xfId="33555" xr:uid="{2FF286B0-98E6-485E-8E05-EA461D133DFA}"/>
    <cellStyle name="Normal 5 4 2 2 6 3 4" xfId="42002" xr:uid="{4EC7A6D1-9DE3-4A84-BBFF-7E578F00CA50}"/>
    <cellStyle name="Normal 5 4 2 2 6 3 5" xfId="15808" xr:uid="{429B3C7D-BC47-4973-92CE-E2D0C9F4736A}"/>
    <cellStyle name="Normal 5 4 2 2 6 4" xfId="20891" xr:uid="{84BC3851-2868-4081-97AA-787581C5E592}"/>
    <cellStyle name="Normal 5 4 2 2 6 5" xfId="29338" xr:uid="{503E7C5B-8CF5-476A-9693-915565CBDA9B}"/>
    <cellStyle name="Normal 5 4 2 2 6 6" xfId="37785" xr:uid="{DB69F6B2-8A05-4DA5-86DF-59BB4A2D252F}"/>
    <cellStyle name="Normal 5 4 2 2 6 7" xfId="11591" xr:uid="{5740FC0E-6BB1-43F2-B5C0-B4E135C2D573}"/>
    <cellStyle name="Normal 5 4 2 2 7" xfId="2612" xr:uid="{00000000-0005-0000-0000-0000D41A0000}"/>
    <cellStyle name="Normal 5 4 2 2 7 2" xfId="6895" xr:uid="{00000000-0005-0000-0000-0000D51A0000}"/>
    <cellStyle name="Normal 5 4 2 2 7 2 2" xfId="25521" xr:uid="{33FA5FF9-35B4-40EC-A080-B265CDC0DA5D}"/>
    <cellStyle name="Normal 5 4 2 2 7 2 3" xfId="33968" xr:uid="{D6872753-D7AE-40D9-AE34-3CF6F97A5F4F}"/>
    <cellStyle name="Normal 5 4 2 2 7 2 4" xfId="42415" xr:uid="{EDAAAA35-00DE-42F0-BE13-F0A693EB8549}"/>
    <cellStyle name="Normal 5 4 2 2 7 2 5" xfId="16221" xr:uid="{D7EA338D-F75B-4EB8-BBCE-3F728F5AAEC9}"/>
    <cellStyle name="Normal 5 4 2 2 7 3" xfId="21304" xr:uid="{F3F07807-4015-4B8E-92EE-9CEB58E46737}"/>
    <cellStyle name="Normal 5 4 2 2 7 4" xfId="29751" xr:uid="{D5614514-A6CA-4FA0-85C2-F26FAE801CC4}"/>
    <cellStyle name="Normal 5 4 2 2 7 5" xfId="38198" xr:uid="{776A0D35-6433-4A6E-9C64-59023D85AF47}"/>
    <cellStyle name="Normal 5 4 2 2 7 6" xfId="12004" xr:uid="{B3430F55-D7BD-4BB4-A9B2-A54C8DB0420A}"/>
    <cellStyle name="Normal 5 4 2 2 8" xfId="4830" xr:uid="{00000000-0005-0000-0000-0000D61A0000}"/>
    <cellStyle name="Normal 5 4 2 2 8 2" xfId="23456" xr:uid="{1B3DB208-04B4-4E5E-9C76-F220E683D2C0}"/>
    <cellStyle name="Normal 5 4 2 2 8 3" xfId="31903" xr:uid="{6701C7A4-1785-45FE-8A3C-A6149F621156}"/>
    <cellStyle name="Normal 5 4 2 2 8 4" xfId="40350" xr:uid="{FBC781F7-2FEF-413F-9ABF-19F935FF5060}"/>
    <cellStyle name="Normal 5 4 2 2 8 5" xfId="14156" xr:uid="{2745E1CE-7E89-4E22-A231-1B0582B8A00A}"/>
    <cellStyle name="Normal 5 4 2 2 9" xfId="8936" xr:uid="{31CF7A09-919D-40D2-B5FD-098CEA44D314}"/>
    <cellStyle name="Normal 5 4 2 2 9 2" xfId="18260" xr:uid="{E9CF3D8B-7C51-48B0-9A49-EEC231D1C562}"/>
    <cellStyle name="Normal 5 4 2 3" xfId="460" xr:uid="{00000000-0005-0000-0000-0000D71A0000}"/>
    <cellStyle name="Normal 5 4 2 3 10" xfId="27688" xr:uid="{5A9EFAD7-F538-4D36-ACC9-73D51D0113B2}"/>
    <cellStyle name="Normal 5 4 2 3 11" xfId="36135" xr:uid="{780E8059-D2AF-47C2-86D9-83F7D1F2B5C4}"/>
    <cellStyle name="Normal 5 4 2 3 12" xfId="9941" xr:uid="{EF249D77-2FA7-4D9F-8304-55C7AA3A871B}"/>
    <cellStyle name="Normal 5 4 2 3 2" xfId="934" xr:uid="{00000000-0005-0000-0000-0000D81A0000}"/>
    <cellStyle name="Normal 5 4 2 3 2 2" xfId="3168" xr:uid="{00000000-0005-0000-0000-0000D91A0000}"/>
    <cellStyle name="Normal 5 4 2 3 2 2 2" xfId="7390" xr:uid="{00000000-0005-0000-0000-0000DA1A0000}"/>
    <cellStyle name="Normal 5 4 2 3 2 2 2 2" xfId="26016" xr:uid="{F07222CC-AEB9-46DC-B6D7-90861F8A013F}"/>
    <cellStyle name="Normal 5 4 2 3 2 2 2 3" xfId="34463" xr:uid="{EDC0BCF9-F764-47F3-8101-389C43EC1231}"/>
    <cellStyle name="Normal 5 4 2 3 2 2 2 4" xfId="42910" xr:uid="{06F64B49-3E00-4630-A051-184F08CEA515}"/>
    <cellStyle name="Normal 5 4 2 3 2 2 2 5" xfId="16716" xr:uid="{511F6361-3104-4BA1-A824-88665131D98C}"/>
    <cellStyle name="Normal 5 4 2 3 2 2 3" xfId="21799" xr:uid="{B5943682-DC4D-4D5D-A1FC-2F35EDD948CE}"/>
    <cellStyle name="Normal 5 4 2 3 2 2 4" xfId="30246" xr:uid="{29F694C8-11A1-4BC1-9562-2C725D4F653B}"/>
    <cellStyle name="Normal 5 4 2 3 2 2 5" xfId="38693" xr:uid="{CB5A8D4F-8186-47F0-B7DF-062C6830EEB1}"/>
    <cellStyle name="Normal 5 4 2 3 2 2 6" xfId="12499" xr:uid="{13BE7707-E80A-4CB9-889F-6DA1056D4BF8}"/>
    <cellStyle name="Normal 5 4 2 3 2 3" xfId="5245" xr:uid="{00000000-0005-0000-0000-0000DB1A0000}"/>
    <cellStyle name="Normal 5 4 2 3 2 3 2" xfId="23871" xr:uid="{ACCD2B4E-18CC-4109-BB91-E815D7CAE7DA}"/>
    <cellStyle name="Normal 5 4 2 3 2 3 3" xfId="32318" xr:uid="{77D4163B-66B3-4B28-993C-434D58030CBA}"/>
    <cellStyle name="Normal 5 4 2 3 2 3 4" xfId="40765" xr:uid="{653F3ACD-7C2F-43BE-8143-6A43759A811F}"/>
    <cellStyle name="Normal 5 4 2 3 2 3 5" xfId="14571" xr:uid="{C6E3447B-602F-448D-A577-E86AE2A2C20E}"/>
    <cellStyle name="Normal 5 4 2 3 2 4" xfId="9465" xr:uid="{B8459C73-266B-467B-A163-FFDFF015A460}"/>
    <cellStyle name="Normal 5 4 2 3 2 4 2" xfId="18781" xr:uid="{D62C2643-3DDB-439C-B9F0-E7B03B29B6C8}"/>
    <cellStyle name="Normal 5 4 2 3 2 5" xfId="19654" xr:uid="{D2BD2FFF-E667-4CF3-9897-4781BF1C1E02}"/>
    <cellStyle name="Normal 5 4 2 3 2 6" xfId="28101" xr:uid="{E351DFF0-DA4C-428D-AFFE-C164709D91B2}"/>
    <cellStyle name="Normal 5 4 2 3 2 7" xfId="36548" xr:uid="{1E76CD59-A374-41EF-B365-6C79817858A1}"/>
    <cellStyle name="Normal 5 4 2 3 2 8" xfId="10354" xr:uid="{72F7634F-6016-48AF-88BF-BD36CB07BDB2}"/>
    <cellStyle name="Normal 5 4 2 3 3" xfId="1351" xr:uid="{00000000-0005-0000-0000-0000DC1A0000}"/>
    <cellStyle name="Normal 5 4 2 3 3 2" xfId="3581" xr:uid="{00000000-0005-0000-0000-0000DD1A0000}"/>
    <cellStyle name="Normal 5 4 2 3 3 2 2" xfId="7803" xr:uid="{00000000-0005-0000-0000-0000DE1A0000}"/>
    <cellStyle name="Normal 5 4 2 3 3 2 2 2" xfId="26429" xr:uid="{4F68C042-607B-4368-BA5B-9E7B58642294}"/>
    <cellStyle name="Normal 5 4 2 3 3 2 2 3" xfId="34876" xr:uid="{6C4A8AC4-71BD-4C6D-91C9-4818EDEF6BEA}"/>
    <cellStyle name="Normal 5 4 2 3 3 2 2 4" xfId="43323" xr:uid="{7326D006-BD21-47F2-8D0A-1F1F7A9DC4F5}"/>
    <cellStyle name="Normal 5 4 2 3 3 2 2 5" xfId="17129" xr:uid="{2CB5E704-FEA4-454B-9D15-7FD1110F1AAE}"/>
    <cellStyle name="Normal 5 4 2 3 3 2 3" xfId="22212" xr:uid="{C3C9C0BE-93A8-42D2-B055-5EDA4E60312C}"/>
    <cellStyle name="Normal 5 4 2 3 3 2 4" xfId="30659" xr:uid="{0D9301B5-035F-4C8B-9B92-34CD1663E73B}"/>
    <cellStyle name="Normal 5 4 2 3 3 2 5" xfId="39106" xr:uid="{C7F27F6D-746C-4C78-BE60-CCD2EBDB57D5}"/>
    <cellStyle name="Normal 5 4 2 3 3 2 6" xfId="12912" xr:uid="{ED6A41A2-400F-4A2A-8553-BE192D126259}"/>
    <cellStyle name="Normal 5 4 2 3 3 3" xfId="5658" xr:uid="{00000000-0005-0000-0000-0000DF1A0000}"/>
    <cellStyle name="Normal 5 4 2 3 3 3 2" xfId="24284" xr:uid="{14BF0E2C-4EBF-4425-84C3-45ABF5F9BC2D}"/>
    <cellStyle name="Normal 5 4 2 3 3 3 3" xfId="32731" xr:uid="{A8697845-C6CB-4E50-B342-B4A0F5C84127}"/>
    <cellStyle name="Normal 5 4 2 3 3 3 4" xfId="41178" xr:uid="{E37C9F6D-8779-49D8-95DE-16140ECAABF9}"/>
    <cellStyle name="Normal 5 4 2 3 3 3 5" xfId="14984" xr:uid="{AE0CD8E2-0E94-44B3-A1E0-817217B8601D}"/>
    <cellStyle name="Normal 5 4 2 3 3 4" xfId="20067" xr:uid="{1FFF62F5-BB6B-4A99-8B04-A9A4AB4BDFD3}"/>
    <cellStyle name="Normal 5 4 2 3 3 5" xfId="28514" xr:uid="{B6F1EC99-DAE7-432B-B1EE-3837CF609145}"/>
    <cellStyle name="Normal 5 4 2 3 3 6" xfId="36961" xr:uid="{ED59F16A-5604-4AD2-B5DC-791B44295BC8}"/>
    <cellStyle name="Normal 5 4 2 3 3 7" xfId="10767" xr:uid="{F1FB98C3-4052-43BA-9C77-1AA331D1EEB8}"/>
    <cellStyle name="Normal 5 4 2 3 4" xfId="1764" xr:uid="{00000000-0005-0000-0000-0000E01A0000}"/>
    <cellStyle name="Normal 5 4 2 3 4 2" xfId="3994" xr:uid="{00000000-0005-0000-0000-0000E11A0000}"/>
    <cellStyle name="Normal 5 4 2 3 4 2 2" xfId="8216" xr:uid="{00000000-0005-0000-0000-0000E21A0000}"/>
    <cellStyle name="Normal 5 4 2 3 4 2 2 2" xfId="26842" xr:uid="{575A75AD-CC21-460B-B974-F328ACF48F19}"/>
    <cellStyle name="Normal 5 4 2 3 4 2 2 3" xfId="35289" xr:uid="{B1783676-0306-461C-A822-636D56E3748A}"/>
    <cellStyle name="Normal 5 4 2 3 4 2 2 4" xfId="43736" xr:uid="{50FADB37-AEC4-4E7A-ACA2-B14205C73005}"/>
    <cellStyle name="Normal 5 4 2 3 4 2 2 5" xfId="17542" xr:uid="{B8A57CE3-E599-488A-8376-B6FC6659FE71}"/>
    <cellStyle name="Normal 5 4 2 3 4 2 3" xfId="22625" xr:uid="{7EC89EC6-4F81-46DB-9AD4-435FAD18E405}"/>
    <cellStyle name="Normal 5 4 2 3 4 2 4" xfId="31072" xr:uid="{CF62DEC7-7876-4182-A7CF-76DC9D897F50}"/>
    <cellStyle name="Normal 5 4 2 3 4 2 5" xfId="39519" xr:uid="{C7554EC6-C06F-4048-862D-E2E7D89547EA}"/>
    <cellStyle name="Normal 5 4 2 3 4 2 6" xfId="13325" xr:uid="{08550D90-E389-4C60-A511-492D702C2CBD}"/>
    <cellStyle name="Normal 5 4 2 3 4 3" xfId="6071" xr:uid="{00000000-0005-0000-0000-0000E31A0000}"/>
    <cellStyle name="Normal 5 4 2 3 4 3 2" xfId="24697" xr:uid="{C29B62A6-4CAA-4900-82CF-13281B3F7DC0}"/>
    <cellStyle name="Normal 5 4 2 3 4 3 3" xfId="33144" xr:uid="{9D26F284-1C28-4F38-AB78-C76E6DE187C9}"/>
    <cellStyle name="Normal 5 4 2 3 4 3 4" xfId="41591" xr:uid="{70F1973E-FDF9-4E7F-A51E-32AEE4CAE2E3}"/>
    <cellStyle name="Normal 5 4 2 3 4 3 5" xfId="15397" xr:uid="{E1780D30-B680-40B7-943F-56C2E69502B4}"/>
    <cellStyle name="Normal 5 4 2 3 4 4" xfId="20480" xr:uid="{A0EF4AD2-E84D-4AED-A61F-4EE3CB122FA1}"/>
    <cellStyle name="Normal 5 4 2 3 4 5" xfId="28927" xr:uid="{9C51D38E-9DBB-4ABB-8D18-66DB62EA097F}"/>
    <cellStyle name="Normal 5 4 2 3 4 6" xfId="37374" xr:uid="{2792399F-3F05-4729-BC37-BCBB2771B2B9}"/>
    <cellStyle name="Normal 5 4 2 3 4 7" xfId="11180" xr:uid="{6B4F0C1E-0E2E-4AD7-98AE-627E6FB5FFE9}"/>
    <cellStyle name="Normal 5 4 2 3 5" xfId="2178" xr:uid="{00000000-0005-0000-0000-0000E41A0000}"/>
    <cellStyle name="Normal 5 4 2 3 5 2" xfId="4407" xr:uid="{00000000-0005-0000-0000-0000E51A0000}"/>
    <cellStyle name="Normal 5 4 2 3 5 2 2" xfId="8629" xr:uid="{00000000-0005-0000-0000-0000E61A0000}"/>
    <cellStyle name="Normal 5 4 2 3 5 2 2 2" xfId="27255" xr:uid="{52FA927E-8C18-40AB-B6BF-F4F56512E1C0}"/>
    <cellStyle name="Normal 5 4 2 3 5 2 2 3" xfId="35702" xr:uid="{4B2D3909-1EF0-4F53-B0B5-9A7AC7654A7A}"/>
    <cellStyle name="Normal 5 4 2 3 5 2 2 4" xfId="44149" xr:uid="{A7C92FBB-991B-450F-AF48-9AC872277B4B}"/>
    <cellStyle name="Normal 5 4 2 3 5 2 2 5" xfId="17955" xr:uid="{A89CEF94-F11C-431E-9E90-1B4CC1C472BA}"/>
    <cellStyle name="Normal 5 4 2 3 5 2 3" xfId="23038" xr:uid="{6FE292A0-3052-4CBE-8B09-6D18C408E526}"/>
    <cellStyle name="Normal 5 4 2 3 5 2 4" xfId="31485" xr:uid="{15D96D09-0937-46D4-A4B9-2C0CC009FB0C}"/>
    <cellStyle name="Normal 5 4 2 3 5 2 5" xfId="39932" xr:uid="{8A34D588-25C9-4FE5-8D1C-FE59B39A4468}"/>
    <cellStyle name="Normal 5 4 2 3 5 2 6" xfId="13738" xr:uid="{A918E422-6FF3-47B6-89C9-7F8200118583}"/>
    <cellStyle name="Normal 5 4 2 3 5 3" xfId="6484" xr:uid="{00000000-0005-0000-0000-0000E71A0000}"/>
    <cellStyle name="Normal 5 4 2 3 5 3 2" xfId="25110" xr:uid="{7FD43FFC-3298-4F3A-A147-FBB4639664C3}"/>
    <cellStyle name="Normal 5 4 2 3 5 3 3" xfId="33557" xr:uid="{BB43A170-DA49-4669-866D-B92591741EDE}"/>
    <cellStyle name="Normal 5 4 2 3 5 3 4" xfId="42004" xr:uid="{583784DA-DFDB-4875-A526-E317425AD49E}"/>
    <cellStyle name="Normal 5 4 2 3 5 3 5" xfId="15810" xr:uid="{DADFCB32-F49A-42BF-9467-178A42DB424B}"/>
    <cellStyle name="Normal 5 4 2 3 5 4" xfId="20893" xr:uid="{3C632828-BBFB-4D89-99F0-E930A82D5D49}"/>
    <cellStyle name="Normal 5 4 2 3 5 5" xfId="29340" xr:uid="{F98426BA-9115-4B13-9DA9-39448B812D6A}"/>
    <cellStyle name="Normal 5 4 2 3 5 6" xfId="37787" xr:uid="{E396997E-E962-4835-9AD6-D2FAD59293AC}"/>
    <cellStyle name="Normal 5 4 2 3 5 7" xfId="11593" xr:uid="{953425C2-8D34-46D3-9EAA-C4B4D67DCC7E}"/>
    <cellStyle name="Normal 5 4 2 3 6" xfId="2614" xr:uid="{00000000-0005-0000-0000-0000E81A0000}"/>
    <cellStyle name="Normal 5 4 2 3 6 2" xfId="6897" xr:uid="{00000000-0005-0000-0000-0000E91A0000}"/>
    <cellStyle name="Normal 5 4 2 3 6 2 2" xfId="25523" xr:uid="{A6414440-8EE9-4BCA-B012-BDD0210F042E}"/>
    <cellStyle name="Normal 5 4 2 3 6 2 3" xfId="33970" xr:uid="{F1A92B94-8FED-4793-8B32-EA72EDE36826}"/>
    <cellStyle name="Normal 5 4 2 3 6 2 4" xfId="42417" xr:uid="{84BF48A9-E1C5-43DD-BD6D-E7030BF50691}"/>
    <cellStyle name="Normal 5 4 2 3 6 2 5" xfId="16223" xr:uid="{D7AC15B6-2D36-4CBC-A257-2D5708EC7098}"/>
    <cellStyle name="Normal 5 4 2 3 6 3" xfId="21306" xr:uid="{6D0D0BAB-3438-467B-AAF8-873700A156F7}"/>
    <cellStyle name="Normal 5 4 2 3 6 4" xfId="29753" xr:uid="{77A6AA32-2FF9-4CA5-895C-9551733CD5A5}"/>
    <cellStyle name="Normal 5 4 2 3 6 5" xfId="38200" xr:uid="{C0ED9956-21B5-4041-9F58-6EFD6ACF31C8}"/>
    <cellStyle name="Normal 5 4 2 3 6 6" xfId="12006" xr:uid="{8DD56503-AD65-4BB0-8667-ABE5FA6D1CA2}"/>
    <cellStyle name="Normal 5 4 2 3 7" xfId="4832" xr:uid="{00000000-0005-0000-0000-0000EA1A0000}"/>
    <cellStyle name="Normal 5 4 2 3 7 2" xfId="23458" xr:uid="{B3C07C9D-DDBD-468D-A904-3BE62A9A2B30}"/>
    <cellStyle name="Normal 5 4 2 3 7 3" xfId="31905" xr:uid="{1DDFF0BA-C290-4C0D-8D1E-A1A1BD57154A}"/>
    <cellStyle name="Normal 5 4 2 3 7 4" xfId="40352" xr:uid="{4C65D587-CA30-44CD-A2B8-637256A74EFB}"/>
    <cellStyle name="Normal 5 4 2 3 7 5" xfId="14158" xr:uid="{CFA0FD72-6739-4459-9A2E-31DA05D46D68}"/>
    <cellStyle name="Normal 5 4 2 3 8" xfId="9040" xr:uid="{D68CAB17-BB41-4D9B-AA76-76FE511392DC}"/>
    <cellStyle name="Normal 5 4 2 3 8 2" xfId="18364" xr:uid="{69A257A8-97FF-4F5B-A44E-F3C5BDDC05C8}"/>
    <cellStyle name="Normal 5 4 2 3 9" xfId="19241" xr:uid="{0A4E9774-FD25-486A-9C94-A31849667304}"/>
    <cellStyle name="Normal 5 4 2 4" xfId="931" xr:uid="{00000000-0005-0000-0000-0000EB1A0000}"/>
    <cellStyle name="Normal 5 4 2 4 2" xfId="3165" xr:uid="{00000000-0005-0000-0000-0000EC1A0000}"/>
    <cellStyle name="Normal 5 4 2 4 2 2" xfId="7387" xr:uid="{00000000-0005-0000-0000-0000ED1A0000}"/>
    <cellStyle name="Normal 5 4 2 4 2 2 2" xfId="26013" xr:uid="{0E481612-0A0E-4E60-9A5B-2FB9C09D6E6E}"/>
    <cellStyle name="Normal 5 4 2 4 2 2 3" xfId="34460" xr:uid="{04695AEC-D0AF-4A3E-AC3C-576653C514E7}"/>
    <cellStyle name="Normal 5 4 2 4 2 2 4" xfId="42907" xr:uid="{23CB55BD-A010-4DE1-BE19-520312164E7D}"/>
    <cellStyle name="Normal 5 4 2 4 2 2 5" xfId="16713" xr:uid="{998A24F3-69F9-4A7C-B520-E08D78CC2073}"/>
    <cellStyle name="Normal 5 4 2 4 2 3" xfId="21796" xr:uid="{29DBB816-D017-4448-B27D-3D10DCB6A299}"/>
    <cellStyle name="Normal 5 4 2 4 2 4" xfId="30243" xr:uid="{EC64C49D-4CA7-4909-A4EC-923EA2EE467A}"/>
    <cellStyle name="Normal 5 4 2 4 2 5" xfId="38690" xr:uid="{283649C3-0BE0-4414-96A2-160B661A87BF}"/>
    <cellStyle name="Normal 5 4 2 4 2 6" xfId="12496" xr:uid="{37772501-0215-47D5-BE1D-96A385E24E96}"/>
    <cellStyle name="Normal 5 4 2 4 3" xfId="5242" xr:uid="{00000000-0005-0000-0000-0000EE1A0000}"/>
    <cellStyle name="Normal 5 4 2 4 3 2" xfId="23868" xr:uid="{EE89C470-94BE-4296-BFD9-0C21EE967170}"/>
    <cellStyle name="Normal 5 4 2 4 3 3" xfId="32315" xr:uid="{F8079E5D-0E1A-4D5A-813B-EDA6E9A18AE1}"/>
    <cellStyle name="Normal 5 4 2 4 3 4" xfId="40762" xr:uid="{887A58DF-0EA8-4966-A231-F0965F60EBF2}"/>
    <cellStyle name="Normal 5 4 2 4 3 5" xfId="14568" xr:uid="{1025723C-CCB8-47ED-A3F6-F7E995B878A9}"/>
    <cellStyle name="Normal 5 4 2 4 4" xfId="9258" xr:uid="{971C48A9-8200-405B-A9BE-B3AFD2CDDA76}"/>
    <cellStyle name="Normal 5 4 2 4 4 2" xfId="18574" xr:uid="{98DC29D8-DC82-4850-8039-A4327893670E}"/>
    <cellStyle name="Normal 5 4 2 4 5" xfId="19651" xr:uid="{679163FE-0BD5-4103-ACEB-271D33B099E8}"/>
    <cellStyle name="Normal 5 4 2 4 6" xfId="28098" xr:uid="{D3E69FEF-2D51-4603-A6EF-A7D543DC9291}"/>
    <cellStyle name="Normal 5 4 2 4 7" xfId="36545" xr:uid="{8CD3E144-C664-4A76-A3D8-C03E4A1FBB14}"/>
    <cellStyle name="Normal 5 4 2 4 8" xfId="10351" xr:uid="{D7BD9FBF-A2BA-466E-A10E-7D3F694E3167}"/>
    <cellStyle name="Normal 5 4 2 5" xfId="1348" xr:uid="{00000000-0005-0000-0000-0000EF1A0000}"/>
    <cellStyle name="Normal 5 4 2 5 2" xfId="3578" xr:uid="{00000000-0005-0000-0000-0000F01A0000}"/>
    <cellStyle name="Normal 5 4 2 5 2 2" xfId="7800" xr:uid="{00000000-0005-0000-0000-0000F11A0000}"/>
    <cellStyle name="Normal 5 4 2 5 2 2 2" xfId="26426" xr:uid="{157E4349-1677-412D-B195-DF32E1EDA126}"/>
    <cellStyle name="Normal 5 4 2 5 2 2 3" xfId="34873" xr:uid="{CA6F0655-BE5F-4013-A2F8-F2355CB6B4DF}"/>
    <cellStyle name="Normal 5 4 2 5 2 2 4" xfId="43320" xr:uid="{8727C6D6-D899-4AD9-A42D-752CBDEBA9EA}"/>
    <cellStyle name="Normal 5 4 2 5 2 2 5" xfId="17126" xr:uid="{FF8B5623-6EA2-4C18-9383-A2367A6AE89F}"/>
    <cellStyle name="Normal 5 4 2 5 2 3" xfId="22209" xr:uid="{D55AB2F5-DA40-4889-B165-1399183C04F5}"/>
    <cellStyle name="Normal 5 4 2 5 2 4" xfId="30656" xr:uid="{48C3E2BB-02E6-4E22-921A-381CE5E44D8D}"/>
    <cellStyle name="Normal 5 4 2 5 2 5" xfId="39103" xr:uid="{593197D9-EEA8-4958-B3A6-42D7E3B2D8FA}"/>
    <cellStyle name="Normal 5 4 2 5 2 6" xfId="12909" xr:uid="{B1494B9D-F701-4884-9A61-76DCE796D492}"/>
    <cellStyle name="Normal 5 4 2 5 3" xfId="5655" xr:uid="{00000000-0005-0000-0000-0000F21A0000}"/>
    <cellStyle name="Normal 5 4 2 5 3 2" xfId="24281" xr:uid="{6CBDAA78-2104-459B-989E-E0F91E8A0669}"/>
    <cellStyle name="Normal 5 4 2 5 3 3" xfId="32728" xr:uid="{0F4C525E-9E2B-4D5B-BABE-6885FDDA663B}"/>
    <cellStyle name="Normal 5 4 2 5 3 4" xfId="41175" xr:uid="{766322AE-928E-4F7F-8121-CBA303F4358A}"/>
    <cellStyle name="Normal 5 4 2 5 3 5" xfId="14981" xr:uid="{3CBBBC33-C0E2-483B-86CF-5099FAFD8AC7}"/>
    <cellStyle name="Normal 5 4 2 5 4" xfId="20064" xr:uid="{C6DD3115-B8E1-47C6-A041-C0081F98DE7F}"/>
    <cellStyle name="Normal 5 4 2 5 5" xfId="28511" xr:uid="{429B2DF3-9000-40B7-8255-398069EFC152}"/>
    <cellStyle name="Normal 5 4 2 5 6" xfId="36958" xr:uid="{B789317A-913C-43A3-A048-5D208FC52324}"/>
    <cellStyle name="Normal 5 4 2 5 7" xfId="10764" xr:uid="{CA0DF5CC-0897-4051-B907-E8DC020B2446}"/>
    <cellStyle name="Normal 5 4 2 6" xfId="1761" xr:uid="{00000000-0005-0000-0000-0000F31A0000}"/>
    <cellStyle name="Normal 5 4 2 6 2" xfId="3991" xr:uid="{00000000-0005-0000-0000-0000F41A0000}"/>
    <cellStyle name="Normal 5 4 2 6 2 2" xfId="8213" xr:uid="{00000000-0005-0000-0000-0000F51A0000}"/>
    <cellStyle name="Normal 5 4 2 6 2 2 2" xfId="26839" xr:uid="{34B08371-DE5A-4EE1-9FC6-DFDAFD46B7B6}"/>
    <cellStyle name="Normal 5 4 2 6 2 2 3" xfId="35286" xr:uid="{F0C4923D-4EE5-443A-988A-5E372D3B9DF1}"/>
    <cellStyle name="Normal 5 4 2 6 2 2 4" xfId="43733" xr:uid="{F41509D7-9168-4563-B405-28117CBFB0B8}"/>
    <cellStyle name="Normal 5 4 2 6 2 2 5" xfId="17539" xr:uid="{12BD50AF-7FDF-4861-9066-EF348CB8DFAE}"/>
    <cellStyle name="Normal 5 4 2 6 2 3" xfId="22622" xr:uid="{4BBF307F-9DE9-4E5C-9D5D-7C070FF844DF}"/>
    <cellStyle name="Normal 5 4 2 6 2 4" xfId="31069" xr:uid="{B6A0AF89-F40C-4A95-9929-A322230D4436}"/>
    <cellStyle name="Normal 5 4 2 6 2 5" xfId="39516" xr:uid="{827D3E66-15DB-4A1B-A5D3-A267C2B96BB2}"/>
    <cellStyle name="Normal 5 4 2 6 2 6" xfId="13322" xr:uid="{F29D2C27-2454-4F09-B854-BADA1D6CFBAD}"/>
    <cellStyle name="Normal 5 4 2 6 3" xfId="6068" xr:uid="{00000000-0005-0000-0000-0000F61A0000}"/>
    <cellStyle name="Normal 5 4 2 6 3 2" xfId="24694" xr:uid="{9AB0FBF6-700F-4886-8AEA-4E6A135E6603}"/>
    <cellStyle name="Normal 5 4 2 6 3 3" xfId="33141" xr:uid="{32272921-D254-4F01-9E10-635A28D20E2D}"/>
    <cellStyle name="Normal 5 4 2 6 3 4" xfId="41588" xr:uid="{92443B55-B8C2-48A9-AE73-59A1B1F15280}"/>
    <cellStyle name="Normal 5 4 2 6 3 5" xfId="15394" xr:uid="{2B4EF3FE-10DA-4B85-A909-D9B59B02899D}"/>
    <cellStyle name="Normal 5 4 2 6 4" xfId="20477" xr:uid="{00A55388-C6CB-44A6-91A9-19D8BD41045D}"/>
    <cellStyle name="Normal 5 4 2 6 5" xfId="28924" xr:uid="{16014189-7E60-4C7A-808D-E2E5371AFE05}"/>
    <cellStyle name="Normal 5 4 2 6 6" xfId="37371" xr:uid="{D47B0234-D003-41F2-9826-654178D752E9}"/>
    <cellStyle name="Normal 5 4 2 6 7" xfId="11177" xr:uid="{9DC81105-86E8-4D18-AC3C-AEF85D2FE9E1}"/>
    <cellStyle name="Normal 5 4 2 7" xfId="2175" xr:uid="{00000000-0005-0000-0000-0000F71A0000}"/>
    <cellStyle name="Normal 5 4 2 7 2" xfId="4404" xr:uid="{00000000-0005-0000-0000-0000F81A0000}"/>
    <cellStyle name="Normal 5 4 2 7 2 2" xfId="8626" xr:uid="{00000000-0005-0000-0000-0000F91A0000}"/>
    <cellStyle name="Normal 5 4 2 7 2 2 2" xfId="27252" xr:uid="{68A089A5-C995-401A-B3C0-1B9EDE5B65C7}"/>
    <cellStyle name="Normal 5 4 2 7 2 2 3" xfId="35699" xr:uid="{08BEE897-D7A7-4934-AE14-208A68C00980}"/>
    <cellStyle name="Normal 5 4 2 7 2 2 4" xfId="44146" xr:uid="{B1309164-5305-47F0-B97A-C57E788A4005}"/>
    <cellStyle name="Normal 5 4 2 7 2 2 5" xfId="17952" xr:uid="{CD742363-F667-450F-8160-C64A63ADDBB4}"/>
    <cellStyle name="Normal 5 4 2 7 2 3" xfId="23035" xr:uid="{7F04C3E3-A114-4A3A-9B12-13118C23AFF5}"/>
    <cellStyle name="Normal 5 4 2 7 2 4" xfId="31482" xr:uid="{D5E580D1-8E10-4FB2-A546-1E8421D1270F}"/>
    <cellStyle name="Normal 5 4 2 7 2 5" xfId="39929" xr:uid="{F4F7F7AA-348C-47C3-8024-C8C65E8F1B06}"/>
    <cellStyle name="Normal 5 4 2 7 2 6" xfId="13735" xr:uid="{E7EA7892-D3EA-4161-846F-9176B619C16C}"/>
    <cellStyle name="Normal 5 4 2 7 3" xfId="6481" xr:uid="{00000000-0005-0000-0000-0000FA1A0000}"/>
    <cellStyle name="Normal 5 4 2 7 3 2" xfId="25107" xr:uid="{6EA76079-F394-4764-995B-88C9EA6C642F}"/>
    <cellStyle name="Normal 5 4 2 7 3 3" xfId="33554" xr:uid="{0CFB7A62-3C7A-4628-A5A0-AB1E47AC6AD1}"/>
    <cellStyle name="Normal 5 4 2 7 3 4" xfId="42001" xr:uid="{EB1038C1-06C0-4EFF-9C79-CB7BBC7B91B2}"/>
    <cellStyle name="Normal 5 4 2 7 3 5" xfId="15807" xr:uid="{28050084-8A83-4891-A99C-927759B9E145}"/>
    <cellStyle name="Normal 5 4 2 7 4" xfId="20890" xr:uid="{CA7D6B75-87CE-42B6-A3C9-97F90488D85E}"/>
    <cellStyle name="Normal 5 4 2 7 5" xfId="29337" xr:uid="{3E569AB4-09BD-4A8D-826E-88166BD82DD3}"/>
    <cellStyle name="Normal 5 4 2 7 6" xfId="37784" xr:uid="{B8532A58-D467-4960-9333-AC64F87F50E6}"/>
    <cellStyle name="Normal 5 4 2 7 7" xfId="11590" xr:uid="{3A681034-2DFD-421E-A5F7-676A4F57CF69}"/>
    <cellStyle name="Normal 5 4 2 8" xfId="2611" xr:uid="{00000000-0005-0000-0000-0000FB1A0000}"/>
    <cellStyle name="Normal 5 4 2 8 2" xfId="6894" xr:uid="{00000000-0005-0000-0000-0000FC1A0000}"/>
    <cellStyle name="Normal 5 4 2 8 2 2" xfId="25520" xr:uid="{3F1255D2-4C93-421C-BDAD-571DD7167014}"/>
    <cellStyle name="Normal 5 4 2 8 2 3" xfId="33967" xr:uid="{9C373B43-2100-4171-AF1B-B9C21A5FE0FF}"/>
    <cellStyle name="Normal 5 4 2 8 2 4" xfId="42414" xr:uid="{B4457831-CEAC-4BF3-9F10-589ADBE941CA}"/>
    <cellStyle name="Normal 5 4 2 8 2 5" xfId="16220" xr:uid="{22202734-9FAE-404A-847A-54734A11ABEF}"/>
    <cellStyle name="Normal 5 4 2 8 3" xfId="21303" xr:uid="{EAD1A8CD-707E-4079-A019-2176F6C9CDDF}"/>
    <cellStyle name="Normal 5 4 2 8 4" xfId="29750" xr:uid="{1A6BAC2A-47EC-4BED-B43F-221DD30D554A}"/>
    <cellStyle name="Normal 5 4 2 8 5" xfId="38197" xr:uid="{78BE7DED-4FBE-4BB3-9A68-3A77B8370B20}"/>
    <cellStyle name="Normal 5 4 2 8 6" xfId="12003" xr:uid="{062B11D8-EB76-4AC9-8F3C-C33BABE70CFE}"/>
    <cellStyle name="Normal 5 4 2 9" xfId="4829" xr:uid="{00000000-0005-0000-0000-0000FD1A0000}"/>
    <cellStyle name="Normal 5 4 2 9 2" xfId="23455" xr:uid="{51DF1ED8-0C04-459E-B2E4-BAB1EF02360F}"/>
    <cellStyle name="Normal 5 4 2 9 3" xfId="31902" xr:uid="{5D72A285-A922-4C44-A6EC-4853DFFFFC3E}"/>
    <cellStyle name="Normal 5 4 2 9 4" xfId="40349" xr:uid="{99B90B8E-5221-4490-99F7-95D4D447CE32}"/>
    <cellStyle name="Normal 5 4 2 9 5" xfId="14155" xr:uid="{F9CE9A70-0045-4B32-B5B1-7618C01097BA}"/>
    <cellStyle name="Normal 5 4 3" xfId="461" xr:uid="{00000000-0005-0000-0000-0000FE1A0000}"/>
    <cellStyle name="Normal 5 4 3 10" xfId="19242" xr:uid="{A9F81FE5-1022-4CBD-A55E-803DB2EE7861}"/>
    <cellStyle name="Normal 5 4 3 11" xfId="27689" xr:uid="{1C1690E0-EA29-4C7A-B1B0-71FE8DB8FFB9}"/>
    <cellStyle name="Normal 5 4 3 12" xfId="36136" xr:uid="{4CFB8802-A0A1-473D-9B72-F3FA20C4351F}"/>
    <cellStyle name="Normal 5 4 3 13" xfId="9942" xr:uid="{9133A6AD-50B6-4C61-90EF-8BBAF447F215}"/>
    <cellStyle name="Normal 5 4 3 2" xfId="462" xr:uid="{00000000-0005-0000-0000-0000FF1A0000}"/>
    <cellStyle name="Normal 5 4 3 2 10" xfId="27690" xr:uid="{AC66CE9D-12AD-4878-A611-7F3EDF1B4CD4}"/>
    <cellStyle name="Normal 5 4 3 2 11" xfId="36137" xr:uid="{A5ADDF4A-9EB3-4D60-B395-B4879285BFD4}"/>
    <cellStyle name="Normal 5 4 3 2 12" xfId="9943" xr:uid="{2193962F-555A-4293-AB6A-436BD986D816}"/>
    <cellStyle name="Normal 5 4 3 2 2" xfId="936" xr:uid="{00000000-0005-0000-0000-0000001B0000}"/>
    <cellStyle name="Normal 5 4 3 2 2 2" xfId="3170" xr:uid="{00000000-0005-0000-0000-0000011B0000}"/>
    <cellStyle name="Normal 5 4 3 2 2 2 2" xfId="7392" xr:uid="{00000000-0005-0000-0000-0000021B0000}"/>
    <cellStyle name="Normal 5 4 3 2 2 2 2 2" xfId="26018" xr:uid="{90D54972-26EC-43D5-9FC3-8A20D5E5BBFF}"/>
    <cellStyle name="Normal 5 4 3 2 2 2 2 3" xfId="34465" xr:uid="{D8A0EE21-8AC3-47BA-89BF-8CBD9574CB90}"/>
    <cellStyle name="Normal 5 4 3 2 2 2 2 4" xfId="42912" xr:uid="{F0D41009-45D0-4A08-A0B1-69FA7B0620F2}"/>
    <cellStyle name="Normal 5 4 3 2 2 2 2 5" xfId="16718" xr:uid="{627557D1-4B16-4DBA-8FDB-C9D95E207C5A}"/>
    <cellStyle name="Normal 5 4 3 2 2 2 3" xfId="21801" xr:uid="{687BD113-BE57-4809-B333-A19B0AAC5DB0}"/>
    <cellStyle name="Normal 5 4 3 2 2 2 4" xfId="30248" xr:uid="{09E2B6EC-BD53-4D5E-BE6B-C7CE6D9CB88D}"/>
    <cellStyle name="Normal 5 4 3 2 2 2 5" xfId="38695" xr:uid="{AF3BD120-FF98-4B6B-83D8-FF4FC2A25C1B}"/>
    <cellStyle name="Normal 5 4 3 2 2 2 6" xfId="12501" xr:uid="{D8520559-CEFF-422B-9086-5D0A9D916EB6}"/>
    <cellStyle name="Normal 5 4 3 2 2 3" xfId="5247" xr:uid="{00000000-0005-0000-0000-0000031B0000}"/>
    <cellStyle name="Normal 5 4 3 2 2 3 2" xfId="23873" xr:uid="{A92CEA7A-CB40-40FB-856B-48EACB9A2D0B}"/>
    <cellStyle name="Normal 5 4 3 2 2 3 3" xfId="32320" xr:uid="{79245352-6B9E-44B8-B55B-BFE30E677480}"/>
    <cellStyle name="Normal 5 4 3 2 2 3 4" xfId="40767" xr:uid="{69A3D65F-FBD3-4391-9112-E085B8282521}"/>
    <cellStyle name="Normal 5 4 3 2 2 3 5" xfId="14573" xr:uid="{50B66029-7E4E-47C0-9923-4CD212D1DB84}"/>
    <cellStyle name="Normal 5 4 3 2 2 4" xfId="9508" xr:uid="{1F9B5A8F-2A45-43C5-9422-E8BC84424A55}"/>
    <cellStyle name="Normal 5 4 3 2 2 4 2" xfId="18824" xr:uid="{0635E48B-B35C-461D-A245-1B08137A2FF2}"/>
    <cellStyle name="Normal 5 4 3 2 2 5" xfId="19656" xr:uid="{892A22F2-F24B-4A2F-AE3F-2D9079F27D7F}"/>
    <cellStyle name="Normal 5 4 3 2 2 6" xfId="28103" xr:uid="{AD3531DC-016F-4341-8C1D-AAD13AD8E4D4}"/>
    <cellStyle name="Normal 5 4 3 2 2 7" xfId="36550" xr:uid="{8CBF4FBA-7FF5-45C1-BA5A-E93B76A28470}"/>
    <cellStyle name="Normal 5 4 3 2 2 8" xfId="10356" xr:uid="{4EDAAC48-309A-4065-9725-1B593B1F6615}"/>
    <cellStyle name="Normal 5 4 3 2 3" xfId="1353" xr:uid="{00000000-0005-0000-0000-0000041B0000}"/>
    <cellStyle name="Normal 5 4 3 2 3 2" xfId="3583" xr:uid="{00000000-0005-0000-0000-0000051B0000}"/>
    <cellStyle name="Normal 5 4 3 2 3 2 2" xfId="7805" xr:uid="{00000000-0005-0000-0000-0000061B0000}"/>
    <cellStyle name="Normal 5 4 3 2 3 2 2 2" xfId="26431" xr:uid="{D6503F1A-EB60-41FD-B032-5A97D7A387AA}"/>
    <cellStyle name="Normal 5 4 3 2 3 2 2 3" xfId="34878" xr:uid="{FAD1099D-6368-409E-9B11-D630A84D63BE}"/>
    <cellStyle name="Normal 5 4 3 2 3 2 2 4" xfId="43325" xr:uid="{D30BC81A-4990-4F8E-AA2B-1C40B76C9788}"/>
    <cellStyle name="Normal 5 4 3 2 3 2 2 5" xfId="17131" xr:uid="{F7E5CBE0-202D-4654-A565-2226BB728E9C}"/>
    <cellStyle name="Normal 5 4 3 2 3 2 3" xfId="22214" xr:uid="{6D467FD8-4C62-4841-A7B8-A771CC8CBC42}"/>
    <cellStyle name="Normal 5 4 3 2 3 2 4" xfId="30661" xr:uid="{00A85568-999B-4F62-BC5E-81BE3EB44101}"/>
    <cellStyle name="Normal 5 4 3 2 3 2 5" xfId="39108" xr:uid="{A01B966D-DB43-4AE8-9B2A-2F1113A87A61}"/>
    <cellStyle name="Normal 5 4 3 2 3 2 6" xfId="12914" xr:uid="{0350328C-DBBE-4990-8B94-A1C33AB7E5A6}"/>
    <cellStyle name="Normal 5 4 3 2 3 3" xfId="5660" xr:uid="{00000000-0005-0000-0000-0000071B0000}"/>
    <cellStyle name="Normal 5 4 3 2 3 3 2" xfId="24286" xr:uid="{05209604-54E6-4885-A0B1-5ABDAF4DC653}"/>
    <cellStyle name="Normal 5 4 3 2 3 3 3" xfId="32733" xr:uid="{6D8A3FDB-EBFA-498F-9736-243A256FAA8A}"/>
    <cellStyle name="Normal 5 4 3 2 3 3 4" xfId="41180" xr:uid="{89D45CD1-D810-46F8-9EB1-1518058AC5C9}"/>
    <cellStyle name="Normal 5 4 3 2 3 3 5" xfId="14986" xr:uid="{AEC223DC-074A-4E20-857D-00ACCC597AD6}"/>
    <cellStyle name="Normal 5 4 3 2 3 4" xfId="20069" xr:uid="{19E174A0-3339-4DFF-AEBA-9492C099438A}"/>
    <cellStyle name="Normal 5 4 3 2 3 5" xfId="28516" xr:uid="{8F628E9B-6060-41D4-AFC6-3F566F70AB62}"/>
    <cellStyle name="Normal 5 4 3 2 3 6" xfId="36963" xr:uid="{74675BA7-D776-4756-8C30-4E2C5CC9D461}"/>
    <cellStyle name="Normal 5 4 3 2 3 7" xfId="10769" xr:uid="{52B06371-2F50-4EA6-8A5E-8C954AA80C20}"/>
    <cellStyle name="Normal 5 4 3 2 4" xfId="1766" xr:uid="{00000000-0005-0000-0000-0000081B0000}"/>
    <cellStyle name="Normal 5 4 3 2 4 2" xfId="3996" xr:uid="{00000000-0005-0000-0000-0000091B0000}"/>
    <cellStyle name="Normal 5 4 3 2 4 2 2" xfId="8218" xr:uid="{00000000-0005-0000-0000-00000A1B0000}"/>
    <cellStyle name="Normal 5 4 3 2 4 2 2 2" xfId="26844" xr:uid="{E252EF96-C150-4658-82C4-F92F98E4E21E}"/>
    <cellStyle name="Normal 5 4 3 2 4 2 2 3" xfId="35291" xr:uid="{401B5F65-B298-40C2-BCD7-63A21FE14C6B}"/>
    <cellStyle name="Normal 5 4 3 2 4 2 2 4" xfId="43738" xr:uid="{025F6629-084E-4545-9D1C-E4ABFB0734AE}"/>
    <cellStyle name="Normal 5 4 3 2 4 2 2 5" xfId="17544" xr:uid="{33509FEF-293C-437C-90CC-013916C35C78}"/>
    <cellStyle name="Normal 5 4 3 2 4 2 3" xfId="22627" xr:uid="{2282E496-6808-420E-A15D-0286ECE7A1CE}"/>
    <cellStyle name="Normal 5 4 3 2 4 2 4" xfId="31074" xr:uid="{35DA2869-E7A7-45DA-AA23-4794DDA503E5}"/>
    <cellStyle name="Normal 5 4 3 2 4 2 5" xfId="39521" xr:uid="{574B0243-B7BC-45EA-B277-5BD4C5DCC28F}"/>
    <cellStyle name="Normal 5 4 3 2 4 2 6" xfId="13327" xr:uid="{7847EE76-839F-4844-A5EE-3A72AD7EB400}"/>
    <cellStyle name="Normal 5 4 3 2 4 3" xfId="6073" xr:uid="{00000000-0005-0000-0000-00000B1B0000}"/>
    <cellStyle name="Normal 5 4 3 2 4 3 2" xfId="24699" xr:uid="{02AD37A8-9ED1-49E2-8352-EDF81C510723}"/>
    <cellStyle name="Normal 5 4 3 2 4 3 3" xfId="33146" xr:uid="{4D33E6A9-A2E2-4FFD-BB23-F0A0D9F427C6}"/>
    <cellStyle name="Normal 5 4 3 2 4 3 4" xfId="41593" xr:uid="{C84CDA4C-CFF9-49E3-9B74-14C61D1F7F43}"/>
    <cellStyle name="Normal 5 4 3 2 4 3 5" xfId="15399" xr:uid="{A23C34D8-5BB1-4067-8149-2480FB909AEE}"/>
    <cellStyle name="Normal 5 4 3 2 4 4" xfId="20482" xr:uid="{159B988D-1CBB-4A0E-AA93-30DA64D47BC2}"/>
    <cellStyle name="Normal 5 4 3 2 4 5" xfId="28929" xr:uid="{5E4476DE-03A9-4B34-8980-C2D30A59DAE6}"/>
    <cellStyle name="Normal 5 4 3 2 4 6" xfId="37376" xr:uid="{EE3848E0-F968-4EFE-82E7-5D8F44D1A410}"/>
    <cellStyle name="Normal 5 4 3 2 4 7" xfId="11182" xr:uid="{08B5516F-6A49-4D6C-95F8-36BDD028A77A}"/>
    <cellStyle name="Normal 5 4 3 2 5" xfId="2180" xr:uid="{00000000-0005-0000-0000-00000C1B0000}"/>
    <cellStyle name="Normal 5 4 3 2 5 2" xfId="4409" xr:uid="{00000000-0005-0000-0000-00000D1B0000}"/>
    <cellStyle name="Normal 5 4 3 2 5 2 2" xfId="8631" xr:uid="{00000000-0005-0000-0000-00000E1B0000}"/>
    <cellStyle name="Normal 5 4 3 2 5 2 2 2" xfId="27257" xr:uid="{0E10DB39-A32A-4C2F-8AE8-052D3F9319F2}"/>
    <cellStyle name="Normal 5 4 3 2 5 2 2 3" xfId="35704" xr:uid="{7720B83A-CA3D-473D-A5F5-2FDDB97F0711}"/>
    <cellStyle name="Normal 5 4 3 2 5 2 2 4" xfId="44151" xr:uid="{1393A1F6-41CF-44C9-AAE1-B7BCE1E63777}"/>
    <cellStyle name="Normal 5 4 3 2 5 2 2 5" xfId="17957" xr:uid="{EB44AD53-D6CC-4B2B-B694-D61238FE37DA}"/>
    <cellStyle name="Normal 5 4 3 2 5 2 3" xfId="23040" xr:uid="{DA4ED8FC-616A-43C6-8A60-0DE7B483CCE6}"/>
    <cellStyle name="Normal 5 4 3 2 5 2 4" xfId="31487" xr:uid="{1079851B-5835-4746-A713-8C67FDD885AF}"/>
    <cellStyle name="Normal 5 4 3 2 5 2 5" xfId="39934" xr:uid="{6A3EAB0C-4EE3-4482-99C2-41455312ECF3}"/>
    <cellStyle name="Normal 5 4 3 2 5 2 6" xfId="13740" xr:uid="{26085716-41C4-4626-8222-2FFDD07D9F36}"/>
    <cellStyle name="Normal 5 4 3 2 5 3" xfId="6486" xr:uid="{00000000-0005-0000-0000-00000F1B0000}"/>
    <cellStyle name="Normal 5 4 3 2 5 3 2" xfId="25112" xr:uid="{EFC6DA2A-3C27-42CC-BCDD-28D068168B24}"/>
    <cellStyle name="Normal 5 4 3 2 5 3 3" xfId="33559" xr:uid="{CE20A8A6-D0E0-4289-A695-1EB874F20083}"/>
    <cellStyle name="Normal 5 4 3 2 5 3 4" xfId="42006" xr:uid="{87A830BB-2FE9-4955-A703-9D4E938198B8}"/>
    <cellStyle name="Normal 5 4 3 2 5 3 5" xfId="15812" xr:uid="{FFC5B754-7108-443A-998C-144C330E9C13}"/>
    <cellStyle name="Normal 5 4 3 2 5 4" xfId="20895" xr:uid="{42B06E35-76F0-4775-8990-0B56C3D4DCB8}"/>
    <cellStyle name="Normal 5 4 3 2 5 5" xfId="29342" xr:uid="{89B1A565-1E55-4009-8D64-6A696BD37558}"/>
    <cellStyle name="Normal 5 4 3 2 5 6" xfId="37789" xr:uid="{931581C7-E22B-43C2-83A5-664BFC1F222E}"/>
    <cellStyle name="Normal 5 4 3 2 5 7" xfId="11595" xr:uid="{10AF3B5A-71D2-40F6-AC8B-183A686DD5BD}"/>
    <cellStyle name="Normal 5 4 3 2 6" xfId="2616" xr:uid="{00000000-0005-0000-0000-0000101B0000}"/>
    <cellStyle name="Normal 5 4 3 2 6 2" xfId="6899" xr:uid="{00000000-0005-0000-0000-0000111B0000}"/>
    <cellStyle name="Normal 5 4 3 2 6 2 2" xfId="25525" xr:uid="{D1913C28-D08D-440A-B908-85D85A2147A1}"/>
    <cellStyle name="Normal 5 4 3 2 6 2 3" xfId="33972" xr:uid="{08ACFD6B-8996-4C15-B17F-F2B541EC7295}"/>
    <cellStyle name="Normal 5 4 3 2 6 2 4" xfId="42419" xr:uid="{664B087D-F8D0-4ED2-B8A9-1DF2EE8DE45A}"/>
    <cellStyle name="Normal 5 4 3 2 6 2 5" xfId="16225" xr:uid="{128BF52D-8A78-46D2-8B12-B7AC3F2574D4}"/>
    <cellStyle name="Normal 5 4 3 2 6 3" xfId="21308" xr:uid="{D88D9D14-2011-40CD-8CEC-C246D2B374DE}"/>
    <cellStyle name="Normal 5 4 3 2 6 4" xfId="29755" xr:uid="{F4D2D06E-BBE3-4BFB-869B-EE679BB550F5}"/>
    <cellStyle name="Normal 5 4 3 2 6 5" xfId="38202" xr:uid="{A6C76B31-2725-4653-97A5-7A07C2FF6E9B}"/>
    <cellStyle name="Normal 5 4 3 2 6 6" xfId="12008" xr:uid="{52D9BAB2-D182-45E9-BD8B-8415CC2D977F}"/>
    <cellStyle name="Normal 5 4 3 2 7" xfId="4834" xr:uid="{00000000-0005-0000-0000-0000121B0000}"/>
    <cellStyle name="Normal 5 4 3 2 7 2" xfId="23460" xr:uid="{13FD93AC-550B-4DBA-9137-60716B4CC1F4}"/>
    <cellStyle name="Normal 5 4 3 2 7 3" xfId="31907" xr:uid="{D743AEEC-9C69-4DCD-B2B6-A1DFA0F3BC92}"/>
    <cellStyle name="Normal 5 4 3 2 7 4" xfId="40354" xr:uid="{ABCEA4F8-D3F3-48AD-BD72-C369953BC1DE}"/>
    <cellStyle name="Normal 5 4 3 2 7 5" xfId="14160" xr:uid="{A3E60C3C-713C-4FE7-8554-B97F30DEC474}"/>
    <cellStyle name="Normal 5 4 3 2 8" xfId="9083" xr:uid="{206384C8-6AD8-4D28-8F99-3033A80D68FC}"/>
    <cellStyle name="Normal 5 4 3 2 8 2" xfId="18407" xr:uid="{9291B9E3-7904-43CF-BDB2-7BA0C640E885}"/>
    <cellStyle name="Normal 5 4 3 2 9" xfId="19243" xr:uid="{BF34BEEC-8801-45EB-895D-314D4A1F032A}"/>
    <cellStyle name="Normal 5 4 3 3" xfId="935" xr:uid="{00000000-0005-0000-0000-0000131B0000}"/>
    <cellStyle name="Normal 5 4 3 3 2" xfId="3169" xr:uid="{00000000-0005-0000-0000-0000141B0000}"/>
    <cellStyle name="Normal 5 4 3 3 2 2" xfId="7391" xr:uid="{00000000-0005-0000-0000-0000151B0000}"/>
    <cellStyle name="Normal 5 4 3 3 2 2 2" xfId="26017" xr:uid="{D6FEC7B5-C688-4F95-9908-A124B5A6D728}"/>
    <cellStyle name="Normal 5 4 3 3 2 2 3" xfId="34464" xr:uid="{A6A53DF7-E802-48A5-BA65-B9F6D14A400B}"/>
    <cellStyle name="Normal 5 4 3 3 2 2 4" xfId="42911" xr:uid="{65334B55-1820-431C-AB21-FAA3F7B82EB7}"/>
    <cellStyle name="Normal 5 4 3 3 2 2 5" xfId="16717" xr:uid="{F40DF1B4-29F7-4AEA-AE6B-ADCE45872C08}"/>
    <cellStyle name="Normal 5 4 3 3 2 3" xfId="21800" xr:uid="{B086AA2D-CF43-4A46-9042-A52E99B4D2BE}"/>
    <cellStyle name="Normal 5 4 3 3 2 4" xfId="30247" xr:uid="{055A0841-A593-4D61-AE1F-47075BAE0CC7}"/>
    <cellStyle name="Normal 5 4 3 3 2 5" xfId="38694" xr:uid="{26C6E391-8E07-4C04-8B79-DFE5FA8D5714}"/>
    <cellStyle name="Normal 5 4 3 3 2 6" xfId="12500" xr:uid="{D9475CC2-5751-46F3-B4C2-381B31CF4574}"/>
    <cellStyle name="Normal 5 4 3 3 3" xfId="5246" xr:uid="{00000000-0005-0000-0000-0000161B0000}"/>
    <cellStyle name="Normal 5 4 3 3 3 2" xfId="23872" xr:uid="{77EB3A66-D12E-4D0E-9735-3099269404B1}"/>
    <cellStyle name="Normal 5 4 3 3 3 3" xfId="32319" xr:uid="{368FDDA2-8268-462E-AE55-3EDDB4C8E79F}"/>
    <cellStyle name="Normal 5 4 3 3 3 4" xfId="40766" xr:uid="{1E536F21-5E25-49C7-8CC5-2F969A795CE2}"/>
    <cellStyle name="Normal 5 4 3 3 3 5" xfId="14572" xr:uid="{79BD4262-C288-4396-A344-D6B5DC752F89}"/>
    <cellStyle name="Normal 5 4 3 3 4" xfId="9301" xr:uid="{CB02BBE7-2E3D-4C67-A62E-BA84DE882039}"/>
    <cellStyle name="Normal 5 4 3 3 4 2" xfId="18617" xr:uid="{EE0D38F4-93DB-4680-8C72-E026A7F9702C}"/>
    <cellStyle name="Normal 5 4 3 3 5" xfId="19655" xr:uid="{90F02E09-DAEB-444C-B919-51F5133854C4}"/>
    <cellStyle name="Normal 5 4 3 3 6" xfId="28102" xr:uid="{637B9FB9-DBB3-436F-8400-8E4C3B0658FB}"/>
    <cellStyle name="Normal 5 4 3 3 7" xfId="36549" xr:uid="{4E6B786C-EE7B-4CEC-B51F-9DD2E934A081}"/>
    <cellStyle name="Normal 5 4 3 3 8" xfId="10355" xr:uid="{5BDC28D8-B738-4FAD-8872-C5A3226EDEE5}"/>
    <cellStyle name="Normal 5 4 3 4" xfId="1352" xr:uid="{00000000-0005-0000-0000-0000171B0000}"/>
    <cellStyle name="Normal 5 4 3 4 2" xfId="3582" xr:uid="{00000000-0005-0000-0000-0000181B0000}"/>
    <cellStyle name="Normal 5 4 3 4 2 2" xfId="7804" xr:uid="{00000000-0005-0000-0000-0000191B0000}"/>
    <cellStyle name="Normal 5 4 3 4 2 2 2" xfId="26430" xr:uid="{AD164BC5-178B-4F36-8F4D-1D39E2219FEC}"/>
    <cellStyle name="Normal 5 4 3 4 2 2 3" xfId="34877" xr:uid="{2BCABC83-9758-484A-AA95-803C533722E4}"/>
    <cellStyle name="Normal 5 4 3 4 2 2 4" xfId="43324" xr:uid="{6D4A019F-3E08-4256-BC55-11833610995C}"/>
    <cellStyle name="Normal 5 4 3 4 2 2 5" xfId="17130" xr:uid="{7F9BF12B-2182-4A1D-AFD1-F02E83E84135}"/>
    <cellStyle name="Normal 5 4 3 4 2 3" xfId="22213" xr:uid="{B6C6CF3B-605C-400A-A8FD-EF405C980FBB}"/>
    <cellStyle name="Normal 5 4 3 4 2 4" xfId="30660" xr:uid="{4A44D0E6-19EF-4EBD-AF31-10B306D2C30D}"/>
    <cellStyle name="Normal 5 4 3 4 2 5" xfId="39107" xr:uid="{471244F4-655B-4896-9BE7-F1DB7127E996}"/>
    <cellStyle name="Normal 5 4 3 4 2 6" xfId="12913" xr:uid="{71AF147D-5141-45CE-AF91-65A215D995D8}"/>
    <cellStyle name="Normal 5 4 3 4 3" xfId="5659" xr:uid="{00000000-0005-0000-0000-00001A1B0000}"/>
    <cellStyle name="Normal 5 4 3 4 3 2" xfId="24285" xr:uid="{F26992BA-7A1E-45F1-87A1-0468D0057EDA}"/>
    <cellStyle name="Normal 5 4 3 4 3 3" xfId="32732" xr:uid="{68F84BFB-A6B3-45BB-94B9-4FD1353CA110}"/>
    <cellStyle name="Normal 5 4 3 4 3 4" xfId="41179" xr:uid="{3EDB40EE-D3D6-4437-85CE-FAB8CBECD7D9}"/>
    <cellStyle name="Normal 5 4 3 4 3 5" xfId="14985" xr:uid="{8C187ED7-FB74-4565-9AFF-02ABC3BA6B6B}"/>
    <cellStyle name="Normal 5 4 3 4 4" xfId="20068" xr:uid="{33477C22-B2A7-4DC2-BBF3-F56DAC92CD0D}"/>
    <cellStyle name="Normal 5 4 3 4 5" xfId="28515" xr:uid="{680CDC02-C91D-426B-A15B-5616D67A5185}"/>
    <cellStyle name="Normal 5 4 3 4 6" xfId="36962" xr:uid="{BDDA6A4F-5ED7-4DC6-90F3-8DF3904124AE}"/>
    <cellStyle name="Normal 5 4 3 4 7" xfId="10768" xr:uid="{1EE49BC8-30E3-498F-8B7D-94625B9BBB5E}"/>
    <cellStyle name="Normal 5 4 3 5" xfId="1765" xr:uid="{00000000-0005-0000-0000-00001B1B0000}"/>
    <cellStyle name="Normal 5 4 3 5 2" xfId="3995" xr:uid="{00000000-0005-0000-0000-00001C1B0000}"/>
    <cellStyle name="Normal 5 4 3 5 2 2" xfId="8217" xr:uid="{00000000-0005-0000-0000-00001D1B0000}"/>
    <cellStyle name="Normal 5 4 3 5 2 2 2" xfId="26843" xr:uid="{CDEF9E27-18CC-411E-9940-A6176D8D28FC}"/>
    <cellStyle name="Normal 5 4 3 5 2 2 3" xfId="35290" xr:uid="{0EDF89F0-99FC-4A8F-9D2F-19641F4EBD16}"/>
    <cellStyle name="Normal 5 4 3 5 2 2 4" xfId="43737" xr:uid="{38FB1C7D-7A24-43CE-9FD3-B2755B70F59B}"/>
    <cellStyle name="Normal 5 4 3 5 2 2 5" xfId="17543" xr:uid="{C4B7630D-EAA9-4D6B-A73D-31BDBCB674BF}"/>
    <cellStyle name="Normal 5 4 3 5 2 3" xfId="22626" xr:uid="{F9AF2B59-4B45-4188-949A-79157103B65C}"/>
    <cellStyle name="Normal 5 4 3 5 2 4" xfId="31073" xr:uid="{5B81448F-8C74-4BED-9F40-39E67555111F}"/>
    <cellStyle name="Normal 5 4 3 5 2 5" xfId="39520" xr:uid="{961C234E-34E3-4D05-939A-B81B070B8ED8}"/>
    <cellStyle name="Normal 5 4 3 5 2 6" xfId="13326" xr:uid="{17ED5C60-0D13-4137-A71D-5CFDC23BB695}"/>
    <cellStyle name="Normal 5 4 3 5 3" xfId="6072" xr:uid="{00000000-0005-0000-0000-00001E1B0000}"/>
    <cellStyle name="Normal 5 4 3 5 3 2" xfId="24698" xr:uid="{B273111F-1116-467D-AC9F-B0A39F9B1C24}"/>
    <cellStyle name="Normal 5 4 3 5 3 3" xfId="33145" xr:uid="{91240CFD-23E5-4B18-A549-AB21B4006CBF}"/>
    <cellStyle name="Normal 5 4 3 5 3 4" xfId="41592" xr:uid="{B615954E-F95E-42FE-869C-E2B4451469D2}"/>
    <cellStyle name="Normal 5 4 3 5 3 5" xfId="15398" xr:uid="{9110BB3E-B52C-4A8D-8302-0094DC955899}"/>
    <cellStyle name="Normal 5 4 3 5 4" xfId="20481" xr:uid="{3F60CAB1-8EDD-42F4-9DB8-7B48D5EF2214}"/>
    <cellStyle name="Normal 5 4 3 5 5" xfId="28928" xr:uid="{611D96CA-D2F0-49F1-AEC8-5C1703CA4BC8}"/>
    <cellStyle name="Normal 5 4 3 5 6" xfId="37375" xr:uid="{18EAB6CE-830F-4B51-9D75-4F850D838082}"/>
    <cellStyle name="Normal 5 4 3 5 7" xfId="11181" xr:uid="{EC0CCCEB-78DA-49BA-AFA5-5F4363C5167F}"/>
    <cellStyle name="Normal 5 4 3 6" xfId="2179" xr:uid="{00000000-0005-0000-0000-00001F1B0000}"/>
    <cellStyle name="Normal 5 4 3 6 2" xfId="4408" xr:uid="{00000000-0005-0000-0000-0000201B0000}"/>
    <cellStyle name="Normal 5 4 3 6 2 2" xfId="8630" xr:uid="{00000000-0005-0000-0000-0000211B0000}"/>
    <cellStyle name="Normal 5 4 3 6 2 2 2" xfId="27256" xr:uid="{30CB05B2-121E-47F8-AF46-DDA12A2F2E7F}"/>
    <cellStyle name="Normal 5 4 3 6 2 2 3" xfId="35703" xr:uid="{879B453C-7A27-4BAC-8D1E-2997979677A1}"/>
    <cellStyle name="Normal 5 4 3 6 2 2 4" xfId="44150" xr:uid="{F8C9CD2D-57E2-40A0-974A-529400E50551}"/>
    <cellStyle name="Normal 5 4 3 6 2 2 5" xfId="17956" xr:uid="{6457EF8F-5ED0-4B08-8561-2D5760B7FF89}"/>
    <cellStyle name="Normal 5 4 3 6 2 3" xfId="23039" xr:uid="{C20A4EA2-2915-4302-88FC-FABEE2EF1B7C}"/>
    <cellStyle name="Normal 5 4 3 6 2 4" xfId="31486" xr:uid="{639C1C80-F895-4C62-B015-8BFFC96F2E74}"/>
    <cellStyle name="Normal 5 4 3 6 2 5" xfId="39933" xr:uid="{0E7F0872-69CC-4CC7-8B9C-F36784106E3E}"/>
    <cellStyle name="Normal 5 4 3 6 2 6" xfId="13739" xr:uid="{0EA29AF5-2C39-45C5-A96F-04ED30B3DD9E}"/>
    <cellStyle name="Normal 5 4 3 6 3" xfId="6485" xr:uid="{00000000-0005-0000-0000-0000221B0000}"/>
    <cellStyle name="Normal 5 4 3 6 3 2" xfId="25111" xr:uid="{44F9F8D9-BE25-49AE-8F35-29F6F2F4A37B}"/>
    <cellStyle name="Normal 5 4 3 6 3 3" xfId="33558" xr:uid="{B120A76F-791D-4964-93F6-C5D0C11B4832}"/>
    <cellStyle name="Normal 5 4 3 6 3 4" xfId="42005" xr:uid="{18361C13-FF6E-44B3-AE5A-34B6ACE62797}"/>
    <cellStyle name="Normal 5 4 3 6 3 5" xfId="15811" xr:uid="{F5E3E02A-7AD8-460E-AFCA-27D43D351DBB}"/>
    <cellStyle name="Normal 5 4 3 6 4" xfId="20894" xr:uid="{B3CC1643-6C54-4548-9589-74B7E5ED673F}"/>
    <cellStyle name="Normal 5 4 3 6 5" xfId="29341" xr:uid="{C5E549DB-21DD-4305-9000-0EF6B41CD26F}"/>
    <cellStyle name="Normal 5 4 3 6 6" xfId="37788" xr:uid="{988DAD59-855D-40F9-A94B-13FF17DA0363}"/>
    <cellStyle name="Normal 5 4 3 6 7" xfId="11594" xr:uid="{B3FC0375-E8EB-406C-A2E7-FC0DBA6AEEC9}"/>
    <cellStyle name="Normal 5 4 3 7" xfId="2615" xr:uid="{00000000-0005-0000-0000-0000231B0000}"/>
    <cellStyle name="Normal 5 4 3 7 2" xfId="6898" xr:uid="{00000000-0005-0000-0000-0000241B0000}"/>
    <cellStyle name="Normal 5 4 3 7 2 2" xfId="25524" xr:uid="{22CA0BC3-A01F-46BA-8574-CE7C22CAC83C}"/>
    <cellStyle name="Normal 5 4 3 7 2 3" xfId="33971" xr:uid="{5C107466-0703-4512-AF76-BBE4D9D4493B}"/>
    <cellStyle name="Normal 5 4 3 7 2 4" xfId="42418" xr:uid="{3440B1B1-5827-4566-8032-EF60DE2767FF}"/>
    <cellStyle name="Normal 5 4 3 7 2 5" xfId="16224" xr:uid="{ECE73B97-6D73-4D79-8627-6E8E7B8D35DF}"/>
    <cellStyle name="Normal 5 4 3 7 3" xfId="21307" xr:uid="{1DA676CD-2747-4E99-8267-5019A561AF18}"/>
    <cellStyle name="Normal 5 4 3 7 4" xfId="29754" xr:uid="{F9A33C2B-B522-4D0F-AD3B-AB62F229106B}"/>
    <cellStyle name="Normal 5 4 3 7 5" xfId="38201" xr:uid="{ADD99D74-CC85-420F-9697-696E93CCB1A0}"/>
    <cellStyle name="Normal 5 4 3 7 6" xfId="12007" xr:uid="{F6A864C5-3D5C-4D95-AB72-165D8AE0DD19}"/>
    <cellStyle name="Normal 5 4 3 8" xfId="4833" xr:uid="{00000000-0005-0000-0000-0000251B0000}"/>
    <cellStyle name="Normal 5 4 3 8 2" xfId="23459" xr:uid="{49DC1314-FEDC-493B-8F7E-623C47391CE3}"/>
    <cellStyle name="Normal 5 4 3 8 3" xfId="31906" xr:uid="{5B204858-EC95-4C5E-947C-B32053EA06DA}"/>
    <cellStyle name="Normal 5 4 3 8 4" xfId="40353" xr:uid="{72ECB5F1-0628-4B43-88BD-CEF0FA4C04EB}"/>
    <cellStyle name="Normal 5 4 3 8 5" xfId="14159" xr:uid="{2666998F-FE70-4018-AD7C-C4CBA7124A07}"/>
    <cellStyle name="Normal 5 4 3 9" xfId="8876" xr:uid="{D636A598-175F-46A4-8005-1A20EC6CCEC9}"/>
    <cellStyle name="Normal 5 4 3 9 2" xfId="18200" xr:uid="{270A8752-DDD5-4D2B-9E0F-51242E2A12B2}"/>
    <cellStyle name="Normal 5 4 4" xfId="463" xr:uid="{00000000-0005-0000-0000-0000261B0000}"/>
    <cellStyle name="Normal 5 4 4 10" xfId="27691" xr:uid="{3393A52F-6570-457C-AECB-B82AE87B505B}"/>
    <cellStyle name="Normal 5 4 4 11" xfId="36138" xr:uid="{1C68AA76-D688-4F97-9387-C932296686E4}"/>
    <cellStyle name="Normal 5 4 4 12" xfId="9944" xr:uid="{3F7001DF-2FAC-45DB-AB0D-6F88F4885948}"/>
    <cellStyle name="Normal 5 4 4 2" xfId="937" xr:uid="{00000000-0005-0000-0000-0000271B0000}"/>
    <cellStyle name="Normal 5 4 4 2 2" xfId="3171" xr:uid="{00000000-0005-0000-0000-0000281B0000}"/>
    <cellStyle name="Normal 5 4 4 2 2 2" xfId="7393" xr:uid="{00000000-0005-0000-0000-0000291B0000}"/>
    <cellStyle name="Normal 5 4 4 2 2 2 2" xfId="26019" xr:uid="{D8430DDC-F8D4-4AD6-9BEA-17527C110702}"/>
    <cellStyle name="Normal 5 4 4 2 2 2 3" xfId="34466" xr:uid="{5C990C18-EEB4-48B1-8AFA-E6010B94AC54}"/>
    <cellStyle name="Normal 5 4 4 2 2 2 4" xfId="42913" xr:uid="{D319ECFA-42A2-4C08-AF60-D516CB9D34BE}"/>
    <cellStyle name="Normal 5 4 4 2 2 2 5" xfId="16719" xr:uid="{395DBB5F-7779-48A9-A1A8-AB5785B49318}"/>
    <cellStyle name="Normal 5 4 4 2 2 3" xfId="21802" xr:uid="{645DD00C-5BFE-4A44-8E52-039B040C2B9A}"/>
    <cellStyle name="Normal 5 4 4 2 2 4" xfId="30249" xr:uid="{E0190226-CEE0-44CB-A891-893480114BE1}"/>
    <cellStyle name="Normal 5 4 4 2 2 5" xfId="38696" xr:uid="{9FD8BFB4-57DA-4473-B11E-11AFC92C4822}"/>
    <cellStyle name="Normal 5 4 4 2 2 6" xfId="12502" xr:uid="{5DDBCF6E-6398-4304-AA7F-83E7B06ED1D5}"/>
    <cellStyle name="Normal 5 4 4 2 3" xfId="5248" xr:uid="{00000000-0005-0000-0000-00002A1B0000}"/>
    <cellStyle name="Normal 5 4 4 2 3 2" xfId="23874" xr:uid="{67477D03-1D01-4EFA-9ED5-3196A8E33F29}"/>
    <cellStyle name="Normal 5 4 4 2 3 3" xfId="32321" xr:uid="{9D612445-EA15-4C35-99DB-41EA36BEDE19}"/>
    <cellStyle name="Normal 5 4 4 2 3 4" xfId="40768" xr:uid="{5D4909EF-101A-454B-A5A1-0C61A3B96BAE}"/>
    <cellStyle name="Normal 5 4 4 2 3 5" xfId="14574" xr:uid="{C67E1C6E-B051-4DC6-8F51-6F7E1FAE247D}"/>
    <cellStyle name="Normal 5 4 4 2 4" xfId="9405" xr:uid="{F05DE0DC-A0AA-4CEB-9ABC-0D70F781B819}"/>
    <cellStyle name="Normal 5 4 4 2 4 2" xfId="18721" xr:uid="{027926B5-2782-4167-9A12-E4DB2F899EDE}"/>
    <cellStyle name="Normal 5 4 4 2 5" xfId="19657" xr:uid="{6B6DFE18-7CE1-446F-AAF8-C0CACEF159B1}"/>
    <cellStyle name="Normal 5 4 4 2 6" xfId="28104" xr:uid="{AD31F084-7704-42D8-9FE6-F6C9359BA8FF}"/>
    <cellStyle name="Normal 5 4 4 2 7" xfId="36551" xr:uid="{1C5A2B2E-F8E4-4723-85AA-83D88DFF9100}"/>
    <cellStyle name="Normal 5 4 4 2 8" xfId="10357" xr:uid="{F5DE5D53-B569-48B9-92A0-608F0ECDABFB}"/>
    <cellStyle name="Normal 5 4 4 3" xfId="1354" xr:uid="{00000000-0005-0000-0000-00002B1B0000}"/>
    <cellStyle name="Normal 5 4 4 3 2" xfId="3584" xr:uid="{00000000-0005-0000-0000-00002C1B0000}"/>
    <cellStyle name="Normal 5 4 4 3 2 2" xfId="7806" xr:uid="{00000000-0005-0000-0000-00002D1B0000}"/>
    <cellStyle name="Normal 5 4 4 3 2 2 2" xfId="26432" xr:uid="{A5745EAC-86CB-44E7-8361-382775F5344C}"/>
    <cellStyle name="Normal 5 4 4 3 2 2 3" xfId="34879" xr:uid="{4A4062B4-C661-413D-B503-23A832DA359D}"/>
    <cellStyle name="Normal 5 4 4 3 2 2 4" xfId="43326" xr:uid="{DE0BE4D3-2468-400B-B4E2-C9F3A5D2DC0B}"/>
    <cellStyle name="Normal 5 4 4 3 2 2 5" xfId="17132" xr:uid="{58C0395D-A768-47B0-B424-3B92B27E157E}"/>
    <cellStyle name="Normal 5 4 4 3 2 3" xfId="22215" xr:uid="{75FE6D46-D239-4F7A-B9FA-131D90745AAE}"/>
    <cellStyle name="Normal 5 4 4 3 2 4" xfId="30662" xr:uid="{7816CBC7-CCF2-4E22-BA73-7A7FD46F0C9A}"/>
    <cellStyle name="Normal 5 4 4 3 2 5" xfId="39109" xr:uid="{F93A2D25-31ED-4DF9-848B-DFEA7BBCFA67}"/>
    <cellStyle name="Normal 5 4 4 3 2 6" xfId="12915" xr:uid="{E3E9C217-8909-4A50-9A4C-FA9D0ACD0C53}"/>
    <cellStyle name="Normal 5 4 4 3 3" xfId="5661" xr:uid="{00000000-0005-0000-0000-00002E1B0000}"/>
    <cellStyle name="Normal 5 4 4 3 3 2" xfId="24287" xr:uid="{C88FD561-3EF6-4109-8A89-CE8DD3A815FF}"/>
    <cellStyle name="Normal 5 4 4 3 3 3" xfId="32734" xr:uid="{07B9F805-DCC9-4C0D-8B66-E35EAAC73F6C}"/>
    <cellStyle name="Normal 5 4 4 3 3 4" xfId="41181" xr:uid="{176A5CB4-9A37-439E-829F-8F98499E2DF9}"/>
    <cellStyle name="Normal 5 4 4 3 3 5" xfId="14987" xr:uid="{EB01E021-819F-4452-AD6A-6BA1A9370371}"/>
    <cellStyle name="Normal 5 4 4 3 4" xfId="20070" xr:uid="{6BB7633B-BECB-44D2-BF06-9CF6A0CF3FD7}"/>
    <cellStyle name="Normal 5 4 4 3 5" xfId="28517" xr:uid="{B50A7A7D-414A-4C28-8E0E-BFF0B8092099}"/>
    <cellStyle name="Normal 5 4 4 3 6" xfId="36964" xr:uid="{2D333AC3-C96E-4671-A369-FDF0DC6AD8F2}"/>
    <cellStyle name="Normal 5 4 4 3 7" xfId="10770" xr:uid="{024187E7-F7BB-48A2-9888-C90D8267C69C}"/>
    <cellStyle name="Normal 5 4 4 4" xfId="1767" xr:uid="{00000000-0005-0000-0000-00002F1B0000}"/>
    <cellStyle name="Normal 5 4 4 4 2" xfId="3997" xr:uid="{00000000-0005-0000-0000-0000301B0000}"/>
    <cellStyle name="Normal 5 4 4 4 2 2" xfId="8219" xr:uid="{00000000-0005-0000-0000-0000311B0000}"/>
    <cellStyle name="Normal 5 4 4 4 2 2 2" xfId="26845" xr:uid="{8C5198F0-5338-4603-B045-ACB3B094DF66}"/>
    <cellStyle name="Normal 5 4 4 4 2 2 3" xfId="35292" xr:uid="{9776F4E8-535F-47FB-8708-059F0C6FE8DD}"/>
    <cellStyle name="Normal 5 4 4 4 2 2 4" xfId="43739" xr:uid="{2B0B61B0-A173-4C4E-9A36-0750B0E7887B}"/>
    <cellStyle name="Normal 5 4 4 4 2 2 5" xfId="17545" xr:uid="{3D525389-9735-499D-AB8A-5FC103023080}"/>
    <cellStyle name="Normal 5 4 4 4 2 3" xfId="22628" xr:uid="{7ACC6810-4E13-4DEA-A403-6212FBE97E4A}"/>
    <cellStyle name="Normal 5 4 4 4 2 4" xfId="31075" xr:uid="{7E5CA146-4915-4E96-9DC8-0B034FAC0A24}"/>
    <cellStyle name="Normal 5 4 4 4 2 5" xfId="39522" xr:uid="{9D63E673-9BD0-462A-BA0E-8BA48067E445}"/>
    <cellStyle name="Normal 5 4 4 4 2 6" xfId="13328" xr:uid="{861F2B94-BC62-489A-9FD8-BD4EE96CF068}"/>
    <cellStyle name="Normal 5 4 4 4 3" xfId="6074" xr:uid="{00000000-0005-0000-0000-0000321B0000}"/>
    <cellStyle name="Normal 5 4 4 4 3 2" xfId="24700" xr:uid="{3BAC66A9-1BA6-40E4-8997-7584363F5406}"/>
    <cellStyle name="Normal 5 4 4 4 3 3" xfId="33147" xr:uid="{1CEFA0F3-E178-46E7-94BB-456F14A7BAF8}"/>
    <cellStyle name="Normal 5 4 4 4 3 4" xfId="41594" xr:uid="{AFF433CE-7478-4723-BE2A-E0F8B2AB7E2E}"/>
    <cellStyle name="Normal 5 4 4 4 3 5" xfId="15400" xr:uid="{52FC5723-6D23-48FF-858A-A1B51966AB3B}"/>
    <cellStyle name="Normal 5 4 4 4 4" xfId="20483" xr:uid="{A06D4B69-4B83-4519-8A52-400B1AD64AE6}"/>
    <cellStyle name="Normal 5 4 4 4 5" xfId="28930" xr:uid="{46E4B57A-7F98-4533-B76F-1BC5B2E19E67}"/>
    <cellStyle name="Normal 5 4 4 4 6" xfId="37377" xr:uid="{4546D8B4-8C6E-4070-A24E-8412FFAAAE13}"/>
    <cellStyle name="Normal 5 4 4 4 7" xfId="11183" xr:uid="{891FDBDE-19C8-487E-BA52-DA096031B3DD}"/>
    <cellStyle name="Normal 5 4 4 5" xfId="2181" xr:uid="{00000000-0005-0000-0000-0000331B0000}"/>
    <cellStyle name="Normal 5 4 4 5 2" xfId="4410" xr:uid="{00000000-0005-0000-0000-0000341B0000}"/>
    <cellStyle name="Normal 5 4 4 5 2 2" xfId="8632" xr:uid="{00000000-0005-0000-0000-0000351B0000}"/>
    <cellStyle name="Normal 5 4 4 5 2 2 2" xfId="27258" xr:uid="{475BB97A-BEDC-4824-851D-1D539F0FB216}"/>
    <cellStyle name="Normal 5 4 4 5 2 2 3" xfId="35705" xr:uid="{F3D46B44-6F4D-4991-8511-33E8AB1A4E7A}"/>
    <cellStyle name="Normal 5 4 4 5 2 2 4" xfId="44152" xr:uid="{AB4ED346-B7F1-4F60-B67F-954459DB8868}"/>
    <cellStyle name="Normal 5 4 4 5 2 2 5" xfId="17958" xr:uid="{A5E4E05A-02A9-482E-831C-BB99F016B3AF}"/>
    <cellStyle name="Normal 5 4 4 5 2 3" xfId="23041" xr:uid="{4A0D8846-107E-4FFF-AB5E-4FB741E02B28}"/>
    <cellStyle name="Normal 5 4 4 5 2 4" xfId="31488" xr:uid="{6689DF54-389D-4368-B92D-EF3402B33BF3}"/>
    <cellStyle name="Normal 5 4 4 5 2 5" xfId="39935" xr:uid="{5DB9E734-B80A-4D1F-94A0-47C5F4455F38}"/>
    <cellStyle name="Normal 5 4 4 5 2 6" xfId="13741" xr:uid="{332DAA74-9585-4DA0-AA6D-C14515A08EF7}"/>
    <cellStyle name="Normal 5 4 4 5 3" xfId="6487" xr:uid="{00000000-0005-0000-0000-0000361B0000}"/>
    <cellStyle name="Normal 5 4 4 5 3 2" xfId="25113" xr:uid="{FD49EA04-B3DE-45C8-9DB5-2B6CC8B74D00}"/>
    <cellStyle name="Normal 5 4 4 5 3 3" xfId="33560" xr:uid="{03263958-6018-46B3-839A-C978D3A5E3EC}"/>
    <cellStyle name="Normal 5 4 4 5 3 4" xfId="42007" xr:uid="{0C70A613-284E-4248-88E5-BADA16714C94}"/>
    <cellStyle name="Normal 5 4 4 5 3 5" xfId="15813" xr:uid="{C5FC86B1-868E-4E3C-9989-932A5730AA35}"/>
    <cellStyle name="Normal 5 4 4 5 4" xfId="20896" xr:uid="{2649C64A-DE8F-48F6-BE43-EB7DB30FED7F}"/>
    <cellStyle name="Normal 5 4 4 5 5" xfId="29343" xr:uid="{B7C8984B-DDB8-4D75-8F51-44FAA67DB0AA}"/>
    <cellStyle name="Normal 5 4 4 5 6" xfId="37790" xr:uid="{5A468F8D-A103-4FAE-821C-36B568690CAB}"/>
    <cellStyle name="Normal 5 4 4 5 7" xfId="11596" xr:uid="{ABFB1957-883E-460F-88E3-F3C3968F72ED}"/>
    <cellStyle name="Normal 5 4 4 6" xfId="2617" xr:uid="{00000000-0005-0000-0000-0000371B0000}"/>
    <cellStyle name="Normal 5 4 4 6 2" xfId="6900" xr:uid="{00000000-0005-0000-0000-0000381B0000}"/>
    <cellStyle name="Normal 5 4 4 6 2 2" xfId="25526" xr:uid="{9ACEEFA1-2A84-4564-BF95-672B7CCDD726}"/>
    <cellStyle name="Normal 5 4 4 6 2 3" xfId="33973" xr:uid="{6B1DB33E-A87F-4F2F-AC04-4361301990D7}"/>
    <cellStyle name="Normal 5 4 4 6 2 4" xfId="42420" xr:uid="{E7ABBD31-4FCE-4200-AF7E-EEDE56646C7F}"/>
    <cellStyle name="Normal 5 4 4 6 2 5" xfId="16226" xr:uid="{4BA15FC4-1157-498B-B888-0384BF05C37F}"/>
    <cellStyle name="Normal 5 4 4 6 3" xfId="21309" xr:uid="{F12B14F5-E9A1-46BB-89D9-087F66EED607}"/>
    <cellStyle name="Normal 5 4 4 6 4" xfId="29756" xr:uid="{60C50C5E-0C01-4DDC-AA7A-6CB7B92C85EF}"/>
    <cellStyle name="Normal 5 4 4 6 5" xfId="38203" xr:uid="{85AAAFA5-A77A-468C-A0BE-8A70AA52133A}"/>
    <cellStyle name="Normal 5 4 4 6 6" xfId="12009" xr:uid="{F9673BD3-4865-4D24-9017-CC92F3D81A12}"/>
    <cellStyle name="Normal 5 4 4 7" xfId="4835" xr:uid="{00000000-0005-0000-0000-0000391B0000}"/>
    <cellStyle name="Normal 5 4 4 7 2" xfId="23461" xr:uid="{4379E364-0B47-422A-AECA-716E212FBF3A}"/>
    <cellStyle name="Normal 5 4 4 7 3" xfId="31908" xr:uid="{616988C7-C70B-40C0-9DFF-B9C529F877E0}"/>
    <cellStyle name="Normal 5 4 4 7 4" xfId="40355" xr:uid="{AD5672B8-44B9-4CCB-A771-24212044635D}"/>
    <cellStyle name="Normal 5 4 4 7 5" xfId="14161" xr:uid="{D9620F7B-CBD6-4A7A-8C4D-8D69B86ED5C7}"/>
    <cellStyle name="Normal 5 4 4 8" xfId="8980" xr:uid="{B1DB48A4-94CB-4CC2-8D4B-8FD478363D48}"/>
    <cellStyle name="Normal 5 4 4 8 2" xfId="18304" xr:uid="{33CECB91-712B-4EE8-AD37-A97968E11DC5}"/>
    <cellStyle name="Normal 5 4 4 9" xfId="19244" xr:uid="{1D2DC25E-3EC8-4212-931A-DB99F9341613}"/>
    <cellStyle name="Normal 5 4 5" xfId="930" xr:uid="{00000000-0005-0000-0000-00003A1B0000}"/>
    <cellStyle name="Normal 5 4 5 2" xfId="3164" xr:uid="{00000000-0005-0000-0000-00003B1B0000}"/>
    <cellStyle name="Normal 5 4 5 2 2" xfId="7386" xr:uid="{00000000-0005-0000-0000-00003C1B0000}"/>
    <cellStyle name="Normal 5 4 5 2 2 2" xfId="26012" xr:uid="{C8FAB7EF-BCB3-4EB7-BA55-C7D5881BC895}"/>
    <cellStyle name="Normal 5 4 5 2 2 3" xfId="34459" xr:uid="{F95C2DDD-0581-47A7-AE50-2632FFEB8854}"/>
    <cellStyle name="Normal 5 4 5 2 2 4" xfId="42906" xr:uid="{E888B9A7-8D09-4388-9E40-68EBC0D4DFE6}"/>
    <cellStyle name="Normal 5 4 5 2 2 5" xfId="16712" xr:uid="{59C4A38B-82C4-4A67-88BB-9EE97A2434ED}"/>
    <cellStyle name="Normal 5 4 5 2 3" xfId="21795" xr:uid="{F2965ACC-72D1-4FAF-9CFE-89C4F2118231}"/>
    <cellStyle name="Normal 5 4 5 2 4" xfId="30242" xr:uid="{88E794A5-7E85-48D5-BB7F-654C1DC3A1D3}"/>
    <cellStyle name="Normal 5 4 5 2 5" xfId="38689" xr:uid="{42FBBC00-B1A6-415B-AE88-1C47A16237AE}"/>
    <cellStyle name="Normal 5 4 5 2 6" xfId="12495" xr:uid="{30CF4250-2E77-48D0-91F3-9641E4E888D7}"/>
    <cellStyle name="Normal 5 4 5 3" xfId="5241" xr:uid="{00000000-0005-0000-0000-00003D1B0000}"/>
    <cellStyle name="Normal 5 4 5 3 2" xfId="23867" xr:uid="{20D857E3-BF51-47F7-8958-2F1B694EB44D}"/>
    <cellStyle name="Normal 5 4 5 3 3" xfId="32314" xr:uid="{D42F084E-2D32-48A8-AABA-42B2D9481CA9}"/>
    <cellStyle name="Normal 5 4 5 3 4" xfId="40761" xr:uid="{A616E637-A60D-4F8A-AFEA-209ED3FA128A}"/>
    <cellStyle name="Normal 5 4 5 3 5" xfId="14567" xr:uid="{9EBA0EEB-D84C-4AA7-A781-F80DDA250A79}"/>
    <cellStyle name="Normal 5 4 5 4" xfId="9197" xr:uid="{44FF0EFB-444B-4C40-B695-8C256ADB5563}"/>
    <cellStyle name="Normal 5 4 5 4 2" xfId="18514" xr:uid="{2F3B4860-6D59-486C-B530-B73AEE3A25A8}"/>
    <cellStyle name="Normal 5 4 5 5" xfId="19650" xr:uid="{F05F34BC-678C-4E4F-A050-8334C244D7F6}"/>
    <cellStyle name="Normal 5 4 5 6" xfId="28097" xr:uid="{1CB2EB49-36D6-48F9-B7E4-E193BD0941BD}"/>
    <cellStyle name="Normal 5 4 5 7" xfId="36544" xr:uid="{2F406B33-2A8D-4680-9A68-6019F4FCF16F}"/>
    <cellStyle name="Normal 5 4 5 8" xfId="10350" xr:uid="{AF7FB1BA-F768-49EC-8078-B6EB0887F385}"/>
    <cellStyle name="Normal 5 4 6" xfId="1347" xr:uid="{00000000-0005-0000-0000-00003E1B0000}"/>
    <cellStyle name="Normal 5 4 6 2" xfId="3577" xr:uid="{00000000-0005-0000-0000-00003F1B0000}"/>
    <cellStyle name="Normal 5 4 6 2 2" xfId="7799" xr:uid="{00000000-0005-0000-0000-0000401B0000}"/>
    <cellStyle name="Normal 5 4 6 2 2 2" xfId="26425" xr:uid="{57B276DB-32CE-4428-BDCF-DF68FF51AC7D}"/>
    <cellStyle name="Normal 5 4 6 2 2 3" xfId="34872" xr:uid="{5B03BE02-8D13-4620-A566-AB5B834AF02F}"/>
    <cellStyle name="Normal 5 4 6 2 2 4" xfId="43319" xr:uid="{7C2CFE33-C2E6-4110-BD27-63B99AF39129}"/>
    <cellStyle name="Normal 5 4 6 2 2 5" xfId="17125" xr:uid="{B5B262E2-6AE8-4396-B957-AD08FDB3D811}"/>
    <cellStyle name="Normal 5 4 6 2 3" xfId="22208" xr:uid="{ED625392-4E6D-4294-BCC2-3EA8A0F471F4}"/>
    <cellStyle name="Normal 5 4 6 2 4" xfId="30655" xr:uid="{DC90BDFE-ACE4-4430-9A1F-C166C8F74194}"/>
    <cellStyle name="Normal 5 4 6 2 5" xfId="39102" xr:uid="{06C37F62-E537-4E2D-A8B1-0B32660DE72E}"/>
    <cellStyle name="Normal 5 4 6 2 6" xfId="12908" xr:uid="{F48927AF-9672-465B-9AD8-352CE5DCE4BE}"/>
    <cellStyle name="Normal 5 4 6 3" xfId="5654" xr:uid="{00000000-0005-0000-0000-0000411B0000}"/>
    <cellStyle name="Normal 5 4 6 3 2" xfId="24280" xr:uid="{3B63DC18-A685-4548-9E3C-23C3B98D8579}"/>
    <cellStyle name="Normal 5 4 6 3 3" xfId="32727" xr:uid="{809C782A-2D5E-4A2B-890C-0943755E35EC}"/>
    <cellStyle name="Normal 5 4 6 3 4" xfId="41174" xr:uid="{1F5C63CF-7F29-4967-8E2A-DA774638E6A0}"/>
    <cellStyle name="Normal 5 4 6 3 5" xfId="14980" xr:uid="{9633C0E5-9EE3-460C-8DB0-55A22C674F49}"/>
    <cellStyle name="Normal 5 4 6 4" xfId="20063" xr:uid="{191BE153-EEB5-4D9B-9D76-1A93D9A81AF1}"/>
    <cellStyle name="Normal 5 4 6 5" xfId="28510" xr:uid="{1655B18E-2600-48E4-9649-36B112E28EC4}"/>
    <cellStyle name="Normal 5 4 6 6" xfId="36957" xr:uid="{74794215-7AED-42E2-ADC9-D4436635D0D6}"/>
    <cellStyle name="Normal 5 4 6 7" xfId="10763" xr:uid="{837B9621-1361-4EEA-8336-1A6826B55CD1}"/>
    <cellStyle name="Normal 5 4 7" xfId="1760" xr:uid="{00000000-0005-0000-0000-0000421B0000}"/>
    <cellStyle name="Normal 5 4 7 2" xfId="3990" xr:uid="{00000000-0005-0000-0000-0000431B0000}"/>
    <cellStyle name="Normal 5 4 7 2 2" xfId="8212" xr:uid="{00000000-0005-0000-0000-0000441B0000}"/>
    <cellStyle name="Normal 5 4 7 2 2 2" xfId="26838" xr:uid="{FA4F151F-32C3-4981-84B0-5B1CCD877390}"/>
    <cellStyle name="Normal 5 4 7 2 2 3" xfId="35285" xr:uid="{E11B3A5C-4DA9-4E1F-B3EC-4C038BC8ECAC}"/>
    <cellStyle name="Normal 5 4 7 2 2 4" xfId="43732" xr:uid="{DC2258A2-5309-4A0A-9274-BF7BB6A655B6}"/>
    <cellStyle name="Normal 5 4 7 2 2 5" xfId="17538" xr:uid="{E8081006-864B-445F-8ED3-A3E592E7ACBA}"/>
    <cellStyle name="Normal 5 4 7 2 3" xfId="22621" xr:uid="{4A08A6F4-2D37-444D-90DF-A217290A0014}"/>
    <cellStyle name="Normal 5 4 7 2 4" xfId="31068" xr:uid="{1CC63250-B8E4-4034-AB9A-FD471ABC97CD}"/>
    <cellStyle name="Normal 5 4 7 2 5" xfId="39515" xr:uid="{B74BA98D-FCE2-4CE0-BF5C-684E55FE0B5D}"/>
    <cellStyle name="Normal 5 4 7 2 6" xfId="13321" xr:uid="{3E093EE8-B33F-4BF7-A7B5-7CEE83B91675}"/>
    <cellStyle name="Normal 5 4 7 3" xfId="6067" xr:uid="{00000000-0005-0000-0000-0000451B0000}"/>
    <cellStyle name="Normal 5 4 7 3 2" xfId="24693" xr:uid="{BE45D4D7-47B5-47F3-9A44-1E3DA107F2BE}"/>
    <cellStyle name="Normal 5 4 7 3 3" xfId="33140" xr:uid="{7E061EDC-947E-420B-98BA-39A399C1F985}"/>
    <cellStyle name="Normal 5 4 7 3 4" xfId="41587" xr:uid="{04F9EB72-B803-4489-AA9D-14DA1B1B7D0B}"/>
    <cellStyle name="Normal 5 4 7 3 5" xfId="15393" xr:uid="{7E5AC4DE-4451-4250-83DF-B07C9DB008A2}"/>
    <cellStyle name="Normal 5 4 7 4" xfId="20476" xr:uid="{94B95655-E67D-476D-BCDC-2E1349BFEF2A}"/>
    <cellStyle name="Normal 5 4 7 5" xfId="28923" xr:uid="{92A5A08E-2C84-46A4-88D9-160E556BDC6F}"/>
    <cellStyle name="Normal 5 4 7 6" xfId="37370" xr:uid="{FC700734-B368-4253-B136-02B0E98FA587}"/>
    <cellStyle name="Normal 5 4 7 7" xfId="11176" xr:uid="{092A59E6-C5CA-4614-BDF1-A4B0476B6019}"/>
    <cellStyle name="Normal 5 4 8" xfId="2174" xr:uid="{00000000-0005-0000-0000-0000461B0000}"/>
    <cellStyle name="Normal 5 4 8 2" xfId="4403" xr:uid="{00000000-0005-0000-0000-0000471B0000}"/>
    <cellStyle name="Normal 5 4 8 2 2" xfId="8625" xr:uid="{00000000-0005-0000-0000-0000481B0000}"/>
    <cellStyle name="Normal 5 4 8 2 2 2" xfId="27251" xr:uid="{83990182-27BA-4E65-9DF1-FE7AB01B4024}"/>
    <cellStyle name="Normal 5 4 8 2 2 3" xfId="35698" xr:uid="{9B9D49BD-80D9-468F-82C8-44B9F9303920}"/>
    <cellStyle name="Normal 5 4 8 2 2 4" xfId="44145" xr:uid="{F79326AB-B348-4F70-9CFD-6C978A7019BF}"/>
    <cellStyle name="Normal 5 4 8 2 2 5" xfId="17951" xr:uid="{3B2458C2-DF61-4D10-AE56-F32F41D84645}"/>
    <cellStyle name="Normal 5 4 8 2 3" xfId="23034" xr:uid="{0B225D3F-1F3F-4E74-A4EE-7D3F85CF4B2D}"/>
    <cellStyle name="Normal 5 4 8 2 4" xfId="31481" xr:uid="{5E37EDD5-6F32-493E-82F3-9DBD711F2B23}"/>
    <cellStyle name="Normal 5 4 8 2 5" xfId="39928" xr:uid="{A88A591C-18AE-4AD5-8D12-8601CEC6E9D6}"/>
    <cellStyle name="Normal 5 4 8 2 6" xfId="13734" xr:uid="{D2DC4ABB-3E1B-4FA6-8B34-A02510B52DB8}"/>
    <cellStyle name="Normal 5 4 8 3" xfId="6480" xr:uid="{00000000-0005-0000-0000-0000491B0000}"/>
    <cellStyle name="Normal 5 4 8 3 2" xfId="25106" xr:uid="{9A3040FB-A752-44E5-933E-9459A7C12330}"/>
    <cellStyle name="Normal 5 4 8 3 3" xfId="33553" xr:uid="{CA316742-7E75-49D1-B898-C950A3BE4B27}"/>
    <cellStyle name="Normal 5 4 8 3 4" xfId="42000" xr:uid="{2CFDCA24-7DE0-42F6-8F96-0BDACD69766B}"/>
    <cellStyle name="Normal 5 4 8 3 5" xfId="15806" xr:uid="{9F56CF94-3634-4BB2-BAFE-953B421F5EB1}"/>
    <cellStyle name="Normal 5 4 8 4" xfId="20889" xr:uid="{41F96611-67FB-43D4-944B-B610D95F0D3C}"/>
    <cellStyle name="Normal 5 4 8 5" xfId="29336" xr:uid="{09EEC6A1-C8AC-437F-AF20-D9FC7AE61958}"/>
    <cellStyle name="Normal 5 4 8 6" xfId="37783" xr:uid="{D7AF09E7-F1A8-4C6F-BEB9-F6241361E935}"/>
    <cellStyle name="Normal 5 4 8 7" xfId="11589" xr:uid="{99B3EFE5-11BB-4655-9DE0-338240217A09}"/>
    <cellStyle name="Normal 5 4 9" xfId="2610" xr:uid="{00000000-0005-0000-0000-00004A1B0000}"/>
    <cellStyle name="Normal 5 4 9 2" xfId="6893" xr:uid="{00000000-0005-0000-0000-00004B1B0000}"/>
    <cellStyle name="Normal 5 4 9 2 2" xfId="25519" xr:uid="{D1600915-3707-46A3-B180-BBFC917E0853}"/>
    <cellStyle name="Normal 5 4 9 2 3" xfId="33966" xr:uid="{FAFC7F70-17CF-4A41-8562-BD2D71E43AD0}"/>
    <cellStyle name="Normal 5 4 9 2 4" xfId="42413" xr:uid="{433C2447-1A10-4095-81AB-08EBB4E762AB}"/>
    <cellStyle name="Normal 5 4 9 2 5" xfId="16219" xr:uid="{31D43603-2438-412B-B092-0948145D5D8E}"/>
    <cellStyle name="Normal 5 4 9 3" xfId="21302" xr:uid="{4CB0C2A0-9E75-4B91-B3E0-8E0BD7170B01}"/>
    <cellStyle name="Normal 5 4 9 4" xfId="29749" xr:uid="{FBC7F8ED-1CDB-4D76-8373-83DCB1C11C53}"/>
    <cellStyle name="Normal 5 4 9 5" xfId="38196" xr:uid="{F363B5B3-424B-4569-84F5-A345337D28E1}"/>
    <cellStyle name="Normal 5 4 9 6" xfId="12002" xr:uid="{B0DC4106-5DD7-4CAD-9DDF-BFD8BF07582B}"/>
    <cellStyle name="Normal 5 5" xfId="464" xr:uid="{00000000-0005-0000-0000-00004C1B0000}"/>
    <cellStyle name="Normal 5 5 10" xfId="8826" xr:uid="{5746674A-546A-44BF-97FB-6D298BF3AD61}"/>
    <cellStyle name="Normal 5 5 10 2" xfId="18150" xr:uid="{C6DD089A-C284-4B9D-9DB3-24058979BE58}"/>
    <cellStyle name="Normal 5 5 11" xfId="19245" xr:uid="{63FB7A35-138D-4B66-9BCA-C8D4AA713DD9}"/>
    <cellStyle name="Normal 5 5 12" xfId="27692" xr:uid="{1B11FF22-DCF8-47C8-B46F-5A616AB70049}"/>
    <cellStyle name="Normal 5 5 13" xfId="36139" xr:uid="{5ACF910A-29BF-48CF-B6A1-69A1BBBA2AC7}"/>
    <cellStyle name="Normal 5 5 14" xfId="9945" xr:uid="{3310AD56-1EA4-489E-8B2B-8BA7DDB1DD8F}"/>
    <cellStyle name="Normal 5 5 2" xfId="465" xr:uid="{00000000-0005-0000-0000-00004D1B0000}"/>
    <cellStyle name="Normal 5 5 2 10" xfId="19246" xr:uid="{D511ED2D-0B8B-48BC-A1E3-C57B9006DA11}"/>
    <cellStyle name="Normal 5 5 2 11" xfId="27693" xr:uid="{A6F58519-325A-4C3F-A79B-CD72E9C7DACA}"/>
    <cellStyle name="Normal 5 5 2 12" xfId="36140" xr:uid="{7322A6F9-342F-4DCC-8287-AECEB5FE5FEB}"/>
    <cellStyle name="Normal 5 5 2 13" xfId="9946" xr:uid="{9202532B-1366-4A4B-964E-BBE9E96F10D6}"/>
    <cellStyle name="Normal 5 5 2 2" xfId="466" xr:uid="{00000000-0005-0000-0000-00004E1B0000}"/>
    <cellStyle name="Normal 5 5 2 2 10" xfId="27694" xr:uid="{9323E1E8-6D15-457B-BCE5-18A645FAE062}"/>
    <cellStyle name="Normal 5 5 2 2 11" xfId="36141" xr:uid="{518593C5-221D-49C2-B11D-BE232169953C}"/>
    <cellStyle name="Normal 5 5 2 2 12" xfId="9947" xr:uid="{57D181C4-8E78-44A9-B565-46C5B4726808}"/>
    <cellStyle name="Normal 5 5 2 2 2" xfId="940" xr:uid="{00000000-0005-0000-0000-00004F1B0000}"/>
    <cellStyle name="Normal 5 5 2 2 2 2" xfId="3174" xr:uid="{00000000-0005-0000-0000-0000501B0000}"/>
    <cellStyle name="Normal 5 5 2 2 2 2 2" xfId="7396" xr:uid="{00000000-0005-0000-0000-0000511B0000}"/>
    <cellStyle name="Normal 5 5 2 2 2 2 2 2" xfId="26022" xr:uid="{8F3463D2-5611-416A-BF4A-2E2B5E6EA810}"/>
    <cellStyle name="Normal 5 5 2 2 2 2 2 3" xfId="34469" xr:uid="{990889F8-C5AC-4E2C-BDB9-627E08A5C8C1}"/>
    <cellStyle name="Normal 5 5 2 2 2 2 2 4" xfId="42916" xr:uid="{572F73F1-76E6-4CCF-A657-30FC3A197DBA}"/>
    <cellStyle name="Normal 5 5 2 2 2 2 2 5" xfId="16722" xr:uid="{AD2E6AA6-958E-4DFE-8A76-1C61353CFC44}"/>
    <cellStyle name="Normal 5 5 2 2 2 2 3" xfId="21805" xr:uid="{E93C21F2-EE7D-47C7-977B-E8BD4889130B}"/>
    <cellStyle name="Normal 5 5 2 2 2 2 4" xfId="30252" xr:uid="{CCECB1BF-98F4-4CE0-8ED1-AF14A78D97CE}"/>
    <cellStyle name="Normal 5 5 2 2 2 2 5" xfId="38699" xr:uid="{538906C8-5FCB-4B8D-84AD-C4A14476EA82}"/>
    <cellStyle name="Normal 5 5 2 2 2 2 6" xfId="12505" xr:uid="{1522F126-F4A3-45A9-989B-7A62F7FFFFF1}"/>
    <cellStyle name="Normal 5 5 2 2 2 3" xfId="5251" xr:uid="{00000000-0005-0000-0000-0000521B0000}"/>
    <cellStyle name="Normal 5 5 2 2 2 3 2" xfId="23877" xr:uid="{53FB29C2-14F8-46AE-ACCA-86585E8CEC13}"/>
    <cellStyle name="Normal 5 5 2 2 2 3 3" xfId="32324" xr:uid="{AA9D06A7-F324-453E-9E9B-805AAA46021A}"/>
    <cellStyle name="Normal 5 5 2 2 2 3 4" xfId="40771" xr:uid="{4CB9BD31-B17E-454C-B0C1-DBE462A41577}"/>
    <cellStyle name="Normal 5 5 2 2 2 3 5" xfId="14577" xr:uid="{A4DAF166-B9C0-43CA-9194-EC2C7E53E453}"/>
    <cellStyle name="Normal 5 5 2 2 2 4" xfId="9561" xr:uid="{FF1EB4DD-E23E-4228-816B-D59B021F724D}"/>
    <cellStyle name="Normal 5 5 2 2 2 4 2" xfId="18877" xr:uid="{92447CDF-8299-432B-9E7B-F6F9EB9D0899}"/>
    <cellStyle name="Normal 5 5 2 2 2 5" xfId="19660" xr:uid="{41C40C19-5947-4EDC-9323-DF86E653EE3A}"/>
    <cellStyle name="Normal 5 5 2 2 2 6" xfId="28107" xr:uid="{B13BF133-78CB-4E91-981C-7116BBE8B240}"/>
    <cellStyle name="Normal 5 5 2 2 2 7" xfId="36554" xr:uid="{E759A6EE-63EF-4281-8899-4012161BAF71}"/>
    <cellStyle name="Normal 5 5 2 2 2 8" xfId="10360" xr:uid="{4B56E03B-E32B-4F90-A7B0-EC2B281319C9}"/>
    <cellStyle name="Normal 5 5 2 2 3" xfId="1357" xr:uid="{00000000-0005-0000-0000-0000531B0000}"/>
    <cellStyle name="Normal 5 5 2 2 3 2" xfId="3587" xr:uid="{00000000-0005-0000-0000-0000541B0000}"/>
    <cellStyle name="Normal 5 5 2 2 3 2 2" xfId="7809" xr:uid="{00000000-0005-0000-0000-0000551B0000}"/>
    <cellStyle name="Normal 5 5 2 2 3 2 2 2" xfId="26435" xr:uid="{021D5FDD-8B78-410F-90DE-FAC65EBE5D07}"/>
    <cellStyle name="Normal 5 5 2 2 3 2 2 3" xfId="34882" xr:uid="{2C177BF1-39AF-4380-9348-84EE3985853E}"/>
    <cellStyle name="Normal 5 5 2 2 3 2 2 4" xfId="43329" xr:uid="{B68A7362-344F-40D7-8177-598E722E3427}"/>
    <cellStyle name="Normal 5 5 2 2 3 2 2 5" xfId="17135" xr:uid="{2A9F3340-B8CB-488B-BFFF-A60A6A91ABE3}"/>
    <cellStyle name="Normal 5 5 2 2 3 2 3" xfId="22218" xr:uid="{22108838-9AC9-48B7-B04C-2658ED74C10F}"/>
    <cellStyle name="Normal 5 5 2 2 3 2 4" xfId="30665" xr:uid="{C3FD9AD0-2B80-4B20-824D-48BCEEE63FA3}"/>
    <cellStyle name="Normal 5 5 2 2 3 2 5" xfId="39112" xr:uid="{6357029A-FBF3-45F6-8F26-CF5D018D05BD}"/>
    <cellStyle name="Normal 5 5 2 2 3 2 6" xfId="12918" xr:uid="{79F58FDF-0429-482E-BFE1-EF53BCEDB57C}"/>
    <cellStyle name="Normal 5 5 2 2 3 3" xfId="5664" xr:uid="{00000000-0005-0000-0000-0000561B0000}"/>
    <cellStyle name="Normal 5 5 2 2 3 3 2" xfId="24290" xr:uid="{D366382D-9D2B-4820-A97B-DA25B574227C}"/>
    <cellStyle name="Normal 5 5 2 2 3 3 3" xfId="32737" xr:uid="{85131A12-80FA-422D-9CBD-41399736AB50}"/>
    <cellStyle name="Normal 5 5 2 2 3 3 4" xfId="41184" xr:uid="{39D412D1-7E59-4022-908B-E3576076AEC7}"/>
    <cellStyle name="Normal 5 5 2 2 3 3 5" xfId="14990" xr:uid="{0DF6BB97-D6EA-450B-AA94-C3158CBC71A9}"/>
    <cellStyle name="Normal 5 5 2 2 3 4" xfId="20073" xr:uid="{1D8D968F-40FD-40A3-8176-7EB9F6427025}"/>
    <cellStyle name="Normal 5 5 2 2 3 5" xfId="28520" xr:uid="{B8CF5B91-714B-4CCF-BF9B-4F4FAD7C21F7}"/>
    <cellStyle name="Normal 5 5 2 2 3 6" xfId="36967" xr:uid="{2BAE1C42-A7D0-417D-BCBF-97B110644973}"/>
    <cellStyle name="Normal 5 5 2 2 3 7" xfId="10773" xr:uid="{83A865D9-2915-4BB8-964A-EC3A0C7288AF}"/>
    <cellStyle name="Normal 5 5 2 2 4" xfId="1770" xr:uid="{00000000-0005-0000-0000-0000571B0000}"/>
    <cellStyle name="Normal 5 5 2 2 4 2" xfId="4000" xr:uid="{00000000-0005-0000-0000-0000581B0000}"/>
    <cellStyle name="Normal 5 5 2 2 4 2 2" xfId="8222" xr:uid="{00000000-0005-0000-0000-0000591B0000}"/>
    <cellStyle name="Normal 5 5 2 2 4 2 2 2" xfId="26848" xr:uid="{22816097-2BC8-442E-A245-FF90C7354962}"/>
    <cellStyle name="Normal 5 5 2 2 4 2 2 3" xfId="35295" xr:uid="{9DD3EC1D-6AB1-4352-A94A-05CA0470AD59}"/>
    <cellStyle name="Normal 5 5 2 2 4 2 2 4" xfId="43742" xr:uid="{DFADB1D5-C9E1-46E5-8BDF-F893F906C648}"/>
    <cellStyle name="Normal 5 5 2 2 4 2 2 5" xfId="17548" xr:uid="{27DD194D-DFAE-4C7C-BA6B-2F9036B5BBD4}"/>
    <cellStyle name="Normal 5 5 2 2 4 2 3" xfId="22631" xr:uid="{3BEDC9AD-C9F8-4150-BFB2-79852D4C3263}"/>
    <cellStyle name="Normal 5 5 2 2 4 2 4" xfId="31078" xr:uid="{7046463E-3E0D-433A-8AAA-74CC5BE58474}"/>
    <cellStyle name="Normal 5 5 2 2 4 2 5" xfId="39525" xr:uid="{1AF099DC-5A96-40B2-94A0-DD374B8795E2}"/>
    <cellStyle name="Normal 5 5 2 2 4 2 6" xfId="13331" xr:uid="{50042A66-32E9-4F7C-AD7D-47C6AE3F5D22}"/>
    <cellStyle name="Normal 5 5 2 2 4 3" xfId="6077" xr:uid="{00000000-0005-0000-0000-00005A1B0000}"/>
    <cellStyle name="Normal 5 5 2 2 4 3 2" xfId="24703" xr:uid="{778BAC67-6801-4F75-8879-64DF286C1EF4}"/>
    <cellStyle name="Normal 5 5 2 2 4 3 3" xfId="33150" xr:uid="{5DDE51C2-4400-492C-B20D-53721CDA5AD7}"/>
    <cellStyle name="Normal 5 5 2 2 4 3 4" xfId="41597" xr:uid="{EE5DBBE1-9892-496B-93D2-E7E5AA6EEF94}"/>
    <cellStyle name="Normal 5 5 2 2 4 3 5" xfId="15403" xr:uid="{8DCCE8EC-3F81-4DE4-B63F-B2C16389D014}"/>
    <cellStyle name="Normal 5 5 2 2 4 4" xfId="20486" xr:uid="{2FF25CA0-0FD5-4970-AA52-CBE9F09FF34E}"/>
    <cellStyle name="Normal 5 5 2 2 4 5" xfId="28933" xr:uid="{3BE0F35C-8F57-4B8B-A50E-95380F4635A2}"/>
    <cellStyle name="Normal 5 5 2 2 4 6" xfId="37380" xr:uid="{1290859B-9190-4691-A6B8-2B7427DA69F8}"/>
    <cellStyle name="Normal 5 5 2 2 4 7" xfId="11186" xr:uid="{2AA9A9C7-1051-421C-A7B4-37AFF04A1D62}"/>
    <cellStyle name="Normal 5 5 2 2 5" xfId="2184" xr:uid="{00000000-0005-0000-0000-00005B1B0000}"/>
    <cellStyle name="Normal 5 5 2 2 5 2" xfId="4413" xr:uid="{00000000-0005-0000-0000-00005C1B0000}"/>
    <cellStyle name="Normal 5 5 2 2 5 2 2" xfId="8635" xr:uid="{00000000-0005-0000-0000-00005D1B0000}"/>
    <cellStyle name="Normal 5 5 2 2 5 2 2 2" xfId="27261" xr:uid="{80609496-14E7-4E35-86A5-253EC2565AE0}"/>
    <cellStyle name="Normal 5 5 2 2 5 2 2 3" xfId="35708" xr:uid="{E61D1421-FD7B-4A5A-9F1F-4A16409614F5}"/>
    <cellStyle name="Normal 5 5 2 2 5 2 2 4" xfId="44155" xr:uid="{BC8144E2-82C7-4734-8405-7230D586A407}"/>
    <cellStyle name="Normal 5 5 2 2 5 2 2 5" xfId="17961" xr:uid="{594DBB24-B73E-48D4-94DF-A04FB8B38C4B}"/>
    <cellStyle name="Normal 5 5 2 2 5 2 3" xfId="23044" xr:uid="{707F7C5A-0E8E-4814-B69A-66AB7DC3B034}"/>
    <cellStyle name="Normal 5 5 2 2 5 2 4" xfId="31491" xr:uid="{3C499AB8-E892-4C16-9E24-2F31241A8D28}"/>
    <cellStyle name="Normal 5 5 2 2 5 2 5" xfId="39938" xr:uid="{326800C0-E28E-4E6A-A577-6C3E3114D54D}"/>
    <cellStyle name="Normal 5 5 2 2 5 2 6" xfId="13744" xr:uid="{7ACC5C7A-1A75-4939-8D1A-0A2DAEE63883}"/>
    <cellStyle name="Normal 5 5 2 2 5 3" xfId="6490" xr:uid="{00000000-0005-0000-0000-00005E1B0000}"/>
    <cellStyle name="Normal 5 5 2 2 5 3 2" xfId="25116" xr:uid="{93511E99-C68B-48FB-8763-A7BABB401021}"/>
    <cellStyle name="Normal 5 5 2 2 5 3 3" xfId="33563" xr:uid="{3B30C056-9399-4BC6-B090-82B3228802BD}"/>
    <cellStyle name="Normal 5 5 2 2 5 3 4" xfId="42010" xr:uid="{F762E699-967F-4DCA-9281-C2740496873F}"/>
    <cellStyle name="Normal 5 5 2 2 5 3 5" xfId="15816" xr:uid="{4611E276-4273-49A3-9792-C0D41DA281CC}"/>
    <cellStyle name="Normal 5 5 2 2 5 4" xfId="20899" xr:uid="{40CD7B25-995A-4EB6-B893-453D11628212}"/>
    <cellStyle name="Normal 5 5 2 2 5 5" xfId="29346" xr:uid="{49755B96-C197-4FB5-B544-617701586E8A}"/>
    <cellStyle name="Normal 5 5 2 2 5 6" xfId="37793" xr:uid="{1D332841-1B8B-4DE1-84EF-B6C87A67354F}"/>
    <cellStyle name="Normal 5 5 2 2 5 7" xfId="11599" xr:uid="{B75F8FF0-D002-4AA0-A961-460AE37B049F}"/>
    <cellStyle name="Normal 5 5 2 2 6" xfId="2620" xr:uid="{00000000-0005-0000-0000-00005F1B0000}"/>
    <cellStyle name="Normal 5 5 2 2 6 2" xfId="6903" xr:uid="{00000000-0005-0000-0000-0000601B0000}"/>
    <cellStyle name="Normal 5 5 2 2 6 2 2" xfId="25529" xr:uid="{C036691A-2959-4081-B049-ADC63E0FB553}"/>
    <cellStyle name="Normal 5 5 2 2 6 2 3" xfId="33976" xr:uid="{463F289B-8DA8-43A1-B418-172C6F9DD03E}"/>
    <cellStyle name="Normal 5 5 2 2 6 2 4" xfId="42423" xr:uid="{FBB51C25-FB24-4B49-B749-ADEEB2D6A8C9}"/>
    <cellStyle name="Normal 5 5 2 2 6 2 5" xfId="16229" xr:uid="{9042DDD9-7340-4EB4-98CB-EAD9B56BA83D}"/>
    <cellStyle name="Normal 5 5 2 2 6 3" xfId="21312" xr:uid="{C826C74B-9DA9-48E0-946C-62905ECC7287}"/>
    <cellStyle name="Normal 5 5 2 2 6 4" xfId="29759" xr:uid="{90949C2E-F1AD-4590-ADB6-5E6524CED37B}"/>
    <cellStyle name="Normal 5 5 2 2 6 5" xfId="38206" xr:uid="{1CB5DA84-DBFA-489D-90B5-AEFDCE94B45E}"/>
    <cellStyle name="Normal 5 5 2 2 6 6" xfId="12012" xr:uid="{C53B9C14-9C20-44D0-A84B-C79B2FBE5EEE}"/>
    <cellStyle name="Normal 5 5 2 2 7" xfId="4838" xr:uid="{00000000-0005-0000-0000-0000611B0000}"/>
    <cellStyle name="Normal 5 5 2 2 7 2" xfId="23464" xr:uid="{981530D0-D55E-463C-92A6-60F7A5F58900}"/>
    <cellStyle name="Normal 5 5 2 2 7 3" xfId="31911" xr:uid="{EFDC820E-30D8-42E5-BCBF-D3BC6058C21B}"/>
    <cellStyle name="Normal 5 5 2 2 7 4" xfId="40358" xr:uid="{DA6834ED-1D9E-40EB-A14C-AE97D8019115}"/>
    <cellStyle name="Normal 5 5 2 2 7 5" xfId="14164" xr:uid="{126D3D44-F317-4DBA-8BA2-438EADAF9A87}"/>
    <cellStyle name="Normal 5 5 2 2 8" xfId="9136" xr:uid="{D41453B5-3BE6-4F01-B336-45A274529844}"/>
    <cellStyle name="Normal 5 5 2 2 8 2" xfId="18460" xr:uid="{670FBDC7-6D2B-429E-B2A7-4A2BEF110EA3}"/>
    <cellStyle name="Normal 5 5 2 2 9" xfId="19247" xr:uid="{4565A893-834F-4D2F-A352-02DFD1A1A341}"/>
    <cellStyle name="Normal 5 5 2 3" xfId="939" xr:uid="{00000000-0005-0000-0000-0000621B0000}"/>
    <cellStyle name="Normal 5 5 2 3 2" xfId="3173" xr:uid="{00000000-0005-0000-0000-0000631B0000}"/>
    <cellStyle name="Normal 5 5 2 3 2 2" xfId="7395" xr:uid="{00000000-0005-0000-0000-0000641B0000}"/>
    <cellStyle name="Normal 5 5 2 3 2 2 2" xfId="26021" xr:uid="{7386D318-48DA-4CB0-8CC3-C3120630C337}"/>
    <cellStyle name="Normal 5 5 2 3 2 2 3" xfId="34468" xr:uid="{21B24899-B59D-435F-8624-2B2D1C46DA14}"/>
    <cellStyle name="Normal 5 5 2 3 2 2 4" xfId="42915" xr:uid="{DAA3868C-4224-48A3-ABE5-CAC3B051F070}"/>
    <cellStyle name="Normal 5 5 2 3 2 2 5" xfId="16721" xr:uid="{78B66823-E88D-49EB-AF4E-75C0936BC41A}"/>
    <cellStyle name="Normal 5 5 2 3 2 3" xfId="21804" xr:uid="{BEFBC339-6D3C-4770-8902-91D07AA04D87}"/>
    <cellStyle name="Normal 5 5 2 3 2 4" xfId="30251" xr:uid="{5C6CF255-3E9E-4409-BA9E-45BE35618778}"/>
    <cellStyle name="Normal 5 5 2 3 2 5" xfId="38698" xr:uid="{98350D84-7D60-4DCF-88F0-F23DA80A2455}"/>
    <cellStyle name="Normal 5 5 2 3 2 6" xfId="12504" xr:uid="{E354583D-A101-4291-9D34-F4A987470448}"/>
    <cellStyle name="Normal 5 5 2 3 3" xfId="5250" xr:uid="{00000000-0005-0000-0000-0000651B0000}"/>
    <cellStyle name="Normal 5 5 2 3 3 2" xfId="23876" xr:uid="{C7869FCF-DB08-44BC-9F36-F3D9BF2E2D9B}"/>
    <cellStyle name="Normal 5 5 2 3 3 3" xfId="32323" xr:uid="{91EB0F5B-C44B-4EFC-8161-31F8B07E3F25}"/>
    <cellStyle name="Normal 5 5 2 3 3 4" xfId="40770" xr:uid="{798B017A-D091-435B-AD6A-9D32B57C3A97}"/>
    <cellStyle name="Normal 5 5 2 3 3 5" xfId="14576" xr:uid="{43BC5A92-874B-47D3-8A21-5558A39928D1}"/>
    <cellStyle name="Normal 5 5 2 3 4" xfId="9354" xr:uid="{3251F49D-E700-469D-9840-28045D408641}"/>
    <cellStyle name="Normal 5 5 2 3 4 2" xfId="18670" xr:uid="{58598F01-8FAA-4CDE-ACF2-5C410AF5E2AC}"/>
    <cellStyle name="Normal 5 5 2 3 5" xfId="19659" xr:uid="{77B75BCD-F6CF-488F-BAF3-6ACB215B4B1D}"/>
    <cellStyle name="Normal 5 5 2 3 6" xfId="28106" xr:uid="{9710DE47-8F44-4B57-BAFF-EC1D6621FCE4}"/>
    <cellStyle name="Normal 5 5 2 3 7" xfId="36553" xr:uid="{0F0169CB-A23D-4065-B2B0-20F91BAA5CD4}"/>
    <cellStyle name="Normal 5 5 2 3 8" xfId="10359" xr:uid="{82AFABA1-2C48-4FC7-B851-7EC9B4A72D28}"/>
    <cellStyle name="Normal 5 5 2 4" xfId="1356" xr:uid="{00000000-0005-0000-0000-0000661B0000}"/>
    <cellStyle name="Normal 5 5 2 4 2" xfId="3586" xr:uid="{00000000-0005-0000-0000-0000671B0000}"/>
    <cellStyle name="Normal 5 5 2 4 2 2" xfId="7808" xr:uid="{00000000-0005-0000-0000-0000681B0000}"/>
    <cellStyle name="Normal 5 5 2 4 2 2 2" xfId="26434" xr:uid="{57A9E31D-56E6-4934-A0E8-26F9DD03B5F9}"/>
    <cellStyle name="Normal 5 5 2 4 2 2 3" xfId="34881" xr:uid="{7BA600D2-185A-4FCF-89F1-09A7322AE5C0}"/>
    <cellStyle name="Normal 5 5 2 4 2 2 4" xfId="43328" xr:uid="{5CC7D06E-6BDC-4C54-85F6-316065CDD78F}"/>
    <cellStyle name="Normal 5 5 2 4 2 2 5" xfId="17134" xr:uid="{32A39AA0-971F-4D99-B6F0-F4FE8C184AD5}"/>
    <cellStyle name="Normal 5 5 2 4 2 3" xfId="22217" xr:uid="{BB9A88B3-CD8A-4008-8590-862DEBA33DEA}"/>
    <cellStyle name="Normal 5 5 2 4 2 4" xfId="30664" xr:uid="{10416EE2-00B9-4344-B866-A037F2700DA7}"/>
    <cellStyle name="Normal 5 5 2 4 2 5" xfId="39111" xr:uid="{14F29BDC-7E48-4255-AFB7-A7E4C254D391}"/>
    <cellStyle name="Normal 5 5 2 4 2 6" xfId="12917" xr:uid="{9E9EF9AF-DBEC-44C6-98D5-E779262B936A}"/>
    <cellStyle name="Normal 5 5 2 4 3" xfId="5663" xr:uid="{00000000-0005-0000-0000-0000691B0000}"/>
    <cellStyle name="Normal 5 5 2 4 3 2" xfId="24289" xr:uid="{8704523D-900E-4331-9B87-AFA4A7CB429E}"/>
    <cellStyle name="Normal 5 5 2 4 3 3" xfId="32736" xr:uid="{8195BC89-7EB2-480A-AA6E-E93866661740}"/>
    <cellStyle name="Normal 5 5 2 4 3 4" xfId="41183" xr:uid="{181FFDB6-1A5A-4AA7-B802-4F0FD5577388}"/>
    <cellStyle name="Normal 5 5 2 4 3 5" xfId="14989" xr:uid="{A1A5DEA6-43A4-4D8C-A91F-482CADCD15BC}"/>
    <cellStyle name="Normal 5 5 2 4 4" xfId="20072" xr:uid="{8A206C2A-E988-4B70-AB72-8894118395E4}"/>
    <cellStyle name="Normal 5 5 2 4 5" xfId="28519" xr:uid="{65E0FC19-30B8-4F1F-A77A-CF8A13CAEFA6}"/>
    <cellStyle name="Normal 5 5 2 4 6" xfId="36966" xr:uid="{6201A1D7-95B7-4113-9049-3F7A07DC2C7F}"/>
    <cellStyle name="Normal 5 5 2 4 7" xfId="10772" xr:uid="{31DC1935-6BF2-49BF-8074-C4117B519AC6}"/>
    <cellStyle name="Normal 5 5 2 5" xfId="1769" xr:uid="{00000000-0005-0000-0000-00006A1B0000}"/>
    <cellStyle name="Normal 5 5 2 5 2" xfId="3999" xr:uid="{00000000-0005-0000-0000-00006B1B0000}"/>
    <cellStyle name="Normal 5 5 2 5 2 2" xfId="8221" xr:uid="{00000000-0005-0000-0000-00006C1B0000}"/>
    <cellStyle name="Normal 5 5 2 5 2 2 2" xfId="26847" xr:uid="{68449AD1-9A8F-4B84-BA23-5D625736AE1A}"/>
    <cellStyle name="Normal 5 5 2 5 2 2 3" xfId="35294" xr:uid="{1E4898A7-75D5-49CE-8088-62CCB2A26DDD}"/>
    <cellStyle name="Normal 5 5 2 5 2 2 4" xfId="43741" xr:uid="{C4E3E53C-7AF2-4EE4-9789-D3D311ED57E1}"/>
    <cellStyle name="Normal 5 5 2 5 2 2 5" xfId="17547" xr:uid="{2BB9EE85-B76F-4149-B576-AA4DB91F60E0}"/>
    <cellStyle name="Normal 5 5 2 5 2 3" xfId="22630" xr:uid="{B2940187-C190-4CCC-9DFC-FD491063B6BD}"/>
    <cellStyle name="Normal 5 5 2 5 2 4" xfId="31077" xr:uid="{FA7B81FD-943D-4FF3-B090-60737F484CAD}"/>
    <cellStyle name="Normal 5 5 2 5 2 5" xfId="39524" xr:uid="{FD3DE24C-8E93-42E3-9D93-ED6979AB581C}"/>
    <cellStyle name="Normal 5 5 2 5 2 6" xfId="13330" xr:uid="{CE9B0199-6C17-4143-AA5F-6967A7116696}"/>
    <cellStyle name="Normal 5 5 2 5 3" xfId="6076" xr:uid="{00000000-0005-0000-0000-00006D1B0000}"/>
    <cellStyle name="Normal 5 5 2 5 3 2" xfId="24702" xr:uid="{9718C9A0-028F-4A59-8646-FFCFAF23690E}"/>
    <cellStyle name="Normal 5 5 2 5 3 3" xfId="33149" xr:uid="{D88AB84E-F21F-443A-9F31-3F5AE4AD11A3}"/>
    <cellStyle name="Normal 5 5 2 5 3 4" xfId="41596" xr:uid="{3FFCB738-F71D-4DE6-B176-4E37608E80CD}"/>
    <cellStyle name="Normal 5 5 2 5 3 5" xfId="15402" xr:uid="{FD9BAA77-BED3-49E8-9729-71415124E065}"/>
    <cellStyle name="Normal 5 5 2 5 4" xfId="20485" xr:uid="{172AC28D-8967-4683-BACD-37B3C9DF0FC2}"/>
    <cellStyle name="Normal 5 5 2 5 5" xfId="28932" xr:uid="{6AB8142E-9EBD-4438-AD7E-8B33DA640B45}"/>
    <cellStyle name="Normal 5 5 2 5 6" xfId="37379" xr:uid="{3D2BDE41-33D0-4AD1-8564-8167076A8018}"/>
    <cellStyle name="Normal 5 5 2 5 7" xfId="11185" xr:uid="{6608A7EB-1404-453D-885A-C092D9D6B089}"/>
    <cellStyle name="Normal 5 5 2 6" xfId="2183" xr:uid="{00000000-0005-0000-0000-00006E1B0000}"/>
    <cellStyle name="Normal 5 5 2 6 2" xfId="4412" xr:uid="{00000000-0005-0000-0000-00006F1B0000}"/>
    <cellStyle name="Normal 5 5 2 6 2 2" xfId="8634" xr:uid="{00000000-0005-0000-0000-0000701B0000}"/>
    <cellStyle name="Normal 5 5 2 6 2 2 2" xfId="27260" xr:uid="{5416C4BA-D6BE-4A2F-AA8E-26E94AFD283A}"/>
    <cellStyle name="Normal 5 5 2 6 2 2 3" xfId="35707" xr:uid="{9616C787-0F41-4013-9A8D-185C5E019E7A}"/>
    <cellStyle name="Normal 5 5 2 6 2 2 4" xfId="44154" xr:uid="{E727456A-AEEA-4C89-A700-7930DA241F01}"/>
    <cellStyle name="Normal 5 5 2 6 2 2 5" xfId="17960" xr:uid="{2E13DBD2-0405-43AF-A3D2-F2D40DD3F223}"/>
    <cellStyle name="Normal 5 5 2 6 2 3" xfId="23043" xr:uid="{2F10DF6F-EE8F-4D66-8034-F79F7E7D99E7}"/>
    <cellStyle name="Normal 5 5 2 6 2 4" xfId="31490" xr:uid="{BC66AF81-F9C6-447F-A48E-B5E134C70DCA}"/>
    <cellStyle name="Normal 5 5 2 6 2 5" xfId="39937" xr:uid="{41231E5C-D8A1-450D-8B95-686C67E0FF26}"/>
    <cellStyle name="Normal 5 5 2 6 2 6" xfId="13743" xr:uid="{A0B10E9D-F138-474E-BED1-DDF991C2799A}"/>
    <cellStyle name="Normal 5 5 2 6 3" xfId="6489" xr:uid="{00000000-0005-0000-0000-0000711B0000}"/>
    <cellStyle name="Normal 5 5 2 6 3 2" xfId="25115" xr:uid="{6366B767-C10C-4DBF-B0CD-79A3D398B224}"/>
    <cellStyle name="Normal 5 5 2 6 3 3" xfId="33562" xr:uid="{504601CF-61A0-4D87-8BCA-95BD8D4D207C}"/>
    <cellStyle name="Normal 5 5 2 6 3 4" xfId="42009" xr:uid="{965C920C-4DF7-44A6-88C6-2A71F0217DC1}"/>
    <cellStyle name="Normal 5 5 2 6 3 5" xfId="15815" xr:uid="{99F1FE84-C3FE-4371-AB75-C92DFDF7E080}"/>
    <cellStyle name="Normal 5 5 2 6 4" xfId="20898" xr:uid="{6F69BDF8-5C95-41AB-9CDC-52323057A8BE}"/>
    <cellStyle name="Normal 5 5 2 6 5" xfId="29345" xr:uid="{4D4B6354-3201-400D-B7A0-AFAA720C3ED6}"/>
    <cellStyle name="Normal 5 5 2 6 6" xfId="37792" xr:uid="{C3717EDF-6D00-4802-8419-1BA3AD30AE2D}"/>
    <cellStyle name="Normal 5 5 2 6 7" xfId="11598" xr:uid="{2BECE19D-705E-4DF3-BAF5-2D836F34BB62}"/>
    <cellStyle name="Normal 5 5 2 7" xfId="2619" xr:uid="{00000000-0005-0000-0000-0000721B0000}"/>
    <cellStyle name="Normal 5 5 2 7 2" xfId="6902" xr:uid="{00000000-0005-0000-0000-0000731B0000}"/>
    <cellStyle name="Normal 5 5 2 7 2 2" xfId="25528" xr:uid="{DCA77030-9551-4588-BBE1-0BD01C889862}"/>
    <cellStyle name="Normal 5 5 2 7 2 3" xfId="33975" xr:uid="{FB50BB37-A0EC-4A92-BF67-A5E5C4CD5D90}"/>
    <cellStyle name="Normal 5 5 2 7 2 4" xfId="42422" xr:uid="{F49C6B7E-7892-43CD-B168-9EAFFA261297}"/>
    <cellStyle name="Normal 5 5 2 7 2 5" xfId="16228" xr:uid="{6FC0A712-5700-4675-AD24-217A0C695278}"/>
    <cellStyle name="Normal 5 5 2 7 3" xfId="21311" xr:uid="{CBFCE2B5-9201-43BE-9244-3DCA71C5E98A}"/>
    <cellStyle name="Normal 5 5 2 7 4" xfId="29758" xr:uid="{EBAB5B2E-B00F-4359-BBDB-B4B380FB5AC5}"/>
    <cellStyle name="Normal 5 5 2 7 5" xfId="38205" xr:uid="{6C8EF2B4-4239-458E-A481-91B96A57E4AE}"/>
    <cellStyle name="Normal 5 5 2 7 6" xfId="12011" xr:uid="{6D9C93B3-71C8-48BD-930A-10469C4FF83A}"/>
    <cellStyle name="Normal 5 5 2 8" xfId="4837" xr:uid="{00000000-0005-0000-0000-0000741B0000}"/>
    <cellStyle name="Normal 5 5 2 8 2" xfId="23463" xr:uid="{14E97C56-ADE9-41ED-A58E-6A51F833724D}"/>
    <cellStyle name="Normal 5 5 2 8 3" xfId="31910" xr:uid="{BBCCBCFD-99FA-4D8F-B175-8EFFA79C3F33}"/>
    <cellStyle name="Normal 5 5 2 8 4" xfId="40357" xr:uid="{B1FE2136-B6C7-4C0B-9458-60B89BBE99DD}"/>
    <cellStyle name="Normal 5 5 2 8 5" xfId="14163" xr:uid="{43BC45D3-20A1-4A3A-BD5F-CD3CEB9371BA}"/>
    <cellStyle name="Normal 5 5 2 9" xfId="8929" xr:uid="{918246BA-1946-46D4-8BAF-6DC0C4DC8AC3}"/>
    <cellStyle name="Normal 5 5 2 9 2" xfId="18253" xr:uid="{F44A3672-707B-4246-83E5-05E7FDB97AD2}"/>
    <cellStyle name="Normal 5 5 3" xfId="467" xr:uid="{00000000-0005-0000-0000-0000751B0000}"/>
    <cellStyle name="Normal 5 5 3 10" xfId="27695" xr:uid="{28DED41B-2B33-4202-8585-138885459400}"/>
    <cellStyle name="Normal 5 5 3 11" xfId="36142" xr:uid="{0BE51F69-44D8-4B33-9A5B-D3C9CD836269}"/>
    <cellStyle name="Normal 5 5 3 12" xfId="9948" xr:uid="{0A71CEA9-3AC5-4C2C-B9EA-D90D66980369}"/>
    <cellStyle name="Normal 5 5 3 2" xfId="941" xr:uid="{00000000-0005-0000-0000-0000761B0000}"/>
    <cellStyle name="Normal 5 5 3 2 2" xfId="3175" xr:uid="{00000000-0005-0000-0000-0000771B0000}"/>
    <cellStyle name="Normal 5 5 3 2 2 2" xfId="7397" xr:uid="{00000000-0005-0000-0000-0000781B0000}"/>
    <cellStyle name="Normal 5 5 3 2 2 2 2" xfId="26023" xr:uid="{29D03483-6DC3-47F2-9974-B663E87E4D21}"/>
    <cellStyle name="Normal 5 5 3 2 2 2 3" xfId="34470" xr:uid="{9353379B-C093-4E22-A8B8-FBABD9B470DC}"/>
    <cellStyle name="Normal 5 5 3 2 2 2 4" xfId="42917" xr:uid="{31343AF7-ED02-4F9A-8B28-31056BE65054}"/>
    <cellStyle name="Normal 5 5 3 2 2 2 5" xfId="16723" xr:uid="{B7589564-240E-40B8-B6F5-7C106B2156AB}"/>
    <cellStyle name="Normal 5 5 3 2 2 3" xfId="21806" xr:uid="{E482EE63-802E-4435-9AE7-8C4705C17EA0}"/>
    <cellStyle name="Normal 5 5 3 2 2 4" xfId="30253" xr:uid="{DE358BCD-768C-4172-BC69-6D1E2ED7E9C4}"/>
    <cellStyle name="Normal 5 5 3 2 2 5" xfId="38700" xr:uid="{FE5527E1-164F-4A8B-B65A-2FB5DB9F27EE}"/>
    <cellStyle name="Normal 5 5 3 2 2 6" xfId="12506" xr:uid="{8553AFBE-9257-4BB6-B764-0E302249DD6E}"/>
    <cellStyle name="Normal 5 5 3 2 3" xfId="5252" xr:uid="{00000000-0005-0000-0000-0000791B0000}"/>
    <cellStyle name="Normal 5 5 3 2 3 2" xfId="23878" xr:uid="{956EDB05-6793-4B87-BF84-FFA2883C7411}"/>
    <cellStyle name="Normal 5 5 3 2 3 3" xfId="32325" xr:uid="{A52929E2-CB7B-4C14-9DD5-C5DCB898F7A8}"/>
    <cellStyle name="Normal 5 5 3 2 3 4" xfId="40772" xr:uid="{DBE9F6B4-2FC8-4AF1-85B8-32C20A2AE7DF}"/>
    <cellStyle name="Normal 5 5 3 2 3 5" xfId="14578" xr:uid="{CFD4721C-EFD3-4A74-A6D8-3C9E850F8C34}"/>
    <cellStyle name="Normal 5 5 3 2 4" xfId="9458" xr:uid="{8AD16727-CFBF-4DB5-B58F-04D48E2B564D}"/>
    <cellStyle name="Normal 5 5 3 2 4 2" xfId="18774" xr:uid="{4E7A257B-B7B5-4E67-BB93-CFE17E37FDC3}"/>
    <cellStyle name="Normal 5 5 3 2 5" xfId="19661" xr:uid="{4EF5F67A-C8D3-4E8E-9576-25D08949B061}"/>
    <cellStyle name="Normal 5 5 3 2 6" xfId="28108" xr:uid="{FFF5405C-F5CD-4101-AF60-DE2D624AF3F9}"/>
    <cellStyle name="Normal 5 5 3 2 7" xfId="36555" xr:uid="{730E99FE-F98E-4386-8955-2D582069EA66}"/>
    <cellStyle name="Normal 5 5 3 2 8" xfId="10361" xr:uid="{DCEBEB1A-50F1-4E97-9F46-288817362E58}"/>
    <cellStyle name="Normal 5 5 3 3" xfId="1358" xr:uid="{00000000-0005-0000-0000-00007A1B0000}"/>
    <cellStyle name="Normal 5 5 3 3 2" xfId="3588" xr:uid="{00000000-0005-0000-0000-00007B1B0000}"/>
    <cellStyle name="Normal 5 5 3 3 2 2" xfId="7810" xr:uid="{00000000-0005-0000-0000-00007C1B0000}"/>
    <cellStyle name="Normal 5 5 3 3 2 2 2" xfId="26436" xr:uid="{DAA96862-96BE-4B37-B002-34C238D98BE7}"/>
    <cellStyle name="Normal 5 5 3 3 2 2 3" xfId="34883" xr:uid="{8D2E1F3B-CEDD-4EEA-9036-40254A89B996}"/>
    <cellStyle name="Normal 5 5 3 3 2 2 4" xfId="43330" xr:uid="{C0169C8E-4111-449C-8700-163E3B0AB3DA}"/>
    <cellStyle name="Normal 5 5 3 3 2 2 5" xfId="17136" xr:uid="{429590CD-D3B4-4DA6-8DD7-45D59E354346}"/>
    <cellStyle name="Normal 5 5 3 3 2 3" xfId="22219" xr:uid="{421C7A36-9851-4B66-9490-0A39C654881E}"/>
    <cellStyle name="Normal 5 5 3 3 2 4" xfId="30666" xr:uid="{7AF38381-BCCC-4337-BEC5-0E4B67FDA591}"/>
    <cellStyle name="Normal 5 5 3 3 2 5" xfId="39113" xr:uid="{63837C66-7CB7-4136-A2E6-FAF0F202D11E}"/>
    <cellStyle name="Normal 5 5 3 3 2 6" xfId="12919" xr:uid="{FC1C5C10-1CFD-49BC-8F6C-DF4FF9683917}"/>
    <cellStyle name="Normal 5 5 3 3 3" xfId="5665" xr:uid="{00000000-0005-0000-0000-00007D1B0000}"/>
    <cellStyle name="Normal 5 5 3 3 3 2" xfId="24291" xr:uid="{D6EC71DC-3106-4D92-AF3B-2B74A33E7883}"/>
    <cellStyle name="Normal 5 5 3 3 3 3" xfId="32738" xr:uid="{2332F2EB-C25F-4706-A0DE-3EF277E0607F}"/>
    <cellStyle name="Normal 5 5 3 3 3 4" xfId="41185" xr:uid="{3103F766-4953-497F-9DB3-772699E59491}"/>
    <cellStyle name="Normal 5 5 3 3 3 5" xfId="14991" xr:uid="{96EED0B2-F831-4860-9AF0-130D6D1DE617}"/>
    <cellStyle name="Normal 5 5 3 3 4" xfId="20074" xr:uid="{DAB406BA-666E-4365-B052-208FCB4C8D8F}"/>
    <cellStyle name="Normal 5 5 3 3 5" xfId="28521" xr:uid="{254D3207-7038-49A4-A8C6-AB1C448C99B3}"/>
    <cellStyle name="Normal 5 5 3 3 6" xfId="36968" xr:uid="{310E7DE4-CDE7-4A24-84E8-0AB0D5EDAF1E}"/>
    <cellStyle name="Normal 5 5 3 3 7" xfId="10774" xr:uid="{0383C0D8-0E05-4A7F-B193-A1303D86263C}"/>
    <cellStyle name="Normal 5 5 3 4" xfId="1771" xr:uid="{00000000-0005-0000-0000-00007E1B0000}"/>
    <cellStyle name="Normal 5 5 3 4 2" xfId="4001" xr:uid="{00000000-0005-0000-0000-00007F1B0000}"/>
    <cellStyle name="Normal 5 5 3 4 2 2" xfId="8223" xr:uid="{00000000-0005-0000-0000-0000801B0000}"/>
    <cellStyle name="Normal 5 5 3 4 2 2 2" xfId="26849" xr:uid="{7D6A6388-290B-4761-A6A2-444113EFFD07}"/>
    <cellStyle name="Normal 5 5 3 4 2 2 3" xfId="35296" xr:uid="{3FF0CB67-FC00-47DC-9E2D-6FAEFEC6D66B}"/>
    <cellStyle name="Normal 5 5 3 4 2 2 4" xfId="43743" xr:uid="{6119C7D9-2DB5-4B64-8393-0AAA55488839}"/>
    <cellStyle name="Normal 5 5 3 4 2 2 5" xfId="17549" xr:uid="{F5EEE26F-E1BD-4748-ADAC-6FBF9507B40B}"/>
    <cellStyle name="Normal 5 5 3 4 2 3" xfId="22632" xr:uid="{774E89AE-3543-451F-875B-ECDEFAEFCC13}"/>
    <cellStyle name="Normal 5 5 3 4 2 4" xfId="31079" xr:uid="{41D298D1-BF61-438F-9282-2B8C33EE872E}"/>
    <cellStyle name="Normal 5 5 3 4 2 5" xfId="39526" xr:uid="{B76DFC45-E469-4EA3-9095-49CC80C0D594}"/>
    <cellStyle name="Normal 5 5 3 4 2 6" xfId="13332" xr:uid="{AC91AEDF-7B0E-4A12-BE77-C70AC869C35F}"/>
    <cellStyle name="Normal 5 5 3 4 3" xfId="6078" xr:uid="{00000000-0005-0000-0000-0000811B0000}"/>
    <cellStyle name="Normal 5 5 3 4 3 2" xfId="24704" xr:uid="{C9CF4337-7C82-4ACA-9953-57907280325B}"/>
    <cellStyle name="Normal 5 5 3 4 3 3" xfId="33151" xr:uid="{CA47DD1E-8AD3-4289-B581-0B31F74ED6BC}"/>
    <cellStyle name="Normal 5 5 3 4 3 4" xfId="41598" xr:uid="{FA19B40C-0767-40C8-8A96-F49B3788FDCE}"/>
    <cellStyle name="Normal 5 5 3 4 3 5" xfId="15404" xr:uid="{46FE187F-9E1A-4516-9BB0-2A95817CC49C}"/>
    <cellStyle name="Normal 5 5 3 4 4" xfId="20487" xr:uid="{85353459-2639-4336-A715-CFFB887733A7}"/>
    <cellStyle name="Normal 5 5 3 4 5" xfId="28934" xr:uid="{A4911FE2-3FFE-4912-9EE4-626C54D724BA}"/>
    <cellStyle name="Normal 5 5 3 4 6" xfId="37381" xr:uid="{8403DCC0-3427-4996-85AE-B04B9B70605B}"/>
    <cellStyle name="Normal 5 5 3 4 7" xfId="11187" xr:uid="{A2D923D2-6CF5-4179-9900-7B19FFA21C61}"/>
    <cellStyle name="Normal 5 5 3 5" xfId="2185" xr:uid="{00000000-0005-0000-0000-0000821B0000}"/>
    <cellStyle name="Normal 5 5 3 5 2" xfId="4414" xr:uid="{00000000-0005-0000-0000-0000831B0000}"/>
    <cellStyle name="Normal 5 5 3 5 2 2" xfId="8636" xr:uid="{00000000-0005-0000-0000-0000841B0000}"/>
    <cellStyle name="Normal 5 5 3 5 2 2 2" xfId="27262" xr:uid="{B918424B-8958-4214-9021-405B427AC24D}"/>
    <cellStyle name="Normal 5 5 3 5 2 2 3" xfId="35709" xr:uid="{B0E23EEA-D978-4749-BDE7-4CDF870B099F}"/>
    <cellStyle name="Normal 5 5 3 5 2 2 4" xfId="44156" xr:uid="{84913923-101E-4987-8433-33FFF08C9B7D}"/>
    <cellStyle name="Normal 5 5 3 5 2 2 5" xfId="17962" xr:uid="{027E42C8-7C62-4D86-BC0E-272D363BC1C5}"/>
    <cellStyle name="Normal 5 5 3 5 2 3" xfId="23045" xr:uid="{6F37EF7D-EE0B-4D46-8BBA-1668EEE648FB}"/>
    <cellStyle name="Normal 5 5 3 5 2 4" xfId="31492" xr:uid="{7A5BE821-5873-41FF-BC8B-247676EFA892}"/>
    <cellStyle name="Normal 5 5 3 5 2 5" xfId="39939" xr:uid="{4964C07C-7F4E-435E-9CD3-B25704B48C9A}"/>
    <cellStyle name="Normal 5 5 3 5 2 6" xfId="13745" xr:uid="{E102E13E-9F83-4AD1-ACFC-AD4645AD5603}"/>
    <cellStyle name="Normal 5 5 3 5 3" xfId="6491" xr:uid="{00000000-0005-0000-0000-0000851B0000}"/>
    <cellStyle name="Normal 5 5 3 5 3 2" xfId="25117" xr:uid="{B0D262AA-84C5-499B-897A-4B15B8A36BA1}"/>
    <cellStyle name="Normal 5 5 3 5 3 3" xfId="33564" xr:uid="{06B45CD7-525D-42C7-ADD1-27525FE5755C}"/>
    <cellStyle name="Normal 5 5 3 5 3 4" xfId="42011" xr:uid="{118EE37E-225F-4BD5-96AE-835D1AC8904D}"/>
    <cellStyle name="Normal 5 5 3 5 3 5" xfId="15817" xr:uid="{5D6AC8CF-2CFC-4CB3-BF80-4DA6409CE3A9}"/>
    <cellStyle name="Normal 5 5 3 5 4" xfId="20900" xr:uid="{E92277E0-6748-4733-9EAE-1BF962867D7E}"/>
    <cellStyle name="Normal 5 5 3 5 5" xfId="29347" xr:uid="{F3685179-9DB9-4CD2-BC5D-2768137A84F0}"/>
    <cellStyle name="Normal 5 5 3 5 6" xfId="37794" xr:uid="{3DC5841C-48E1-42A9-ADB2-56DE763E5F16}"/>
    <cellStyle name="Normal 5 5 3 5 7" xfId="11600" xr:uid="{D75DAE8C-93E1-4F04-AE53-723FE5863914}"/>
    <cellStyle name="Normal 5 5 3 6" xfId="2621" xr:uid="{00000000-0005-0000-0000-0000861B0000}"/>
    <cellStyle name="Normal 5 5 3 6 2" xfId="6904" xr:uid="{00000000-0005-0000-0000-0000871B0000}"/>
    <cellStyle name="Normal 5 5 3 6 2 2" xfId="25530" xr:uid="{D7B7533C-E171-4717-9D04-8F16482051CE}"/>
    <cellStyle name="Normal 5 5 3 6 2 3" xfId="33977" xr:uid="{70188E08-7CD9-4E8E-8EDD-8D28C3AD449B}"/>
    <cellStyle name="Normal 5 5 3 6 2 4" xfId="42424" xr:uid="{5E36FC4A-0F43-451F-84CD-7D33DC886541}"/>
    <cellStyle name="Normal 5 5 3 6 2 5" xfId="16230" xr:uid="{F599DBB8-DF46-4CA1-B0DF-3EBBB0278AAF}"/>
    <cellStyle name="Normal 5 5 3 6 3" xfId="21313" xr:uid="{FD84001F-91C5-4050-B876-D8A9616CD577}"/>
    <cellStyle name="Normal 5 5 3 6 4" xfId="29760" xr:uid="{57F17B1A-C880-4774-867C-966EE69CC6B8}"/>
    <cellStyle name="Normal 5 5 3 6 5" xfId="38207" xr:uid="{8F355A6B-815F-47F5-AF40-F80F8FAA2207}"/>
    <cellStyle name="Normal 5 5 3 6 6" xfId="12013" xr:uid="{2FDBE43D-2AAD-413A-BC9A-126869120C90}"/>
    <cellStyle name="Normal 5 5 3 7" xfId="4839" xr:uid="{00000000-0005-0000-0000-0000881B0000}"/>
    <cellStyle name="Normal 5 5 3 7 2" xfId="23465" xr:uid="{10CC5AF3-FE3D-4D7A-9389-C56899FDF897}"/>
    <cellStyle name="Normal 5 5 3 7 3" xfId="31912" xr:uid="{08D4C1B4-D928-4628-B822-573AF568BBDC}"/>
    <cellStyle name="Normal 5 5 3 7 4" xfId="40359" xr:uid="{321E3EA9-9454-4572-BA68-068242DB519E}"/>
    <cellStyle name="Normal 5 5 3 7 5" xfId="14165" xr:uid="{3F77718D-D753-4AC4-90B0-0C336C41C32D}"/>
    <cellStyle name="Normal 5 5 3 8" xfId="9033" xr:uid="{08F77EF7-8D03-42D9-B538-FE3582C4B971}"/>
    <cellStyle name="Normal 5 5 3 8 2" xfId="18357" xr:uid="{0759CC69-7D09-466C-9297-2008B3C17BFE}"/>
    <cellStyle name="Normal 5 5 3 9" xfId="19248" xr:uid="{87D1DF34-99EB-44D4-9CF5-A7411D053849}"/>
    <cellStyle name="Normal 5 5 4" xfId="938" xr:uid="{00000000-0005-0000-0000-0000891B0000}"/>
    <cellStyle name="Normal 5 5 4 2" xfId="3172" xr:uid="{00000000-0005-0000-0000-00008A1B0000}"/>
    <cellStyle name="Normal 5 5 4 2 2" xfId="7394" xr:uid="{00000000-0005-0000-0000-00008B1B0000}"/>
    <cellStyle name="Normal 5 5 4 2 2 2" xfId="26020" xr:uid="{2F6A27CE-CA82-4859-A0EA-13A28AFA4D44}"/>
    <cellStyle name="Normal 5 5 4 2 2 3" xfId="34467" xr:uid="{4F9FB355-2FF1-4A28-BEC2-AE2DB41432AB}"/>
    <cellStyle name="Normal 5 5 4 2 2 4" xfId="42914" xr:uid="{969BECA4-AB7A-4ABE-BD47-E75D93AD44B1}"/>
    <cellStyle name="Normal 5 5 4 2 2 5" xfId="16720" xr:uid="{BE49D939-A231-45AC-827B-77A588C76AEC}"/>
    <cellStyle name="Normal 5 5 4 2 3" xfId="21803" xr:uid="{F3DE1FA7-5066-45C9-9169-0D822D5B7386}"/>
    <cellStyle name="Normal 5 5 4 2 4" xfId="30250" xr:uid="{919AA880-F653-4D9D-96C6-5F2093EA6A33}"/>
    <cellStyle name="Normal 5 5 4 2 5" xfId="38697" xr:uid="{7A983C75-281A-4F41-B64A-A853A3E72556}"/>
    <cellStyle name="Normal 5 5 4 2 6" xfId="12503" xr:uid="{6047130F-B757-4AAA-9B81-22BAE3E77782}"/>
    <cellStyle name="Normal 5 5 4 3" xfId="5249" xr:uid="{00000000-0005-0000-0000-00008C1B0000}"/>
    <cellStyle name="Normal 5 5 4 3 2" xfId="23875" xr:uid="{D1B6D7D3-7A08-4475-999D-79DB49E7493A}"/>
    <cellStyle name="Normal 5 5 4 3 3" xfId="32322" xr:uid="{2CBC569E-88C4-438A-B5EE-47706EBC2D07}"/>
    <cellStyle name="Normal 5 5 4 3 4" xfId="40769" xr:uid="{9A50CDF8-B2C0-49A3-9E9E-0108B7F352B6}"/>
    <cellStyle name="Normal 5 5 4 3 5" xfId="14575" xr:uid="{E270C73D-AC33-4BCB-B2A5-80839E420B1B}"/>
    <cellStyle name="Normal 5 5 4 4" xfId="9251" xr:uid="{4EAD9E35-D3C9-46BE-AE4D-29A1C6D5A6F7}"/>
    <cellStyle name="Normal 5 5 4 4 2" xfId="18567" xr:uid="{2EABA8D2-4C8D-4388-83BB-239BF363F459}"/>
    <cellStyle name="Normal 5 5 4 5" xfId="19658" xr:uid="{B2CE3B30-4613-4462-B922-4B5FFF56F0F4}"/>
    <cellStyle name="Normal 5 5 4 6" xfId="28105" xr:uid="{F984C54C-735E-46F2-948C-BAF374CAA3FD}"/>
    <cellStyle name="Normal 5 5 4 7" xfId="36552" xr:uid="{BF0DC484-1078-4F5E-A206-006960801B85}"/>
    <cellStyle name="Normal 5 5 4 8" xfId="10358" xr:uid="{05E9D324-E70A-428A-8C5F-B1193120E552}"/>
    <cellStyle name="Normal 5 5 5" xfId="1355" xr:uid="{00000000-0005-0000-0000-00008D1B0000}"/>
    <cellStyle name="Normal 5 5 5 2" xfId="3585" xr:uid="{00000000-0005-0000-0000-00008E1B0000}"/>
    <cellStyle name="Normal 5 5 5 2 2" xfId="7807" xr:uid="{00000000-0005-0000-0000-00008F1B0000}"/>
    <cellStyle name="Normal 5 5 5 2 2 2" xfId="26433" xr:uid="{D4560560-C5B5-47BF-ABDD-21898C984E26}"/>
    <cellStyle name="Normal 5 5 5 2 2 3" xfId="34880" xr:uid="{468AF28D-5ECC-4825-B6B2-AEFDFCF823E2}"/>
    <cellStyle name="Normal 5 5 5 2 2 4" xfId="43327" xr:uid="{989032B9-60A1-4AF1-A502-1C3D3E15DDF8}"/>
    <cellStyle name="Normal 5 5 5 2 2 5" xfId="17133" xr:uid="{E8FF7619-6D4A-4CB0-B559-95F85DBE5546}"/>
    <cellStyle name="Normal 5 5 5 2 3" xfId="22216" xr:uid="{A9F89627-6990-4E77-B834-79D7559766DF}"/>
    <cellStyle name="Normal 5 5 5 2 4" xfId="30663" xr:uid="{34CEEB84-B9C2-4FD4-B166-D6C2552C90D0}"/>
    <cellStyle name="Normal 5 5 5 2 5" xfId="39110" xr:uid="{B3405A51-5947-4C87-813B-9A56C978D802}"/>
    <cellStyle name="Normal 5 5 5 2 6" xfId="12916" xr:uid="{CEF1C3E6-662A-4A4E-93A4-CBE4D837B65A}"/>
    <cellStyle name="Normal 5 5 5 3" xfId="5662" xr:uid="{00000000-0005-0000-0000-0000901B0000}"/>
    <cellStyle name="Normal 5 5 5 3 2" xfId="24288" xr:uid="{92A6F7A1-9649-46FA-8DC1-B8AB1FF7B397}"/>
    <cellStyle name="Normal 5 5 5 3 3" xfId="32735" xr:uid="{BC7900A7-C5A9-4B10-9598-0C7D44A67D81}"/>
    <cellStyle name="Normal 5 5 5 3 4" xfId="41182" xr:uid="{EC1E5A8D-5057-41B2-9EF1-EFD957560808}"/>
    <cellStyle name="Normal 5 5 5 3 5" xfId="14988" xr:uid="{CE9F04D0-7622-4979-A441-64DA9E339876}"/>
    <cellStyle name="Normal 5 5 5 4" xfId="20071" xr:uid="{8CC5907F-E014-46C8-91D8-A96571AE5CC2}"/>
    <cellStyle name="Normal 5 5 5 5" xfId="28518" xr:uid="{032B0C16-AF2B-458F-9262-B1AEC0A557BD}"/>
    <cellStyle name="Normal 5 5 5 6" xfId="36965" xr:uid="{6C79AD4F-3706-4CA2-A7AD-6B87E86426A6}"/>
    <cellStyle name="Normal 5 5 5 7" xfId="10771" xr:uid="{B1D23007-2A71-4785-AAAD-B7F7A708013F}"/>
    <cellStyle name="Normal 5 5 6" xfId="1768" xr:uid="{00000000-0005-0000-0000-0000911B0000}"/>
    <cellStyle name="Normal 5 5 6 2" xfId="3998" xr:uid="{00000000-0005-0000-0000-0000921B0000}"/>
    <cellStyle name="Normal 5 5 6 2 2" xfId="8220" xr:uid="{00000000-0005-0000-0000-0000931B0000}"/>
    <cellStyle name="Normal 5 5 6 2 2 2" xfId="26846" xr:uid="{FC8DEAF9-F4DC-453F-8BC3-F4E4B2148292}"/>
    <cellStyle name="Normal 5 5 6 2 2 3" xfId="35293" xr:uid="{F3A0FFBB-FB81-48A7-920E-156C645037CB}"/>
    <cellStyle name="Normal 5 5 6 2 2 4" xfId="43740" xr:uid="{D7C46266-C6D9-43E2-ADC5-4CD849A7DBCB}"/>
    <cellStyle name="Normal 5 5 6 2 2 5" xfId="17546" xr:uid="{1E6043F9-0491-4317-9898-5A0699CBD1AA}"/>
    <cellStyle name="Normal 5 5 6 2 3" xfId="22629" xr:uid="{AE0BFFE9-B792-4204-B5D2-4C9D6CE55C77}"/>
    <cellStyle name="Normal 5 5 6 2 4" xfId="31076" xr:uid="{4EBB9F4B-ED2D-4A2F-99C3-933D197FBFCF}"/>
    <cellStyle name="Normal 5 5 6 2 5" xfId="39523" xr:uid="{C46CC6CD-3E8C-47C0-B080-283828BB8339}"/>
    <cellStyle name="Normal 5 5 6 2 6" xfId="13329" xr:uid="{54AE37AA-37F4-4CE6-BCCC-425BB289E7D3}"/>
    <cellStyle name="Normal 5 5 6 3" xfId="6075" xr:uid="{00000000-0005-0000-0000-0000941B0000}"/>
    <cellStyle name="Normal 5 5 6 3 2" xfId="24701" xr:uid="{6B2FADA7-C362-4B22-9065-7DF432F917EE}"/>
    <cellStyle name="Normal 5 5 6 3 3" xfId="33148" xr:uid="{B0000C11-79C7-4357-8E44-BF4E99BB2BEA}"/>
    <cellStyle name="Normal 5 5 6 3 4" xfId="41595" xr:uid="{D897FFAC-BD95-47B6-BB20-13A693D896E9}"/>
    <cellStyle name="Normal 5 5 6 3 5" xfId="15401" xr:uid="{01657035-B6E3-4E31-93FB-6E42E9EF890B}"/>
    <cellStyle name="Normal 5 5 6 4" xfId="20484" xr:uid="{FD547179-9123-4183-A480-5C974A5FC547}"/>
    <cellStyle name="Normal 5 5 6 5" xfId="28931" xr:uid="{CB2D7E59-C90C-42DE-8779-7A7404D893FD}"/>
    <cellStyle name="Normal 5 5 6 6" xfId="37378" xr:uid="{EC4F8FF8-9234-4D68-AD84-46A5039055EE}"/>
    <cellStyle name="Normal 5 5 6 7" xfId="11184" xr:uid="{698D501F-E6E3-4224-8E65-9E032233F4A4}"/>
    <cellStyle name="Normal 5 5 7" xfId="2182" xr:uid="{00000000-0005-0000-0000-0000951B0000}"/>
    <cellStyle name="Normal 5 5 7 2" xfId="4411" xr:uid="{00000000-0005-0000-0000-0000961B0000}"/>
    <cellStyle name="Normal 5 5 7 2 2" xfId="8633" xr:uid="{00000000-0005-0000-0000-0000971B0000}"/>
    <cellStyle name="Normal 5 5 7 2 2 2" xfId="27259" xr:uid="{B21E0A17-CF6F-403C-B30C-B759AB8B7D42}"/>
    <cellStyle name="Normal 5 5 7 2 2 3" xfId="35706" xr:uid="{8A59BE96-2996-4CF1-A102-DDA4C318AAD7}"/>
    <cellStyle name="Normal 5 5 7 2 2 4" xfId="44153" xr:uid="{7EA58EC3-40BE-448D-A8C6-D4B0DC477329}"/>
    <cellStyle name="Normal 5 5 7 2 2 5" xfId="17959" xr:uid="{4B0D2D22-BF65-43ED-886C-5159A47189AC}"/>
    <cellStyle name="Normal 5 5 7 2 3" xfId="23042" xr:uid="{78D08871-331F-415B-8166-D5CBDCEEF26E}"/>
    <cellStyle name="Normal 5 5 7 2 4" xfId="31489" xr:uid="{AFB1D7C8-1534-4742-A95E-4B9791639B3C}"/>
    <cellStyle name="Normal 5 5 7 2 5" xfId="39936" xr:uid="{26FBAF31-CC1E-49FB-BD29-B9E6130ECDA9}"/>
    <cellStyle name="Normal 5 5 7 2 6" xfId="13742" xr:uid="{F72C3187-B040-49FF-BB94-927DDF56FBF1}"/>
    <cellStyle name="Normal 5 5 7 3" xfId="6488" xr:uid="{00000000-0005-0000-0000-0000981B0000}"/>
    <cellStyle name="Normal 5 5 7 3 2" xfId="25114" xr:uid="{C02DEADF-56FD-4833-94D3-DBDEEBE4BD22}"/>
    <cellStyle name="Normal 5 5 7 3 3" xfId="33561" xr:uid="{B3EBCA7C-B1ED-42FA-B8C6-DF6F08FE26AB}"/>
    <cellStyle name="Normal 5 5 7 3 4" xfId="42008" xr:uid="{3B282251-784A-421A-A9EF-270B8AA0D825}"/>
    <cellStyle name="Normal 5 5 7 3 5" xfId="15814" xr:uid="{C0F3C8DE-E5D4-4857-9A86-BA61881D96B0}"/>
    <cellStyle name="Normal 5 5 7 4" xfId="20897" xr:uid="{8C6AFAD7-1FCB-4B2B-89C0-0CE7DB85E1BD}"/>
    <cellStyle name="Normal 5 5 7 5" xfId="29344" xr:uid="{202203CA-5623-4EF0-BD19-A30D1645E4A1}"/>
    <cellStyle name="Normal 5 5 7 6" xfId="37791" xr:uid="{304BE65F-9BA7-44F1-9996-B12DD4C6A25E}"/>
    <cellStyle name="Normal 5 5 7 7" xfId="11597" xr:uid="{F2773748-5596-4EFA-A94C-20F926ECE747}"/>
    <cellStyle name="Normal 5 5 8" xfId="2618" xr:uid="{00000000-0005-0000-0000-0000991B0000}"/>
    <cellStyle name="Normal 5 5 8 2" xfId="6901" xr:uid="{00000000-0005-0000-0000-00009A1B0000}"/>
    <cellStyle name="Normal 5 5 8 2 2" xfId="25527" xr:uid="{6F4ABE6C-6E8A-4A1C-9799-60A9CBB15B33}"/>
    <cellStyle name="Normal 5 5 8 2 3" xfId="33974" xr:uid="{860C2F7E-8578-4531-AEAE-1F1ED37A26F5}"/>
    <cellStyle name="Normal 5 5 8 2 4" xfId="42421" xr:uid="{4D23E1D5-1F46-44D8-80EE-38995128B6F9}"/>
    <cellStyle name="Normal 5 5 8 2 5" xfId="16227" xr:uid="{EEED024B-8C21-4F5F-84E2-8C78357924C9}"/>
    <cellStyle name="Normal 5 5 8 3" xfId="21310" xr:uid="{83CB1527-41D8-446B-B9C2-DE4515CA2A42}"/>
    <cellStyle name="Normal 5 5 8 4" xfId="29757" xr:uid="{D067CDF0-C4D9-453D-9AFD-0D9761F04B07}"/>
    <cellStyle name="Normal 5 5 8 5" xfId="38204" xr:uid="{862131D6-03CE-4CFD-8F86-8C906AA0CD56}"/>
    <cellStyle name="Normal 5 5 8 6" xfId="12010" xr:uid="{3A90D547-4BC3-405D-A3A2-FE2E0C9CD13F}"/>
    <cellStyle name="Normal 5 5 9" xfId="4836" xr:uid="{00000000-0005-0000-0000-00009B1B0000}"/>
    <cellStyle name="Normal 5 5 9 2" xfId="23462" xr:uid="{FE950D72-6CC6-488C-A82B-4B7524BBE933}"/>
    <cellStyle name="Normal 5 5 9 3" xfId="31909" xr:uid="{7CCC9845-D478-4738-8680-0393B63117AA}"/>
    <cellStyle name="Normal 5 5 9 4" xfId="40356" xr:uid="{4E0C0B90-4E31-42AA-A288-1EB332D76BB5}"/>
    <cellStyle name="Normal 5 5 9 5" xfId="14162" xr:uid="{AC9F762C-3439-49C0-802C-F8CE06A62BA1}"/>
    <cellStyle name="Normal 5 6" xfId="468" xr:uid="{00000000-0005-0000-0000-00009C1B0000}"/>
    <cellStyle name="Normal 5 6 10" xfId="19249" xr:uid="{329866D4-E1AE-4EEC-9E0E-3435373E6C70}"/>
    <cellStyle name="Normal 5 6 11" xfId="27696" xr:uid="{2DC95475-5F5D-40AC-B4E6-E6D5135BB1C6}"/>
    <cellStyle name="Normal 5 6 12" xfId="36143" xr:uid="{F6EA5D5C-AFE7-4F80-8C2D-2910756C7D37}"/>
    <cellStyle name="Normal 5 6 13" xfId="9949" xr:uid="{DF4A6BC2-5F84-4764-8E75-57F888D5E673}"/>
    <cellStyle name="Normal 5 6 2" xfId="469" xr:uid="{00000000-0005-0000-0000-00009D1B0000}"/>
    <cellStyle name="Normal 5 6 2 10" xfId="27697" xr:uid="{D159630B-3C5F-4F8A-8385-1945D5B2585C}"/>
    <cellStyle name="Normal 5 6 2 11" xfId="36144" xr:uid="{47FB4BDC-1E5C-40B1-BC18-23D061B0BBC7}"/>
    <cellStyle name="Normal 5 6 2 12" xfId="9950" xr:uid="{9110C79F-F493-4818-935C-1F02F61AD573}"/>
    <cellStyle name="Normal 5 6 2 2" xfId="943" xr:uid="{00000000-0005-0000-0000-00009E1B0000}"/>
    <cellStyle name="Normal 5 6 2 2 2" xfId="3177" xr:uid="{00000000-0005-0000-0000-00009F1B0000}"/>
    <cellStyle name="Normal 5 6 2 2 2 2" xfId="7399" xr:uid="{00000000-0005-0000-0000-0000A01B0000}"/>
    <cellStyle name="Normal 5 6 2 2 2 2 2" xfId="26025" xr:uid="{86D39D68-6E18-41FA-97A1-60904F7C922E}"/>
    <cellStyle name="Normal 5 6 2 2 2 2 3" xfId="34472" xr:uid="{E33A7A8E-9806-4336-ACFD-80A26F3D2C9C}"/>
    <cellStyle name="Normal 5 6 2 2 2 2 4" xfId="42919" xr:uid="{3E7D730B-142B-4BF9-A6B5-8F11F8A24509}"/>
    <cellStyle name="Normal 5 6 2 2 2 2 5" xfId="16725" xr:uid="{D24E1CCC-0861-42C9-B88C-D509CDE113D2}"/>
    <cellStyle name="Normal 5 6 2 2 2 3" xfId="21808" xr:uid="{C1EA0A2D-A4A6-435A-9D65-ABF7F401E7AA}"/>
    <cellStyle name="Normal 5 6 2 2 2 4" xfId="30255" xr:uid="{02F02AC8-3199-4D00-8EB7-5CCE2994B53D}"/>
    <cellStyle name="Normal 5 6 2 2 2 5" xfId="38702" xr:uid="{179C25B8-C4B8-43D2-A31C-273A3B80E5CE}"/>
    <cellStyle name="Normal 5 6 2 2 2 6" xfId="12508" xr:uid="{D1D9C0E5-286F-430A-8BD3-E6F9CD9B9D3A}"/>
    <cellStyle name="Normal 5 6 2 2 3" xfId="5254" xr:uid="{00000000-0005-0000-0000-0000A11B0000}"/>
    <cellStyle name="Normal 5 6 2 2 3 2" xfId="23880" xr:uid="{B2E72949-C8F5-4741-B72A-6FDCFD58C3E6}"/>
    <cellStyle name="Normal 5 6 2 2 3 3" xfId="32327" xr:uid="{CAAC2E63-39B5-42F4-BFB8-C7CC0412D0E9}"/>
    <cellStyle name="Normal 5 6 2 2 3 4" xfId="40774" xr:uid="{7C7A72A5-3FC2-4CDA-BBA7-CD67DF77D5A6}"/>
    <cellStyle name="Normal 5 6 2 2 3 5" xfId="14580" xr:uid="{E0FA93EA-8920-4C3E-9806-A5DED7A63E8E}"/>
    <cellStyle name="Normal 5 6 2 2 4" xfId="9476" xr:uid="{3B3E6CA1-4D97-4B11-99D5-4F82314AA0E0}"/>
    <cellStyle name="Normal 5 6 2 2 4 2" xfId="18792" xr:uid="{1F6DDC60-D1A4-45FF-B102-14849448073A}"/>
    <cellStyle name="Normal 5 6 2 2 5" xfId="19663" xr:uid="{797786C2-8A71-4545-AA82-61BCE21683C2}"/>
    <cellStyle name="Normal 5 6 2 2 6" xfId="28110" xr:uid="{71321AE7-1C74-447A-A5A2-84ACCFF2185A}"/>
    <cellStyle name="Normal 5 6 2 2 7" xfId="36557" xr:uid="{B4C5A8CE-8D23-4A6D-B7E1-689881255AE9}"/>
    <cellStyle name="Normal 5 6 2 2 8" xfId="10363" xr:uid="{2B3AE9E4-59AA-40AC-BF11-F0349431813C}"/>
    <cellStyle name="Normal 5 6 2 3" xfId="1360" xr:uid="{00000000-0005-0000-0000-0000A21B0000}"/>
    <cellStyle name="Normal 5 6 2 3 2" xfId="3590" xr:uid="{00000000-0005-0000-0000-0000A31B0000}"/>
    <cellStyle name="Normal 5 6 2 3 2 2" xfId="7812" xr:uid="{00000000-0005-0000-0000-0000A41B0000}"/>
    <cellStyle name="Normal 5 6 2 3 2 2 2" xfId="26438" xr:uid="{858723A9-43CA-49D5-A239-758F50E326A9}"/>
    <cellStyle name="Normal 5 6 2 3 2 2 3" xfId="34885" xr:uid="{36897069-8067-4643-9C2D-BF9C6ED7F443}"/>
    <cellStyle name="Normal 5 6 2 3 2 2 4" xfId="43332" xr:uid="{A1F80672-F627-4000-BC54-E24C56217761}"/>
    <cellStyle name="Normal 5 6 2 3 2 2 5" xfId="17138" xr:uid="{25DC5C50-D6B2-4940-A650-A8216F604CE4}"/>
    <cellStyle name="Normal 5 6 2 3 2 3" xfId="22221" xr:uid="{3D5A941E-1FD3-4B2E-B0A2-664A105F4AC6}"/>
    <cellStyle name="Normal 5 6 2 3 2 4" xfId="30668" xr:uid="{FFCC845D-30D7-4FAB-A7E5-4474B36A508F}"/>
    <cellStyle name="Normal 5 6 2 3 2 5" xfId="39115" xr:uid="{CFF6A3B1-D35F-49DB-A02A-A31828751DC9}"/>
    <cellStyle name="Normal 5 6 2 3 2 6" xfId="12921" xr:uid="{00D789AB-85D7-44DF-AA3F-3313E30C4CEF}"/>
    <cellStyle name="Normal 5 6 2 3 3" xfId="5667" xr:uid="{00000000-0005-0000-0000-0000A51B0000}"/>
    <cellStyle name="Normal 5 6 2 3 3 2" xfId="24293" xr:uid="{1D11C937-DA00-4985-B033-833EEC088826}"/>
    <cellStyle name="Normal 5 6 2 3 3 3" xfId="32740" xr:uid="{8A3695FB-09D5-4CC3-91B2-42377D947E6B}"/>
    <cellStyle name="Normal 5 6 2 3 3 4" xfId="41187" xr:uid="{07B9D317-AE41-48CA-9DED-554270B34025}"/>
    <cellStyle name="Normal 5 6 2 3 3 5" xfId="14993" xr:uid="{311694B2-B1FA-4A0D-A2D3-D3C4212EE5D2}"/>
    <cellStyle name="Normal 5 6 2 3 4" xfId="20076" xr:uid="{B0AD47AA-0B23-4E46-A33E-EEFE5E5EBDC1}"/>
    <cellStyle name="Normal 5 6 2 3 5" xfId="28523" xr:uid="{B4C223BE-3987-4528-920A-04A875C5E951}"/>
    <cellStyle name="Normal 5 6 2 3 6" xfId="36970" xr:uid="{B9624E51-CD79-4201-935D-346D63B87E76}"/>
    <cellStyle name="Normal 5 6 2 3 7" xfId="10776" xr:uid="{E3C3896E-924B-464C-8493-201DF54D690F}"/>
    <cellStyle name="Normal 5 6 2 4" xfId="1773" xr:uid="{00000000-0005-0000-0000-0000A61B0000}"/>
    <cellStyle name="Normal 5 6 2 4 2" xfId="4003" xr:uid="{00000000-0005-0000-0000-0000A71B0000}"/>
    <cellStyle name="Normal 5 6 2 4 2 2" xfId="8225" xr:uid="{00000000-0005-0000-0000-0000A81B0000}"/>
    <cellStyle name="Normal 5 6 2 4 2 2 2" xfId="26851" xr:uid="{129D59B3-12E8-4515-BF04-81D61D687C35}"/>
    <cellStyle name="Normal 5 6 2 4 2 2 3" xfId="35298" xr:uid="{BF76FFA0-00C8-460D-8C6F-7F5DB6FB7E9D}"/>
    <cellStyle name="Normal 5 6 2 4 2 2 4" xfId="43745" xr:uid="{C53042C4-1CBC-4E5A-B9B3-EC033033FAF2}"/>
    <cellStyle name="Normal 5 6 2 4 2 2 5" xfId="17551" xr:uid="{0EF20A7B-1D66-4FD8-B92B-965F5B662939}"/>
    <cellStyle name="Normal 5 6 2 4 2 3" xfId="22634" xr:uid="{8E85464F-9033-44EF-AFB5-85EDC62B0542}"/>
    <cellStyle name="Normal 5 6 2 4 2 4" xfId="31081" xr:uid="{6F853020-2BF5-4949-BC28-571071C11F72}"/>
    <cellStyle name="Normal 5 6 2 4 2 5" xfId="39528" xr:uid="{1A3BA5AA-511A-4E0D-A908-42632CD11D3A}"/>
    <cellStyle name="Normal 5 6 2 4 2 6" xfId="13334" xr:uid="{CAF66C09-54A2-4A40-93A1-E00427D3B95C}"/>
    <cellStyle name="Normal 5 6 2 4 3" xfId="6080" xr:uid="{00000000-0005-0000-0000-0000A91B0000}"/>
    <cellStyle name="Normal 5 6 2 4 3 2" xfId="24706" xr:uid="{E4AF5C1B-829F-4A36-AC47-E09A45EB15BE}"/>
    <cellStyle name="Normal 5 6 2 4 3 3" xfId="33153" xr:uid="{0F4D5ACE-838A-4CC3-A5B8-85774BF924D2}"/>
    <cellStyle name="Normal 5 6 2 4 3 4" xfId="41600" xr:uid="{AC69C6ED-561E-4544-BC75-953D88B63CA3}"/>
    <cellStyle name="Normal 5 6 2 4 3 5" xfId="15406" xr:uid="{B66A2B4F-E115-44CF-BC9F-1B6925E8C9E0}"/>
    <cellStyle name="Normal 5 6 2 4 4" xfId="20489" xr:uid="{225669A7-5987-459F-A2F7-32C03C101800}"/>
    <cellStyle name="Normal 5 6 2 4 5" xfId="28936" xr:uid="{08DD4B01-628F-477D-82A1-D9174B68379E}"/>
    <cellStyle name="Normal 5 6 2 4 6" xfId="37383" xr:uid="{3A1C2929-0221-4015-A5A0-B35118D6689A}"/>
    <cellStyle name="Normal 5 6 2 4 7" xfId="11189" xr:uid="{72DDA500-C947-4C8E-86A8-F7BC65D09497}"/>
    <cellStyle name="Normal 5 6 2 5" xfId="2187" xr:uid="{00000000-0005-0000-0000-0000AA1B0000}"/>
    <cellStyle name="Normal 5 6 2 5 2" xfId="4416" xr:uid="{00000000-0005-0000-0000-0000AB1B0000}"/>
    <cellStyle name="Normal 5 6 2 5 2 2" xfId="8638" xr:uid="{00000000-0005-0000-0000-0000AC1B0000}"/>
    <cellStyle name="Normal 5 6 2 5 2 2 2" xfId="27264" xr:uid="{DCA01D55-71BE-4A35-A0E8-7692C0B86CB2}"/>
    <cellStyle name="Normal 5 6 2 5 2 2 3" xfId="35711" xr:uid="{6B69D9F9-06EF-4314-9EB2-638B2F993440}"/>
    <cellStyle name="Normal 5 6 2 5 2 2 4" xfId="44158" xr:uid="{77A3F054-DD7A-4667-8CD7-29D93DA958AC}"/>
    <cellStyle name="Normal 5 6 2 5 2 2 5" xfId="17964" xr:uid="{25347CF6-4DC8-4728-BADA-0D750F279B68}"/>
    <cellStyle name="Normal 5 6 2 5 2 3" xfId="23047" xr:uid="{9A16E7A9-992C-408A-8705-6FF1F34079D2}"/>
    <cellStyle name="Normal 5 6 2 5 2 4" xfId="31494" xr:uid="{2B2CE138-5942-4BD1-9E0C-C5CDC9C9675A}"/>
    <cellStyle name="Normal 5 6 2 5 2 5" xfId="39941" xr:uid="{54CCAC3F-C2A4-4355-BE0F-AEBA612F92CE}"/>
    <cellStyle name="Normal 5 6 2 5 2 6" xfId="13747" xr:uid="{A48D1B2F-62BB-4C08-9FD9-E574E8F78C68}"/>
    <cellStyle name="Normal 5 6 2 5 3" xfId="6493" xr:uid="{00000000-0005-0000-0000-0000AD1B0000}"/>
    <cellStyle name="Normal 5 6 2 5 3 2" xfId="25119" xr:uid="{B1DD27CC-72EC-4A3F-91B4-C294F4F7312F}"/>
    <cellStyle name="Normal 5 6 2 5 3 3" xfId="33566" xr:uid="{338E56E0-E5B4-4989-A79A-D9D465C05C9C}"/>
    <cellStyle name="Normal 5 6 2 5 3 4" xfId="42013" xr:uid="{F7306249-02D6-46E9-BED6-9AEF66A60355}"/>
    <cellStyle name="Normal 5 6 2 5 3 5" xfId="15819" xr:uid="{E60E2C07-28B6-47FF-9AC4-31DA17B461AF}"/>
    <cellStyle name="Normal 5 6 2 5 4" xfId="20902" xr:uid="{BE8F67DA-765C-4320-96A4-099BBF4BC5A0}"/>
    <cellStyle name="Normal 5 6 2 5 5" xfId="29349" xr:uid="{B4BCB52B-54E3-4EC9-94E2-1E532C4D4D5A}"/>
    <cellStyle name="Normal 5 6 2 5 6" xfId="37796" xr:uid="{FF2DC365-6D23-4ACD-A9FF-E854321F8923}"/>
    <cellStyle name="Normal 5 6 2 5 7" xfId="11602" xr:uid="{2F5BCA8D-7845-40D3-A524-F88E871368BB}"/>
    <cellStyle name="Normal 5 6 2 6" xfId="2623" xr:uid="{00000000-0005-0000-0000-0000AE1B0000}"/>
    <cellStyle name="Normal 5 6 2 6 2" xfId="6906" xr:uid="{00000000-0005-0000-0000-0000AF1B0000}"/>
    <cellStyle name="Normal 5 6 2 6 2 2" xfId="25532" xr:uid="{2D7BC394-3C10-459B-B244-EE5E9EB7A562}"/>
    <cellStyle name="Normal 5 6 2 6 2 3" xfId="33979" xr:uid="{E28D79C6-5243-4D61-AE4C-853F456B1A0A}"/>
    <cellStyle name="Normal 5 6 2 6 2 4" xfId="42426" xr:uid="{61C4A071-26A0-4ECD-8FB4-C94E4CC49414}"/>
    <cellStyle name="Normal 5 6 2 6 2 5" xfId="16232" xr:uid="{84F0106D-C130-4F4B-93BE-69CAA9ABDB73}"/>
    <cellStyle name="Normal 5 6 2 6 3" xfId="21315" xr:uid="{5A82ACC5-9307-4F7E-ABF8-1248CC1B5AB5}"/>
    <cellStyle name="Normal 5 6 2 6 4" xfId="29762" xr:uid="{096D8083-E6D1-4369-9B11-9CC889C2D835}"/>
    <cellStyle name="Normal 5 6 2 6 5" xfId="38209" xr:uid="{E22BD3E7-E7D9-4B9E-A1FD-CED4488F6E02}"/>
    <cellStyle name="Normal 5 6 2 6 6" xfId="12015" xr:uid="{9087694D-638A-4AFB-A3EA-78AE7086ED68}"/>
    <cellStyle name="Normal 5 6 2 7" xfId="4841" xr:uid="{00000000-0005-0000-0000-0000B01B0000}"/>
    <cellStyle name="Normal 5 6 2 7 2" xfId="23467" xr:uid="{EA96D0DB-4181-415A-82BD-8385F4647875}"/>
    <cellStyle name="Normal 5 6 2 7 3" xfId="31914" xr:uid="{D7E664D4-1BEB-4751-8E0A-18184D90D3BE}"/>
    <cellStyle name="Normal 5 6 2 7 4" xfId="40361" xr:uid="{B0114666-FC29-4CE8-BB2C-FB822EED5C25}"/>
    <cellStyle name="Normal 5 6 2 7 5" xfId="14167" xr:uid="{4D3C53A8-95B6-4924-838D-A72B08A56544}"/>
    <cellStyle name="Normal 5 6 2 8" xfId="9051" xr:uid="{97C72229-9AC1-4DA9-8A0B-8B4B6D970DE8}"/>
    <cellStyle name="Normal 5 6 2 8 2" xfId="18375" xr:uid="{3BAEC0CF-36A2-49B8-9073-342A92F3EAFB}"/>
    <cellStyle name="Normal 5 6 2 9" xfId="19250" xr:uid="{B5213C52-39B5-4EB5-B8CA-36B0511E404B}"/>
    <cellStyle name="Normal 5 6 3" xfId="942" xr:uid="{00000000-0005-0000-0000-0000B11B0000}"/>
    <cellStyle name="Normal 5 6 3 2" xfId="3176" xr:uid="{00000000-0005-0000-0000-0000B21B0000}"/>
    <cellStyle name="Normal 5 6 3 2 2" xfId="7398" xr:uid="{00000000-0005-0000-0000-0000B31B0000}"/>
    <cellStyle name="Normal 5 6 3 2 2 2" xfId="26024" xr:uid="{2B6B6A21-2CA6-416E-B013-20F262AC343A}"/>
    <cellStyle name="Normal 5 6 3 2 2 3" xfId="34471" xr:uid="{18481E2A-A6B5-4B81-9C63-D237718CE442}"/>
    <cellStyle name="Normal 5 6 3 2 2 4" xfId="42918" xr:uid="{10F42111-BDEA-4D39-83AE-3498362332E6}"/>
    <cellStyle name="Normal 5 6 3 2 2 5" xfId="16724" xr:uid="{84BCA47B-A458-4107-8D47-B5574574A9DE}"/>
    <cellStyle name="Normal 5 6 3 2 3" xfId="21807" xr:uid="{7625592D-8367-4FD0-8A6C-DADB6F4BA5E4}"/>
    <cellStyle name="Normal 5 6 3 2 4" xfId="30254" xr:uid="{C0FED755-8EB5-4E68-A219-3BE126F499D6}"/>
    <cellStyle name="Normal 5 6 3 2 5" xfId="38701" xr:uid="{B557DF46-832F-4878-AA8B-1BE238E6A0CF}"/>
    <cellStyle name="Normal 5 6 3 2 6" xfId="12507" xr:uid="{E650773A-8449-466F-80E7-BDBBC1432DC6}"/>
    <cellStyle name="Normal 5 6 3 3" xfId="5253" xr:uid="{00000000-0005-0000-0000-0000B41B0000}"/>
    <cellStyle name="Normal 5 6 3 3 2" xfId="23879" xr:uid="{5AFB8C2E-7FE5-47A8-97F0-3B841ABB817A}"/>
    <cellStyle name="Normal 5 6 3 3 3" xfId="32326" xr:uid="{4084841F-2B23-4054-B240-4B9F36A4C00B}"/>
    <cellStyle name="Normal 5 6 3 3 4" xfId="40773" xr:uid="{59039329-5039-46A0-9577-7F68BCC801CF}"/>
    <cellStyle name="Normal 5 6 3 3 5" xfId="14579" xr:uid="{0B2F43CE-08C0-44CD-9242-D442462A9D7C}"/>
    <cellStyle name="Normal 5 6 3 4" xfId="9269" xr:uid="{7D6728A0-C210-4F3F-8114-143B9AE0BFB4}"/>
    <cellStyle name="Normal 5 6 3 4 2" xfId="18585" xr:uid="{A013526F-FF64-4693-962F-1E5AA17A53BD}"/>
    <cellStyle name="Normal 5 6 3 5" xfId="19662" xr:uid="{CCC0F49C-0258-4F0E-8E34-CBE2F2194DC7}"/>
    <cellStyle name="Normal 5 6 3 6" xfId="28109" xr:uid="{29A6168E-F28D-4398-9454-98E8D77A0C8C}"/>
    <cellStyle name="Normal 5 6 3 7" xfId="36556" xr:uid="{B5C95FB4-A8A6-4696-8730-5920A077EC77}"/>
    <cellStyle name="Normal 5 6 3 8" xfId="10362" xr:uid="{72D22A53-D4BF-4B18-BB0B-F6A35DA55095}"/>
    <cellStyle name="Normal 5 6 4" xfId="1359" xr:uid="{00000000-0005-0000-0000-0000B51B0000}"/>
    <cellStyle name="Normal 5 6 4 2" xfId="3589" xr:uid="{00000000-0005-0000-0000-0000B61B0000}"/>
    <cellStyle name="Normal 5 6 4 2 2" xfId="7811" xr:uid="{00000000-0005-0000-0000-0000B71B0000}"/>
    <cellStyle name="Normal 5 6 4 2 2 2" xfId="26437" xr:uid="{8ECEF94A-9120-47B8-859E-EC261116D291}"/>
    <cellStyle name="Normal 5 6 4 2 2 3" xfId="34884" xr:uid="{D20B2BB9-3A84-4896-AF73-66C3A24EA984}"/>
    <cellStyle name="Normal 5 6 4 2 2 4" xfId="43331" xr:uid="{9A22CC2C-4DFE-47F8-97B8-F35259B6BAB8}"/>
    <cellStyle name="Normal 5 6 4 2 2 5" xfId="17137" xr:uid="{72528B8A-3980-4726-9BA7-2EE3FA8AE6D7}"/>
    <cellStyle name="Normal 5 6 4 2 3" xfId="22220" xr:uid="{A9DB5C77-A3C7-41B5-A750-09A6EDE50C29}"/>
    <cellStyle name="Normal 5 6 4 2 4" xfId="30667" xr:uid="{D2F8D5CB-EE44-471C-8BED-70BB5FDFD4CF}"/>
    <cellStyle name="Normal 5 6 4 2 5" xfId="39114" xr:uid="{443F0E32-2635-4D9A-AFD9-3E5BA8312627}"/>
    <cellStyle name="Normal 5 6 4 2 6" xfId="12920" xr:uid="{63E4002A-F99F-4ECF-9F77-C275ADD05832}"/>
    <cellStyle name="Normal 5 6 4 3" xfId="5666" xr:uid="{00000000-0005-0000-0000-0000B81B0000}"/>
    <cellStyle name="Normal 5 6 4 3 2" xfId="24292" xr:uid="{CCC19E99-7664-4239-A053-521DA667E131}"/>
    <cellStyle name="Normal 5 6 4 3 3" xfId="32739" xr:uid="{30F64D44-7B75-4F3F-9D68-C9734674E366}"/>
    <cellStyle name="Normal 5 6 4 3 4" xfId="41186" xr:uid="{EDD0B977-BBA8-4BCA-A944-0A48830986BF}"/>
    <cellStyle name="Normal 5 6 4 3 5" xfId="14992" xr:uid="{7C58BCDB-CC79-454E-B6EA-7423F82482A9}"/>
    <cellStyle name="Normal 5 6 4 4" xfId="20075" xr:uid="{4177C4B5-7616-4241-9778-87CB31B5688C}"/>
    <cellStyle name="Normal 5 6 4 5" xfId="28522" xr:uid="{70EE37BB-F9C7-4CF2-A968-0D789453F99B}"/>
    <cellStyle name="Normal 5 6 4 6" xfId="36969" xr:uid="{540DAD85-B315-4327-913C-97C7ABC2CA5A}"/>
    <cellStyle name="Normal 5 6 4 7" xfId="10775" xr:uid="{652E1DB5-EB0A-446B-ABE7-F77F0B1C80B5}"/>
    <cellStyle name="Normal 5 6 5" xfId="1772" xr:uid="{00000000-0005-0000-0000-0000B91B0000}"/>
    <cellStyle name="Normal 5 6 5 2" xfId="4002" xr:uid="{00000000-0005-0000-0000-0000BA1B0000}"/>
    <cellStyle name="Normal 5 6 5 2 2" xfId="8224" xr:uid="{00000000-0005-0000-0000-0000BB1B0000}"/>
    <cellStyle name="Normal 5 6 5 2 2 2" xfId="26850" xr:uid="{2D438D28-284F-4413-B724-5C2916C4288D}"/>
    <cellStyle name="Normal 5 6 5 2 2 3" xfId="35297" xr:uid="{E2463108-E88F-46D8-8CA3-834DD28C9E83}"/>
    <cellStyle name="Normal 5 6 5 2 2 4" xfId="43744" xr:uid="{3659A6CC-A686-4D43-9A63-EE715AA1B808}"/>
    <cellStyle name="Normal 5 6 5 2 2 5" xfId="17550" xr:uid="{BC270177-3AC9-4B08-945D-B68353D9DAAA}"/>
    <cellStyle name="Normal 5 6 5 2 3" xfId="22633" xr:uid="{03E259B5-AD64-4D24-9EC6-9D5D741AB63B}"/>
    <cellStyle name="Normal 5 6 5 2 4" xfId="31080" xr:uid="{4C502196-CCE7-4362-9502-0E5894B131D6}"/>
    <cellStyle name="Normal 5 6 5 2 5" xfId="39527" xr:uid="{ECCBC8F1-7E4A-4D51-8D92-BABE3CA77D09}"/>
    <cellStyle name="Normal 5 6 5 2 6" xfId="13333" xr:uid="{26E6A92C-A44F-4796-BC37-AAFE7F77B00E}"/>
    <cellStyle name="Normal 5 6 5 3" xfId="6079" xr:uid="{00000000-0005-0000-0000-0000BC1B0000}"/>
    <cellStyle name="Normal 5 6 5 3 2" xfId="24705" xr:uid="{40054F14-6B31-4245-B4D2-44CD69E9D34A}"/>
    <cellStyle name="Normal 5 6 5 3 3" xfId="33152" xr:uid="{858A8317-A686-4889-AA3F-D62176CCC682}"/>
    <cellStyle name="Normal 5 6 5 3 4" xfId="41599" xr:uid="{410290BF-4DCF-4F30-AC15-B9521A890DCB}"/>
    <cellStyle name="Normal 5 6 5 3 5" xfId="15405" xr:uid="{A720BBCA-EEF7-4267-BD31-5A86AA7A74BA}"/>
    <cellStyle name="Normal 5 6 5 4" xfId="20488" xr:uid="{FE4CC65D-219F-4530-8A7B-786738AF9A43}"/>
    <cellStyle name="Normal 5 6 5 5" xfId="28935" xr:uid="{6E714F4E-C115-4887-BABA-89FACE2B7857}"/>
    <cellStyle name="Normal 5 6 5 6" xfId="37382" xr:uid="{02A75F1C-4CBF-4178-821E-74A981175A1C}"/>
    <cellStyle name="Normal 5 6 5 7" xfId="11188" xr:uid="{84DBEC18-425A-43C7-9B19-25B8BC13C4ED}"/>
    <cellStyle name="Normal 5 6 6" xfId="2186" xr:uid="{00000000-0005-0000-0000-0000BD1B0000}"/>
    <cellStyle name="Normal 5 6 6 2" xfId="4415" xr:uid="{00000000-0005-0000-0000-0000BE1B0000}"/>
    <cellStyle name="Normal 5 6 6 2 2" xfId="8637" xr:uid="{00000000-0005-0000-0000-0000BF1B0000}"/>
    <cellStyle name="Normal 5 6 6 2 2 2" xfId="27263" xr:uid="{86E8239B-55BD-4F53-931D-6332BE6B6C22}"/>
    <cellStyle name="Normal 5 6 6 2 2 3" xfId="35710" xr:uid="{3DAFD236-808A-405C-948F-E5B26FF02A87}"/>
    <cellStyle name="Normal 5 6 6 2 2 4" xfId="44157" xr:uid="{997F6A81-C2B2-4B6B-8D82-97582177E5E6}"/>
    <cellStyle name="Normal 5 6 6 2 2 5" xfId="17963" xr:uid="{BC7134D5-CB34-43B9-A731-728C46A4D4F4}"/>
    <cellStyle name="Normal 5 6 6 2 3" xfId="23046" xr:uid="{5E036645-2869-4C45-B9E4-C0993CBE82B0}"/>
    <cellStyle name="Normal 5 6 6 2 4" xfId="31493" xr:uid="{55C81991-8EB1-45BC-9688-0B041A5EE770}"/>
    <cellStyle name="Normal 5 6 6 2 5" xfId="39940" xr:uid="{62F994F1-AEF3-44EC-8C5F-9B8E82C4403A}"/>
    <cellStyle name="Normal 5 6 6 2 6" xfId="13746" xr:uid="{01F8A8FA-A688-4A84-ABA5-1BD806425BA2}"/>
    <cellStyle name="Normal 5 6 6 3" xfId="6492" xr:uid="{00000000-0005-0000-0000-0000C01B0000}"/>
    <cellStyle name="Normal 5 6 6 3 2" xfId="25118" xr:uid="{45DD8090-D8F6-4DAC-914A-FA64C2215CB0}"/>
    <cellStyle name="Normal 5 6 6 3 3" xfId="33565" xr:uid="{439AFE34-75E3-4395-9292-A7D197D3FB99}"/>
    <cellStyle name="Normal 5 6 6 3 4" xfId="42012" xr:uid="{E174D20A-4AF1-48E9-BD8B-314EAFD5A1CF}"/>
    <cellStyle name="Normal 5 6 6 3 5" xfId="15818" xr:uid="{81DC337E-1763-4036-88A0-5D6CE6189E63}"/>
    <cellStyle name="Normal 5 6 6 4" xfId="20901" xr:uid="{EAD0EEC9-F929-4077-BE22-FA5CAF35F7E9}"/>
    <cellStyle name="Normal 5 6 6 5" xfId="29348" xr:uid="{A5C4E3E9-6F82-4C04-8887-BE62058F330D}"/>
    <cellStyle name="Normal 5 6 6 6" xfId="37795" xr:uid="{18E6B378-D7B0-452C-8592-0B5B75FE281C}"/>
    <cellStyle name="Normal 5 6 6 7" xfId="11601" xr:uid="{784D2933-01F7-4D04-9815-2DF8F4E0105A}"/>
    <cellStyle name="Normal 5 6 7" xfId="2622" xr:uid="{00000000-0005-0000-0000-0000C11B0000}"/>
    <cellStyle name="Normal 5 6 7 2" xfId="6905" xr:uid="{00000000-0005-0000-0000-0000C21B0000}"/>
    <cellStyle name="Normal 5 6 7 2 2" xfId="25531" xr:uid="{E9165076-A0B5-41BF-992F-75054EE829C8}"/>
    <cellStyle name="Normal 5 6 7 2 3" xfId="33978" xr:uid="{9CE8EF15-C41A-46D3-967D-4CC793BB50D7}"/>
    <cellStyle name="Normal 5 6 7 2 4" xfId="42425" xr:uid="{A2B20B98-0106-4BC4-88AC-8D192EBDBB83}"/>
    <cellStyle name="Normal 5 6 7 2 5" xfId="16231" xr:uid="{864BBFA4-927F-407C-B464-0A32AADD31AA}"/>
    <cellStyle name="Normal 5 6 7 3" xfId="21314" xr:uid="{82158692-6F96-485E-9A88-AB3D662A07CD}"/>
    <cellStyle name="Normal 5 6 7 4" xfId="29761" xr:uid="{C2CC89BB-BDE7-4870-A942-039A134A67B7}"/>
    <cellStyle name="Normal 5 6 7 5" xfId="38208" xr:uid="{908D8206-5A70-4EA8-BE6E-1E0399DB1F3F}"/>
    <cellStyle name="Normal 5 6 7 6" xfId="12014" xr:uid="{66780D1C-561F-4A95-8073-3A755B56CCA7}"/>
    <cellStyle name="Normal 5 6 8" xfId="4840" xr:uid="{00000000-0005-0000-0000-0000C31B0000}"/>
    <cellStyle name="Normal 5 6 8 2" xfId="23466" xr:uid="{E3ED12EB-52AA-45BE-B8BC-844BA8B76DEB}"/>
    <cellStyle name="Normal 5 6 8 3" xfId="31913" xr:uid="{AAF2C405-4A34-466E-A8E0-72250D02E684}"/>
    <cellStyle name="Normal 5 6 8 4" xfId="40360" xr:uid="{B4631BAF-85DD-4B57-A359-CF0FE1C6D835}"/>
    <cellStyle name="Normal 5 6 8 5" xfId="14166" xr:uid="{8659BB9F-0BA2-43EA-A874-935F51541F47}"/>
    <cellStyle name="Normal 5 6 9" xfId="8844" xr:uid="{91B947E4-8FF0-409F-B157-688724766D9F}"/>
    <cellStyle name="Normal 5 6 9 2" xfId="18168" xr:uid="{50F4A3C7-0FBC-4705-BD7E-58F8DFAF9D5A}"/>
    <cellStyle name="Normal 5 7" xfId="470" xr:uid="{00000000-0005-0000-0000-0000C41B0000}"/>
    <cellStyle name="Normal 5 7 10" xfId="27698" xr:uid="{1527B943-4E0C-4417-A3A1-5F9E9F8F2297}"/>
    <cellStyle name="Normal 5 7 11" xfId="36145" xr:uid="{C50442CE-A38B-47F1-8A34-F751F6F067D5}"/>
    <cellStyle name="Normal 5 7 12" xfId="9951" xr:uid="{8E21263E-257C-4E01-A903-200EB4941EA7}"/>
    <cellStyle name="Normal 5 7 2" xfId="944" xr:uid="{00000000-0005-0000-0000-0000C51B0000}"/>
    <cellStyle name="Normal 5 7 2 2" xfId="3178" xr:uid="{00000000-0005-0000-0000-0000C61B0000}"/>
    <cellStyle name="Normal 5 7 2 2 2" xfId="7400" xr:uid="{00000000-0005-0000-0000-0000C71B0000}"/>
    <cellStyle name="Normal 5 7 2 2 2 2" xfId="26026" xr:uid="{52532AE4-D71B-46E8-BA6C-5B4B3B3DF2A6}"/>
    <cellStyle name="Normal 5 7 2 2 2 3" xfId="34473" xr:uid="{7153075A-87BD-4845-B494-55A1D61044FC}"/>
    <cellStyle name="Normal 5 7 2 2 2 4" xfId="42920" xr:uid="{18EDB0E2-0B48-4B67-BA3A-F34614CE6193}"/>
    <cellStyle name="Normal 5 7 2 2 2 5" xfId="16726" xr:uid="{03B67971-B6A3-440C-B504-20E425C55183}"/>
    <cellStyle name="Normal 5 7 2 2 3" xfId="21809" xr:uid="{74A12BA7-81F9-4C57-ACA1-7F4CEFCC65BC}"/>
    <cellStyle name="Normal 5 7 2 2 4" xfId="30256" xr:uid="{4D9BE922-B1B6-4652-BC24-4D79BE851AD3}"/>
    <cellStyle name="Normal 5 7 2 2 5" xfId="38703" xr:uid="{97473B17-776C-4F15-97C9-DE83BD8FE806}"/>
    <cellStyle name="Normal 5 7 2 2 6" xfId="12509" xr:uid="{EC9857FE-311E-4305-AC0B-A043D2B1439B}"/>
    <cellStyle name="Normal 5 7 2 3" xfId="5255" xr:uid="{00000000-0005-0000-0000-0000C81B0000}"/>
    <cellStyle name="Normal 5 7 2 3 2" xfId="23881" xr:uid="{C7AA51B5-6698-46D8-BD20-B3135761D575}"/>
    <cellStyle name="Normal 5 7 2 3 3" xfId="32328" xr:uid="{BC11A905-D02C-4AAA-8B6C-B04D188D0E9C}"/>
    <cellStyle name="Normal 5 7 2 3 4" xfId="40775" xr:uid="{6A8EB970-A960-47AD-A1A0-2513B3E9860B}"/>
    <cellStyle name="Normal 5 7 2 3 5" xfId="14581" xr:uid="{D3DC16F3-7050-4134-B818-AF3C55FFC0D1}"/>
    <cellStyle name="Normal 5 7 2 4" xfId="9385" xr:uid="{2E4A3B0A-2E42-41AC-9564-09D1598995A2}"/>
    <cellStyle name="Normal 5 7 2 4 2" xfId="18701" xr:uid="{5A94F595-D7EE-48D3-9B02-2BAACA1D5E75}"/>
    <cellStyle name="Normal 5 7 2 5" xfId="19664" xr:uid="{FAA95694-F2D3-49F7-99E9-E2D1EC8364F9}"/>
    <cellStyle name="Normal 5 7 2 6" xfId="28111" xr:uid="{10769453-1E83-4C2F-9885-D15CAD98DDB1}"/>
    <cellStyle name="Normal 5 7 2 7" xfId="36558" xr:uid="{56BA2DAA-15BE-4ACA-B634-8C816BB7ED32}"/>
    <cellStyle name="Normal 5 7 2 8" xfId="10364" xr:uid="{0484D366-A99A-40FE-BA1C-0EF5CEA59D8E}"/>
    <cellStyle name="Normal 5 7 3" xfId="1361" xr:uid="{00000000-0005-0000-0000-0000C91B0000}"/>
    <cellStyle name="Normal 5 7 3 2" xfId="3591" xr:uid="{00000000-0005-0000-0000-0000CA1B0000}"/>
    <cellStyle name="Normal 5 7 3 2 2" xfId="7813" xr:uid="{00000000-0005-0000-0000-0000CB1B0000}"/>
    <cellStyle name="Normal 5 7 3 2 2 2" xfId="26439" xr:uid="{03E34F79-8913-4008-B426-CA0B43611289}"/>
    <cellStyle name="Normal 5 7 3 2 2 3" xfId="34886" xr:uid="{24F7D0D7-3DA1-46B7-B560-4F6097F3831D}"/>
    <cellStyle name="Normal 5 7 3 2 2 4" xfId="43333" xr:uid="{7D8CFC67-35DB-40E5-90F7-B9C724E7B0D9}"/>
    <cellStyle name="Normal 5 7 3 2 2 5" xfId="17139" xr:uid="{EC8DE6A3-71D3-459E-BE7B-4A6AF97EC290}"/>
    <cellStyle name="Normal 5 7 3 2 3" xfId="22222" xr:uid="{AD869CA7-43B1-47DD-8CB0-CD4B9BFE87B5}"/>
    <cellStyle name="Normal 5 7 3 2 4" xfId="30669" xr:uid="{E4676C29-9652-4042-A34D-C5BDEACB6252}"/>
    <cellStyle name="Normal 5 7 3 2 5" xfId="39116" xr:uid="{2C63594D-DBC4-41B7-845D-A862F928A742}"/>
    <cellStyle name="Normal 5 7 3 2 6" xfId="12922" xr:uid="{A8C9541C-2275-46D4-977A-525298D58B19}"/>
    <cellStyle name="Normal 5 7 3 3" xfId="5668" xr:uid="{00000000-0005-0000-0000-0000CC1B0000}"/>
    <cellStyle name="Normal 5 7 3 3 2" xfId="24294" xr:uid="{57664ECB-2B10-4CEB-869D-7897A16E2ABA}"/>
    <cellStyle name="Normal 5 7 3 3 3" xfId="32741" xr:uid="{716598E5-8AF8-4267-97D3-53F88CF71C40}"/>
    <cellStyle name="Normal 5 7 3 3 4" xfId="41188" xr:uid="{0C1A5A1A-D896-44D4-A72F-F62276898195}"/>
    <cellStyle name="Normal 5 7 3 3 5" xfId="14994" xr:uid="{2F8AA082-A780-497B-9F01-3946D66F158B}"/>
    <cellStyle name="Normal 5 7 3 4" xfId="20077" xr:uid="{B0D279C1-E85C-4F91-93FF-F5F77A007725}"/>
    <cellStyle name="Normal 5 7 3 5" xfId="28524" xr:uid="{8A33167E-8824-418D-9939-BD3CCBCF403E}"/>
    <cellStyle name="Normal 5 7 3 6" xfId="36971" xr:uid="{4D14FE36-0D79-4E79-8982-31E0CE038126}"/>
    <cellStyle name="Normal 5 7 3 7" xfId="10777" xr:uid="{89920C2F-9860-40B0-B005-884F38426FA1}"/>
    <cellStyle name="Normal 5 7 4" xfId="1774" xr:uid="{00000000-0005-0000-0000-0000CD1B0000}"/>
    <cellStyle name="Normal 5 7 4 2" xfId="4004" xr:uid="{00000000-0005-0000-0000-0000CE1B0000}"/>
    <cellStyle name="Normal 5 7 4 2 2" xfId="8226" xr:uid="{00000000-0005-0000-0000-0000CF1B0000}"/>
    <cellStyle name="Normal 5 7 4 2 2 2" xfId="26852" xr:uid="{687E3D1D-2400-4EC6-8661-387C24E9EDB4}"/>
    <cellStyle name="Normal 5 7 4 2 2 3" xfId="35299" xr:uid="{6B0B9E16-6CB2-4650-9397-C2F02F3373A4}"/>
    <cellStyle name="Normal 5 7 4 2 2 4" xfId="43746" xr:uid="{02D3B56E-B9AA-4C97-9063-82210973C988}"/>
    <cellStyle name="Normal 5 7 4 2 2 5" xfId="17552" xr:uid="{956F6F0D-07E0-499D-BDF3-0179287BBFA5}"/>
    <cellStyle name="Normal 5 7 4 2 3" xfId="22635" xr:uid="{0EF4B2BB-5F71-469C-947A-45BF01C697EC}"/>
    <cellStyle name="Normal 5 7 4 2 4" xfId="31082" xr:uid="{E08CA16A-79A5-427D-8A69-9CA6049BD495}"/>
    <cellStyle name="Normal 5 7 4 2 5" xfId="39529" xr:uid="{53BBFDBD-216B-4E92-95D7-236B57A4A666}"/>
    <cellStyle name="Normal 5 7 4 2 6" xfId="13335" xr:uid="{1A9AE2A2-7F67-4F60-86EB-867616FA981B}"/>
    <cellStyle name="Normal 5 7 4 3" xfId="6081" xr:uid="{00000000-0005-0000-0000-0000D01B0000}"/>
    <cellStyle name="Normal 5 7 4 3 2" xfId="24707" xr:uid="{B5B07952-E314-4E9D-AC7E-F8B01C2986CC}"/>
    <cellStyle name="Normal 5 7 4 3 3" xfId="33154" xr:uid="{F091535A-71C4-4758-995B-94CB6BDA95B0}"/>
    <cellStyle name="Normal 5 7 4 3 4" xfId="41601" xr:uid="{601F577C-0E2F-43C2-8D5B-AC1F773EF81D}"/>
    <cellStyle name="Normal 5 7 4 3 5" xfId="15407" xr:uid="{57C8D647-5710-4274-B7D0-6536B88D28BC}"/>
    <cellStyle name="Normal 5 7 4 4" xfId="20490" xr:uid="{0757CDCF-0763-4C0A-A5D1-B8DE24BD429A}"/>
    <cellStyle name="Normal 5 7 4 5" xfId="28937" xr:uid="{C223C89A-76E0-4B29-8E28-A29FF72BA7F9}"/>
    <cellStyle name="Normal 5 7 4 6" xfId="37384" xr:uid="{22D9563A-112D-42D5-9D6E-04A761552702}"/>
    <cellStyle name="Normal 5 7 4 7" xfId="11190" xr:uid="{694D8055-2E5E-44C5-B7D5-3958E42027CB}"/>
    <cellStyle name="Normal 5 7 5" xfId="2188" xr:uid="{00000000-0005-0000-0000-0000D11B0000}"/>
    <cellStyle name="Normal 5 7 5 2" xfId="4417" xr:uid="{00000000-0005-0000-0000-0000D21B0000}"/>
    <cellStyle name="Normal 5 7 5 2 2" xfId="8639" xr:uid="{00000000-0005-0000-0000-0000D31B0000}"/>
    <cellStyle name="Normal 5 7 5 2 2 2" xfId="27265" xr:uid="{DD279B0A-B201-494F-97B7-91C78066FEFA}"/>
    <cellStyle name="Normal 5 7 5 2 2 3" xfId="35712" xr:uid="{39727AD4-340F-4AC5-9B2A-73F6E3C1C221}"/>
    <cellStyle name="Normal 5 7 5 2 2 4" xfId="44159" xr:uid="{A1AE317F-651D-44F6-84BA-D691BB0513CA}"/>
    <cellStyle name="Normal 5 7 5 2 2 5" xfId="17965" xr:uid="{52E14938-B90F-4B46-9E67-C8C4F24688F1}"/>
    <cellStyle name="Normal 5 7 5 2 3" xfId="23048" xr:uid="{9532CA08-5E40-478D-9768-91CA004E42FA}"/>
    <cellStyle name="Normal 5 7 5 2 4" xfId="31495" xr:uid="{E84BEFE7-D01F-4B82-9083-A9DFB9469549}"/>
    <cellStyle name="Normal 5 7 5 2 5" xfId="39942" xr:uid="{CDA10F54-386D-4E39-8E35-DD85042D556F}"/>
    <cellStyle name="Normal 5 7 5 2 6" xfId="13748" xr:uid="{66E8AB16-C8FE-4870-8134-5ABF496E9AF5}"/>
    <cellStyle name="Normal 5 7 5 3" xfId="6494" xr:uid="{00000000-0005-0000-0000-0000D41B0000}"/>
    <cellStyle name="Normal 5 7 5 3 2" xfId="25120" xr:uid="{0F763869-3373-48D2-B7A9-3F48F0B7B01C}"/>
    <cellStyle name="Normal 5 7 5 3 3" xfId="33567" xr:uid="{825F3459-B652-4B33-8BE1-4C63CD028DF7}"/>
    <cellStyle name="Normal 5 7 5 3 4" xfId="42014" xr:uid="{D4AA38E2-FA5D-4AF1-8558-F2E269421FC4}"/>
    <cellStyle name="Normal 5 7 5 3 5" xfId="15820" xr:uid="{1DCB0B4F-1A98-4730-9EA6-E674C6A9D326}"/>
    <cellStyle name="Normal 5 7 5 4" xfId="20903" xr:uid="{2CED73D2-82B5-4DE4-9C69-5272101E80C5}"/>
    <cellStyle name="Normal 5 7 5 5" xfId="29350" xr:uid="{3C9FDC51-F43C-4812-A79A-600DE151C746}"/>
    <cellStyle name="Normal 5 7 5 6" xfId="37797" xr:uid="{2680A1FF-1A24-4310-A2D1-DC0F90C82F12}"/>
    <cellStyle name="Normal 5 7 5 7" xfId="11603" xr:uid="{77BD3319-3B60-4AC3-8BCA-1611BEDDAC6A}"/>
    <cellStyle name="Normal 5 7 6" xfId="2624" xr:uid="{00000000-0005-0000-0000-0000D51B0000}"/>
    <cellStyle name="Normal 5 7 6 2" xfId="6907" xr:uid="{00000000-0005-0000-0000-0000D61B0000}"/>
    <cellStyle name="Normal 5 7 6 2 2" xfId="25533" xr:uid="{67775D9D-A0D3-4E63-8301-0A3EA9D9B5DA}"/>
    <cellStyle name="Normal 5 7 6 2 3" xfId="33980" xr:uid="{B18020D1-F643-4632-BDC9-0DF7E275613F}"/>
    <cellStyle name="Normal 5 7 6 2 4" xfId="42427" xr:uid="{6A6FE5F3-3851-430C-9A8C-5209735C6498}"/>
    <cellStyle name="Normal 5 7 6 2 5" xfId="16233" xr:uid="{4C859837-B3A9-4C61-A69D-99C5336507CC}"/>
    <cellStyle name="Normal 5 7 6 3" xfId="21316" xr:uid="{455676FD-3EB7-4ECF-B1C8-99C82E1511F9}"/>
    <cellStyle name="Normal 5 7 6 4" xfId="29763" xr:uid="{0EA4273E-6079-40C7-820B-3654684C1572}"/>
    <cellStyle name="Normal 5 7 6 5" xfId="38210" xr:uid="{196E6843-D36D-4E63-846F-73BA8DB92EC7}"/>
    <cellStyle name="Normal 5 7 6 6" xfId="12016" xr:uid="{2086E81A-2787-4A45-84F5-937046F53888}"/>
    <cellStyle name="Normal 5 7 7" xfId="4842" xr:uid="{00000000-0005-0000-0000-0000D71B0000}"/>
    <cellStyle name="Normal 5 7 7 2" xfId="23468" xr:uid="{7C5BD936-FEA3-4A1B-9A94-C2586ADD75D0}"/>
    <cellStyle name="Normal 5 7 7 3" xfId="31915" xr:uid="{C76762AA-F19C-4BD3-8B59-DD5CCAF754F1}"/>
    <cellStyle name="Normal 5 7 7 4" xfId="40362" xr:uid="{10C2FF52-4920-4BD7-94D5-4AF74BD4181C}"/>
    <cellStyle name="Normal 5 7 7 5" xfId="14168" xr:uid="{63E199B3-EED2-4A6C-BA5F-F726828D0BA0}"/>
    <cellStyle name="Normal 5 7 8" xfId="8960" xr:uid="{F4BEC964-53C9-4393-B7F1-69B47FC1FF25}"/>
    <cellStyle name="Normal 5 7 8 2" xfId="18284" xr:uid="{9C2F4119-0799-4806-B008-61F038E98458}"/>
    <cellStyle name="Normal 5 7 9" xfId="19251" xr:uid="{161EB80C-004C-4A52-AF02-B9429CA6E056}"/>
    <cellStyle name="Normal 5 8" xfId="880" xr:uid="{00000000-0005-0000-0000-0000D81B0000}"/>
    <cellStyle name="Normal 5 8 2" xfId="3115" xr:uid="{00000000-0005-0000-0000-0000D91B0000}"/>
    <cellStyle name="Normal 5 8 2 2" xfId="7337" xr:uid="{00000000-0005-0000-0000-0000DA1B0000}"/>
    <cellStyle name="Normal 5 8 2 2 2" xfId="25963" xr:uid="{93D00498-63E4-4243-BC9E-5CA2B0EA6044}"/>
    <cellStyle name="Normal 5 8 2 2 3" xfId="34410" xr:uid="{DA9BE2D0-EC59-433F-B09C-EA5C732475AB}"/>
    <cellStyle name="Normal 5 8 2 2 4" xfId="42857" xr:uid="{01E97D0E-FA8B-4485-A0A1-16568A393DA2}"/>
    <cellStyle name="Normal 5 8 2 2 5" xfId="16663" xr:uid="{4DEB75CF-EA46-40CC-B7B2-064BC31F6BFE}"/>
    <cellStyle name="Normal 5 8 2 3" xfId="21746" xr:uid="{655C8DA0-7054-4697-B6D7-9A5709DE6EC3}"/>
    <cellStyle name="Normal 5 8 2 4" xfId="30193" xr:uid="{42D0F58A-8A3A-4DAB-B147-A0B42CCEA961}"/>
    <cellStyle name="Normal 5 8 2 5" xfId="38640" xr:uid="{65394094-E430-4FF6-AE22-3EA7891E4B11}"/>
    <cellStyle name="Normal 5 8 2 6" xfId="12446" xr:uid="{8FDF5B7D-E4BE-4FD6-889D-F74907F0103D}"/>
    <cellStyle name="Normal 5 8 3" xfId="5192" xr:uid="{00000000-0005-0000-0000-0000DB1B0000}"/>
    <cellStyle name="Normal 5 8 3 2" xfId="23818" xr:uid="{6337B759-0EB4-487B-96CB-5850FF1F13BD}"/>
    <cellStyle name="Normal 5 8 3 3" xfId="32265" xr:uid="{D912E673-18D1-4390-B36B-0216ED47B29E}"/>
    <cellStyle name="Normal 5 8 3 4" xfId="40712" xr:uid="{8E3D71AF-FFE5-41A4-8C2A-9950ED65AD80}"/>
    <cellStyle name="Normal 5 8 3 5" xfId="14518" xr:uid="{86F045E9-D060-45F2-BF63-A0097535FD06}"/>
    <cellStyle name="Normal 5 8 4" xfId="9163" xr:uid="{44C7CAD4-DD7C-48E0-9142-8ED22123C662}"/>
    <cellStyle name="Normal 5 8 4 2" xfId="18482" xr:uid="{4ED2EB11-2446-421E-A5BA-80A499C93FF6}"/>
    <cellStyle name="Normal 5 8 5" xfId="19601" xr:uid="{1B1D8562-55B2-42AA-BB20-6151CDFE9AE0}"/>
    <cellStyle name="Normal 5 8 6" xfId="28048" xr:uid="{71656A30-CDEA-4F4D-9280-2B4550D3CBDE}"/>
    <cellStyle name="Normal 5 8 7" xfId="36495" xr:uid="{CCCBCFED-46A7-4C91-A95F-D807BAE52499}"/>
    <cellStyle name="Normal 5 8 8" xfId="10301" xr:uid="{06FCB79E-ECBF-4BF7-B940-2452B4CDC76B}"/>
    <cellStyle name="Normal 5 9" xfId="1298" xr:uid="{00000000-0005-0000-0000-0000DC1B0000}"/>
    <cellStyle name="Normal 5 9 2" xfId="3528" xr:uid="{00000000-0005-0000-0000-0000DD1B0000}"/>
    <cellStyle name="Normal 5 9 2 2" xfId="7750" xr:uid="{00000000-0005-0000-0000-0000DE1B0000}"/>
    <cellStyle name="Normal 5 9 2 2 2" xfId="26376" xr:uid="{D20615C2-C35B-4A6D-BEFF-1943AF125B93}"/>
    <cellStyle name="Normal 5 9 2 2 3" xfId="34823" xr:uid="{DD2B2FE8-C6CD-4D41-92F1-4514C5D30925}"/>
    <cellStyle name="Normal 5 9 2 2 4" xfId="43270" xr:uid="{1CB4A665-4A49-4401-AC2B-924272477333}"/>
    <cellStyle name="Normal 5 9 2 2 5" xfId="17076" xr:uid="{728B49F0-473D-48B7-AEA7-741F80C091E1}"/>
    <cellStyle name="Normal 5 9 2 3" xfId="22159" xr:uid="{08A8D64E-A1B0-43A7-A822-B6D31A3BD4EF}"/>
    <cellStyle name="Normal 5 9 2 4" xfId="30606" xr:uid="{7086379A-9A2D-4BFC-BEE5-EE28A6BB0B81}"/>
    <cellStyle name="Normal 5 9 2 5" xfId="39053" xr:uid="{50EFD65F-F348-4FE3-BBB5-7C3EDA45F9E5}"/>
    <cellStyle name="Normal 5 9 2 6" xfId="12859" xr:uid="{654C99E7-62BC-459C-92C5-FF219A783C16}"/>
    <cellStyle name="Normal 5 9 3" xfId="5605" xr:uid="{00000000-0005-0000-0000-0000DF1B0000}"/>
    <cellStyle name="Normal 5 9 3 2" xfId="24231" xr:uid="{9EFB509B-F593-4D67-8D08-08FB7C011B68}"/>
    <cellStyle name="Normal 5 9 3 3" xfId="32678" xr:uid="{585A470F-4B9D-4A79-9255-78808E933ABF}"/>
    <cellStyle name="Normal 5 9 3 4" xfId="41125" xr:uid="{E5C19CEB-5DC3-45FE-B1C0-11CF15F7DC72}"/>
    <cellStyle name="Normal 5 9 3 5" xfId="14931" xr:uid="{7A17A88A-68C8-4790-866F-F5F41F5D2AF9}"/>
    <cellStyle name="Normal 5 9 4" xfId="20014" xr:uid="{FE5BA799-1558-47F9-BFD6-07AD72568E11}"/>
    <cellStyle name="Normal 5 9 5" xfId="28461" xr:uid="{DE2CFE1F-A04F-45D7-AAAF-AF24571954DC}"/>
    <cellStyle name="Normal 5 9 6" xfId="36908" xr:uid="{FB91139D-4249-422C-ACE9-DCF525837EC0}"/>
    <cellStyle name="Normal 5 9 7" xfId="10714" xr:uid="{246FD87F-39E6-4653-B93B-DA23B7E19A0D}"/>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2 2 2" xfId="27266" xr:uid="{9A23F7F5-3F36-4DD0-82AB-7F7063654840}"/>
    <cellStyle name="Normal 8 10 2 2 3" xfId="35713" xr:uid="{933AE531-7279-4D47-A45E-757711CB7D66}"/>
    <cellStyle name="Normal 8 10 2 2 4" xfId="44160" xr:uid="{C6E7E867-9C4A-4203-BB80-A737FBA8B387}"/>
    <cellStyle name="Normal 8 10 2 2 5" xfId="17966" xr:uid="{E299B011-8235-43E4-8997-4B2DAEA0C5DA}"/>
    <cellStyle name="Normal 8 10 2 3" xfId="23049" xr:uid="{53BBEA9E-B018-40E1-A3CF-0924D026F266}"/>
    <cellStyle name="Normal 8 10 2 4" xfId="31496" xr:uid="{7B4952A8-4BEF-4A41-AC1F-95593F981893}"/>
    <cellStyle name="Normal 8 10 2 5" xfId="39943" xr:uid="{E5968FA6-F9D1-4870-91E7-372F3F5A5D83}"/>
    <cellStyle name="Normal 8 10 2 6" xfId="13749" xr:uid="{4254B0C9-1643-4F6F-960F-8ED4EDF442AA}"/>
    <cellStyle name="Normal 8 10 3" xfId="6495" xr:uid="{00000000-0005-0000-0000-0000EB1B0000}"/>
    <cellStyle name="Normal 8 10 3 2" xfId="25121" xr:uid="{484497CA-9CAD-4682-92D2-17A4C99EF549}"/>
    <cellStyle name="Normal 8 10 3 3" xfId="33568" xr:uid="{36F19020-504C-42D1-8D2F-978F6305A30D}"/>
    <cellStyle name="Normal 8 10 3 4" xfId="42015" xr:uid="{44994190-8067-4317-A7A9-425810B893E6}"/>
    <cellStyle name="Normal 8 10 3 5" xfId="15821" xr:uid="{8B7E694D-5079-4420-8546-79FC64652DA3}"/>
    <cellStyle name="Normal 8 10 4" xfId="20904" xr:uid="{AD483A31-F323-4590-B6BF-D6FA976BC83C}"/>
    <cellStyle name="Normal 8 10 5" xfId="29351" xr:uid="{B1CA0885-AA63-4CC2-89B9-C42B9D8B7D2C}"/>
    <cellStyle name="Normal 8 10 6" xfId="37798" xr:uid="{2B68B252-5B46-44BD-96E4-EF607C7060C6}"/>
    <cellStyle name="Normal 8 10 7" xfId="11604" xr:uid="{E1D43FCB-6F56-4658-8F21-2DBB5B48DFF0}"/>
    <cellStyle name="Normal 8 11" xfId="2625" xr:uid="{00000000-0005-0000-0000-0000EC1B0000}"/>
    <cellStyle name="Normal 8 11 2" xfId="6908" xr:uid="{00000000-0005-0000-0000-0000ED1B0000}"/>
    <cellStyle name="Normal 8 11 2 2" xfId="25534" xr:uid="{4EB1568C-A726-44AA-A5E6-E2F3FA367C5B}"/>
    <cellStyle name="Normal 8 11 2 3" xfId="33981" xr:uid="{F0698E6F-DE07-4B5B-96FF-0840E12C477E}"/>
    <cellStyle name="Normal 8 11 2 4" xfId="42428" xr:uid="{C686AECF-0AF9-4C7C-8F13-B7461F566D71}"/>
    <cellStyle name="Normal 8 11 2 5" xfId="16234" xr:uid="{602B816D-247E-4D6D-B4D6-A966BB3A3258}"/>
    <cellStyle name="Normal 8 11 3" xfId="21317" xr:uid="{D1CF523C-B9BA-4FDA-8140-22B56243684D}"/>
    <cellStyle name="Normal 8 11 4" xfId="29764" xr:uid="{4F623BEA-9D02-4E2B-8E2D-D8828DFF5E59}"/>
    <cellStyle name="Normal 8 11 5" xfId="38211" xr:uid="{7AF02B3A-00F0-4DAA-9A22-EC4487C0BA26}"/>
    <cellStyle name="Normal 8 11 6" xfId="12017" xr:uid="{57841681-F0D4-4308-8150-12FB169F4B62}"/>
    <cellStyle name="Normal 8 12" xfId="4843" xr:uid="{00000000-0005-0000-0000-0000EE1B0000}"/>
    <cellStyle name="Normal 8 12 2" xfId="23469" xr:uid="{45686928-51FE-42B5-9104-FBFE7599AFF4}"/>
    <cellStyle name="Normal 8 12 3" xfId="31916" xr:uid="{36CA656C-4CD0-4AAB-B499-DDC6E1CDEF91}"/>
    <cellStyle name="Normal 8 12 4" xfId="40363" xr:uid="{6BBC69A7-1933-467A-80AC-41653E3BB7FB}"/>
    <cellStyle name="Normal 8 12 5" xfId="14169" xr:uid="{7D16B6D7-FFC7-42F5-9D7B-54B238662A9B}"/>
    <cellStyle name="Normal 8 13" xfId="8742" xr:uid="{AF36CBBC-3EEB-4AC8-923B-65C7C2418AB0}"/>
    <cellStyle name="Normal 8 13 2" xfId="18066" xr:uid="{78FFFF5A-7BFE-4C7A-A599-0D2648255996}"/>
    <cellStyle name="Normal 8 14" xfId="19252" xr:uid="{DE4C94D2-5813-42EF-B95B-16D915B8FC83}"/>
    <cellStyle name="Normal 8 15" xfId="27699" xr:uid="{E3D5EA4F-A4CD-4DCB-BBC2-228CB305ED16}"/>
    <cellStyle name="Normal 8 16" xfId="36146" xr:uid="{7346AFB1-8CBF-443F-B470-A8DA88548A91}"/>
    <cellStyle name="Normal 8 17" xfId="9952" xr:uid="{78637C0D-3547-403D-A5D8-61E3D2FD8B11}"/>
    <cellStyle name="Normal 8 2" xfId="479" xr:uid="{00000000-0005-0000-0000-0000EF1B0000}"/>
    <cellStyle name="Normal 8 2 10" xfId="2626" xr:uid="{00000000-0005-0000-0000-0000F01B0000}"/>
    <cellStyle name="Normal 8 2 10 2" xfId="6909" xr:uid="{00000000-0005-0000-0000-0000F11B0000}"/>
    <cellStyle name="Normal 8 2 10 2 2" xfId="25535" xr:uid="{5E07068C-0AED-4DE5-86A3-34451888802E}"/>
    <cellStyle name="Normal 8 2 10 2 3" xfId="33982" xr:uid="{B2BD1AB8-C273-441F-B3D8-85CFA3F04EED}"/>
    <cellStyle name="Normal 8 2 10 2 4" xfId="42429" xr:uid="{E3693653-72FE-42F9-8949-8C4786DDED59}"/>
    <cellStyle name="Normal 8 2 10 2 5" xfId="16235" xr:uid="{A92C2007-B6B7-4CFD-96C2-479521BFE799}"/>
    <cellStyle name="Normal 8 2 10 3" xfId="21318" xr:uid="{91304139-E0FF-4EAC-9C18-240FFDFA4B6D}"/>
    <cellStyle name="Normal 8 2 10 4" xfId="29765" xr:uid="{3D7347EF-16D2-4A64-8AFF-80EFE94CD70A}"/>
    <cellStyle name="Normal 8 2 10 5" xfId="38212" xr:uid="{61AA6DE0-3918-4849-A370-AD49485CE34A}"/>
    <cellStyle name="Normal 8 2 10 6" xfId="12018" xr:uid="{8E26476C-B75D-4AEA-AC4D-CE7D01AE66DC}"/>
    <cellStyle name="Normal 8 2 11" xfId="4844" xr:uid="{00000000-0005-0000-0000-0000F21B0000}"/>
    <cellStyle name="Normal 8 2 11 2" xfId="23470" xr:uid="{E86B58F8-C72B-4334-B01C-15E8ED10EEED}"/>
    <cellStyle name="Normal 8 2 11 3" xfId="31917" xr:uid="{57AFBD94-F711-41F6-A21C-68CB735BB4CF}"/>
    <cellStyle name="Normal 8 2 11 4" xfId="40364" xr:uid="{0C079DD0-CC9D-499E-AE02-319AF982990C}"/>
    <cellStyle name="Normal 8 2 11 5" xfId="14170" xr:uid="{08065113-8C7A-42B5-B99E-C827C1CA2082}"/>
    <cellStyle name="Normal 8 2 12" xfId="8751" xr:uid="{476D0553-3387-4D9F-B05B-56EC7A36F7A1}"/>
    <cellStyle name="Normal 8 2 12 2" xfId="18075" xr:uid="{36FA92E1-94AA-4D69-8E1A-77D84FB6C6CE}"/>
    <cellStyle name="Normal 8 2 13" xfId="19253" xr:uid="{0C3C252B-0030-4C63-BA9D-9D80C959D8AB}"/>
    <cellStyle name="Normal 8 2 14" xfId="27700" xr:uid="{3FC128DE-A5C3-4088-849F-CE435474A93D}"/>
    <cellStyle name="Normal 8 2 15" xfId="36147" xr:uid="{F301DC63-71DD-4B34-8287-4A35CEF24879}"/>
    <cellStyle name="Normal 8 2 16" xfId="9953" xr:uid="{96B052F5-74F2-4A54-AC32-A9F2751B916D}"/>
    <cellStyle name="Normal 8 2 2" xfId="480" xr:uid="{00000000-0005-0000-0000-0000F31B0000}"/>
    <cellStyle name="Normal 8 2 2 10" xfId="4845" xr:uid="{00000000-0005-0000-0000-0000F41B0000}"/>
    <cellStyle name="Normal 8 2 2 10 2" xfId="23471" xr:uid="{37FC669B-C4B1-4CF2-9B7D-74F6F20AE250}"/>
    <cellStyle name="Normal 8 2 2 10 3" xfId="31918" xr:uid="{F1B1E25B-9729-42C2-9ECD-78EB7F216DEE}"/>
    <cellStyle name="Normal 8 2 2 10 4" xfId="40365" xr:uid="{DDC47E45-62D9-47BF-B39C-B5916806D57A}"/>
    <cellStyle name="Normal 8 2 2 10 5" xfId="14171" xr:uid="{C0F310B8-8BFB-43F2-BEA9-1C63B771C44F}"/>
    <cellStyle name="Normal 8 2 2 11" xfId="8783" xr:uid="{3C426022-C415-47DA-A8EF-1D6CE72527BD}"/>
    <cellStyle name="Normal 8 2 2 11 2" xfId="18107" xr:uid="{A676A604-F563-4715-9128-A5AF26DE7BCD}"/>
    <cellStyle name="Normal 8 2 2 12" xfId="19254" xr:uid="{3536DF52-2750-4B5F-AD23-3CF60408B976}"/>
    <cellStyle name="Normal 8 2 2 13" xfId="27701" xr:uid="{C1529EA5-EE07-417E-9272-BEC795F42E97}"/>
    <cellStyle name="Normal 8 2 2 14" xfId="36148" xr:uid="{E9309C3B-0996-45C9-BC52-8B15BB7071BE}"/>
    <cellStyle name="Normal 8 2 2 15" xfId="9954" xr:uid="{D35DB477-626F-443E-8198-2A35F0D37CE0}"/>
    <cellStyle name="Normal 8 2 2 2" xfId="481" xr:uid="{00000000-0005-0000-0000-0000F51B0000}"/>
    <cellStyle name="Normal 8 2 2 2 10" xfId="8836" xr:uid="{870E50AF-610D-4E0C-BDE0-389D6B32A0FA}"/>
    <cellStyle name="Normal 8 2 2 2 10 2" xfId="18160" xr:uid="{8933036D-9002-445B-B460-0C0349905DD8}"/>
    <cellStyle name="Normal 8 2 2 2 11" xfId="19255" xr:uid="{557F0951-E028-46BD-8DD6-3C4CD8949DD5}"/>
    <cellStyle name="Normal 8 2 2 2 12" xfId="27702" xr:uid="{00A1280E-7BCA-424F-8D54-60459939C9E2}"/>
    <cellStyle name="Normal 8 2 2 2 13" xfId="36149" xr:uid="{736DE64E-F1DB-487F-8781-F66159AC4F12}"/>
    <cellStyle name="Normal 8 2 2 2 14" xfId="9955" xr:uid="{488FF7E6-1E6A-4C76-8027-A28F93BCB31E}"/>
    <cellStyle name="Normal 8 2 2 2 2" xfId="482" xr:uid="{00000000-0005-0000-0000-0000F61B0000}"/>
    <cellStyle name="Normal 8 2 2 2 2 10" xfId="19256" xr:uid="{00F6F64A-B20F-4EC2-8A88-D5DDBD113826}"/>
    <cellStyle name="Normal 8 2 2 2 2 11" xfId="27703" xr:uid="{D06A2208-BD3A-4802-A5C9-545DE22A951C}"/>
    <cellStyle name="Normal 8 2 2 2 2 12" xfId="36150" xr:uid="{49626697-5D27-4CB1-8A41-CE95182A6014}"/>
    <cellStyle name="Normal 8 2 2 2 2 13" xfId="9956" xr:uid="{1B0AB64A-28EE-47D1-B5F2-D89E78437FBB}"/>
    <cellStyle name="Normal 8 2 2 2 2 2" xfId="483" xr:uid="{00000000-0005-0000-0000-0000F71B0000}"/>
    <cellStyle name="Normal 8 2 2 2 2 2 10" xfId="27704" xr:uid="{13B165B9-901A-4626-B24B-1DC768909D0C}"/>
    <cellStyle name="Normal 8 2 2 2 2 2 11" xfId="36151" xr:uid="{76B26C67-FDF4-4052-8E1E-134C2B8E63F8}"/>
    <cellStyle name="Normal 8 2 2 2 2 2 12" xfId="9957" xr:uid="{649FE9AC-9C21-4A73-8681-240AB564DFAD}"/>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2 2 2" xfId="26032" xr:uid="{49C88D24-FEA0-4503-B0D9-C4622BECB1B9}"/>
    <cellStyle name="Normal 8 2 2 2 2 2 2 2 2 3" xfId="34479" xr:uid="{D870367B-E890-4DFF-860E-F3837F8615DA}"/>
    <cellStyle name="Normal 8 2 2 2 2 2 2 2 2 4" xfId="42926" xr:uid="{A01D18E3-9EAF-4D96-8FBB-756CF7711C02}"/>
    <cellStyle name="Normal 8 2 2 2 2 2 2 2 2 5" xfId="16732" xr:uid="{F57D868C-F8DD-4BC4-BF47-656804AE7EAB}"/>
    <cellStyle name="Normal 8 2 2 2 2 2 2 2 3" xfId="21815" xr:uid="{2C615D13-04F2-478A-8258-A4205A1FF4D7}"/>
    <cellStyle name="Normal 8 2 2 2 2 2 2 2 4" xfId="30262" xr:uid="{067783FA-B2B1-46E7-9AA1-A6900C51439E}"/>
    <cellStyle name="Normal 8 2 2 2 2 2 2 2 5" xfId="38709" xr:uid="{2124BDC6-0AD3-447C-903C-68FBD27FBDE9}"/>
    <cellStyle name="Normal 8 2 2 2 2 2 2 2 6" xfId="12515" xr:uid="{8D399036-D794-4EC2-BE56-E80811BCD904}"/>
    <cellStyle name="Normal 8 2 2 2 2 2 2 3" xfId="5261" xr:uid="{00000000-0005-0000-0000-0000FB1B0000}"/>
    <cellStyle name="Normal 8 2 2 2 2 2 2 3 2" xfId="23887" xr:uid="{DE5AE626-01A0-4EB4-8332-B56C3ACD6A44}"/>
    <cellStyle name="Normal 8 2 2 2 2 2 2 3 3" xfId="32334" xr:uid="{4CF872B9-8237-4C99-9E20-F62AD4D2F318}"/>
    <cellStyle name="Normal 8 2 2 2 2 2 2 3 4" xfId="40781" xr:uid="{321B4CCF-37CE-414C-8A21-D31006D9E8DC}"/>
    <cellStyle name="Normal 8 2 2 2 2 2 2 3 5" xfId="14587" xr:uid="{159E5D84-14F5-4638-BED9-A1267DD97F90}"/>
    <cellStyle name="Normal 8 2 2 2 2 2 2 4" xfId="9571" xr:uid="{B467C179-FE08-45F9-B1E6-E66379D80EBC}"/>
    <cellStyle name="Normal 8 2 2 2 2 2 2 4 2" xfId="18887" xr:uid="{D3D350B0-795E-44AA-A926-49697427B6B3}"/>
    <cellStyle name="Normal 8 2 2 2 2 2 2 5" xfId="19670" xr:uid="{398E9171-F99E-4D75-8B31-CCADBA34C81D}"/>
    <cellStyle name="Normal 8 2 2 2 2 2 2 6" xfId="28117" xr:uid="{8651535B-7457-441C-8E39-BF38FFA901FD}"/>
    <cellStyle name="Normal 8 2 2 2 2 2 2 7" xfId="36564" xr:uid="{B43FA74F-58F8-46C1-B8BD-9E9CBAE30373}"/>
    <cellStyle name="Normal 8 2 2 2 2 2 2 8" xfId="10370" xr:uid="{3CF50496-E767-4DA1-8891-32B77DF57D55}"/>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2 2 2" xfId="26445" xr:uid="{EEB2C9ED-A4C3-4498-9615-5208CC97699F}"/>
    <cellStyle name="Normal 8 2 2 2 2 2 3 2 2 3" xfId="34892" xr:uid="{E2898532-99A7-42FE-A4AB-2B6F71F4E151}"/>
    <cellStyle name="Normal 8 2 2 2 2 2 3 2 2 4" xfId="43339" xr:uid="{0DC94336-3C6B-452B-B671-FCFC7D22E2B3}"/>
    <cellStyle name="Normal 8 2 2 2 2 2 3 2 2 5" xfId="17145" xr:uid="{9F1B2555-A58C-482E-9EB9-FED7966A3A05}"/>
    <cellStyle name="Normal 8 2 2 2 2 2 3 2 3" xfId="22228" xr:uid="{54A82895-2006-440C-8CCE-797C57C14937}"/>
    <cellStyle name="Normal 8 2 2 2 2 2 3 2 4" xfId="30675" xr:uid="{E600853A-388B-4CC7-AB32-3BDD16272336}"/>
    <cellStyle name="Normal 8 2 2 2 2 2 3 2 5" xfId="39122" xr:uid="{5E9E92AD-7AC0-462E-8A18-6848FBAC946C}"/>
    <cellStyle name="Normal 8 2 2 2 2 2 3 2 6" xfId="12928" xr:uid="{B65A9E71-E838-46B0-9144-CDFC4411C05D}"/>
    <cellStyle name="Normal 8 2 2 2 2 2 3 3" xfId="5674" xr:uid="{00000000-0005-0000-0000-0000FF1B0000}"/>
    <cellStyle name="Normal 8 2 2 2 2 2 3 3 2" xfId="24300" xr:uid="{A91B91FA-E017-4333-83F5-8A6F0BB6379B}"/>
    <cellStyle name="Normal 8 2 2 2 2 2 3 3 3" xfId="32747" xr:uid="{0B863D3D-EE89-465C-8505-FBCB046B1586}"/>
    <cellStyle name="Normal 8 2 2 2 2 2 3 3 4" xfId="41194" xr:uid="{ECAD36C2-76EB-492F-A5C4-E21CB3D04C7B}"/>
    <cellStyle name="Normal 8 2 2 2 2 2 3 3 5" xfId="15000" xr:uid="{A7D8726D-8463-4831-99AB-07929CB27DCE}"/>
    <cellStyle name="Normal 8 2 2 2 2 2 3 4" xfId="20083" xr:uid="{9A37C3B0-294D-4AD5-8D32-81BDD04B9FFB}"/>
    <cellStyle name="Normal 8 2 2 2 2 2 3 5" xfId="28530" xr:uid="{05945DE1-0134-4669-9646-1357D110CEAF}"/>
    <cellStyle name="Normal 8 2 2 2 2 2 3 6" xfId="36977" xr:uid="{B61AAEAB-3DA8-4073-A73C-2917FF66F214}"/>
    <cellStyle name="Normal 8 2 2 2 2 2 3 7" xfId="10783" xr:uid="{083096F4-DC18-4405-9FFD-018B0CE1509C}"/>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2 2 2" xfId="26858" xr:uid="{4E957896-F4F7-486A-99F4-D10C948BDE12}"/>
    <cellStyle name="Normal 8 2 2 2 2 2 4 2 2 3" xfId="35305" xr:uid="{2C1D6C6B-519E-49F5-9B1A-3A8B3C06423D}"/>
    <cellStyle name="Normal 8 2 2 2 2 2 4 2 2 4" xfId="43752" xr:uid="{4A7E5BAE-4A67-4955-9D9C-34D9BBA1E419}"/>
    <cellStyle name="Normal 8 2 2 2 2 2 4 2 2 5" xfId="17558" xr:uid="{40B15054-7252-4862-AA93-7F42DD5216D2}"/>
    <cellStyle name="Normal 8 2 2 2 2 2 4 2 3" xfId="22641" xr:uid="{FC59CB80-3B82-41FE-956C-CC325A3085CE}"/>
    <cellStyle name="Normal 8 2 2 2 2 2 4 2 4" xfId="31088" xr:uid="{96A1F342-6E90-4D1D-9E42-DD850657E7BA}"/>
    <cellStyle name="Normal 8 2 2 2 2 2 4 2 5" xfId="39535" xr:uid="{5A8FFBA8-F262-40AD-82AE-C4B40FB387F8}"/>
    <cellStyle name="Normal 8 2 2 2 2 2 4 2 6" xfId="13341" xr:uid="{05FDCF0D-AE53-4451-9613-D5F6D2C6CF99}"/>
    <cellStyle name="Normal 8 2 2 2 2 2 4 3" xfId="6087" xr:uid="{00000000-0005-0000-0000-0000031C0000}"/>
    <cellStyle name="Normal 8 2 2 2 2 2 4 3 2" xfId="24713" xr:uid="{BAA37F83-3247-42BA-8D72-7AE959F819D6}"/>
    <cellStyle name="Normal 8 2 2 2 2 2 4 3 3" xfId="33160" xr:uid="{ABF381A0-0875-49E2-940A-16E647997CF4}"/>
    <cellStyle name="Normal 8 2 2 2 2 2 4 3 4" xfId="41607" xr:uid="{98AD2FC5-56E7-4D99-A564-BE9D7223CD77}"/>
    <cellStyle name="Normal 8 2 2 2 2 2 4 3 5" xfId="15413" xr:uid="{4CE8EA43-F3E2-4D16-9ED2-5960ED410AE6}"/>
    <cellStyle name="Normal 8 2 2 2 2 2 4 4" xfId="20496" xr:uid="{9601CA3B-6331-4D81-A758-55AE838F7A53}"/>
    <cellStyle name="Normal 8 2 2 2 2 2 4 5" xfId="28943" xr:uid="{B5C1C6D8-A941-4DD3-BEDE-6FC69A52DAE2}"/>
    <cellStyle name="Normal 8 2 2 2 2 2 4 6" xfId="37390" xr:uid="{54EC4EE2-D3BE-47E8-8E5C-27550E2E3359}"/>
    <cellStyle name="Normal 8 2 2 2 2 2 4 7" xfId="11196" xr:uid="{48855C9D-A271-432F-A599-87293D9F96AF}"/>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2 2 2" xfId="27271" xr:uid="{7CC4C6A4-3E3D-4821-B919-EE22F66A7C5D}"/>
    <cellStyle name="Normal 8 2 2 2 2 2 5 2 2 3" xfId="35718" xr:uid="{1F519E09-F951-40DA-906A-54FE0CEAF5E9}"/>
    <cellStyle name="Normal 8 2 2 2 2 2 5 2 2 4" xfId="44165" xr:uid="{DA6648FA-7CDE-4801-8FB8-88AF620E6162}"/>
    <cellStyle name="Normal 8 2 2 2 2 2 5 2 2 5" xfId="17971" xr:uid="{65FD44FA-AB9D-404B-986B-DB5875E922A1}"/>
    <cellStyle name="Normal 8 2 2 2 2 2 5 2 3" xfId="23054" xr:uid="{46374BFC-F0C7-45D7-95E3-8ABF3EA7A0F8}"/>
    <cellStyle name="Normal 8 2 2 2 2 2 5 2 4" xfId="31501" xr:uid="{3A2929A5-BE0C-4629-8BDA-605D3CEB826E}"/>
    <cellStyle name="Normal 8 2 2 2 2 2 5 2 5" xfId="39948" xr:uid="{8FEA0EA7-1C44-4ADE-A782-235500E1903E}"/>
    <cellStyle name="Normal 8 2 2 2 2 2 5 2 6" xfId="13754" xr:uid="{22389E1A-243B-4FCD-89BC-E74ADA6A5AD1}"/>
    <cellStyle name="Normal 8 2 2 2 2 2 5 3" xfId="6500" xr:uid="{00000000-0005-0000-0000-0000071C0000}"/>
    <cellStyle name="Normal 8 2 2 2 2 2 5 3 2" xfId="25126" xr:uid="{22B3E378-668D-4E3E-9B19-385574E730EA}"/>
    <cellStyle name="Normal 8 2 2 2 2 2 5 3 3" xfId="33573" xr:uid="{5D6A37E3-9FEC-4A2D-993E-C2AE033B0AFF}"/>
    <cellStyle name="Normal 8 2 2 2 2 2 5 3 4" xfId="42020" xr:uid="{E76A9CEC-E2C0-4BAC-BB88-D31D2363BA10}"/>
    <cellStyle name="Normal 8 2 2 2 2 2 5 3 5" xfId="15826" xr:uid="{34788236-771E-4C35-BEF7-6E1BB5287760}"/>
    <cellStyle name="Normal 8 2 2 2 2 2 5 4" xfId="20909" xr:uid="{B2731812-F05F-4F38-B141-1A3150E474F9}"/>
    <cellStyle name="Normal 8 2 2 2 2 2 5 5" xfId="29356" xr:uid="{B5C7630D-046D-499C-8EA9-494ACFDA9AE7}"/>
    <cellStyle name="Normal 8 2 2 2 2 2 5 6" xfId="37803" xr:uid="{49615CEA-B97B-49DD-99AD-5B24278A3842}"/>
    <cellStyle name="Normal 8 2 2 2 2 2 5 7" xfId="11609" xr:uid="{C82705BF-4F05-4867-A231-F5130E957B4A}"/>
    <cellStyle name="Normal 8 2 2 2 2 2 6" xfId="2630" xr:uid="{00000000-0005-0000-0000-0000081C0000}"/>
    <cellStyle name="Normal 8 2 2 2 2 2 6 2" xfId="6913" xr:uid="{00000000-0005-0000-0000-0000091C0000}"/>
    <cellStyle name="Normal 8 2 2 2 2 2 6 2 2" xfId="25539" xr:uid="{E8CC1FC1-BE28-4E8C-85D8-0BD877C2DFFD}"/>
    <cellStyle name="Normal 8 2 2 2 2 2 6 2 3" xfId="33986" xr:uid="{FAC73C07-5480-4D22-ACF3-36AB21A36240}"/>
    <cellStyle name="Normal 8 2 2 2 2 2 6 2 4" xfId="42433" xr:uid="{983FA11E-E7A2-4143-A6A7-ED6E07CCA78F}"/>
    <cellStyle name="Normal 8 2 2 2 2 2 6 2 5" xfId="16239" xr:uid="{F541C735-C09D-4976-8337-A73E229EAAAB}"/>
    <cellStyle name="Normal 8 2 2 2 2 2 6 3" xfId="21322" xr:uid="{F1FFF205-02B8-4977-89A3-B6BA9602B146}"/>
    <cellStyle name="Normal 8 2 2 2 2 2 6 4" xfId="29769" xr:uid="{61C10C4C-8C77-43BD-A18C-3F0EE8AAB6A2}"/>
    <cellStyle name="Normal 8 2 2 2 2 2 6 5" xfId="38216" xr:uid="{531A897A-C01C-4373-8A21-5C06894D1D5D}"/>
    <cellStyle name="Normal 8 2 2 2 2 2 6 6" xfId="12022" xr:uid="{B716A5E5-ED0C-4F1F-858C-FA66D8475483}"/>
    <cellStyle name="Normal 8 2 2 2 2 2 7" xfId="4848" xr:uid="{00000000-0005-0000-0000-00000A1C0000}"/>
    <cellStyle name="Normal 8 2 2 2 2 2 7 2" xfId="23474" xr:uid="{202FEF89-2666-4737-80A9-87FD48CF1C41}"/>
    <cellStyle name="Normal 8 2 2 2 2 2 7 3" xfId="31921" xr:uid="{F9E67AA3-A8B7-42B5-B929-4C6631A1743F}"/>
    <cellStyle name="Normal 8 2 2 2 2 2 7 4" xfId="40368" xr:uid="{13E58172-18AF-4C7D-8778-01A137A3C36B}"/>
    <cellStyle name="Normal 8 2 2 2 2 2 7 5" xfId="14174" xr:uid="{9CB31B1A-5FA7-4C98-B47F-558FC4FC5AD1}"/>
    <cellStyle name="Normal 8 2 2 2 2 2 8" xfId="9146" xr:uid="{0E570703-055D-406D-8BD9-575AF6037A75}"/>
    <cellStyle name="Normal 8 2 2 2 2 2 8 2" xfId="18470" xr:uid="{FE3CFC9F-8EF8-4353-AA18-2813D9A00237}"/>
    <cellStyle name="Normal 8 2 2 2 2 2 9" xfId="19257" xr:uid="{224DEEC5-8637-4E63-8EB4-0FEA607274B2}"/>
    <cellStyle name="Normal 8 2 2 2 2 3" xfId="949" xr:uid="{00000000-0005-0000-0000-00000B1C0000}"/>
    <cellStyle name="Normal 8 2 2 2 2 3 2" xfId="3183" xr:uid="{00000000-0005-0000-0000-00000C1C0000}"/>
    <cellStyle name="Normal 8 2 2 2 2 3 2 2" xfId="7405" xr:uid="{00000000-0005-0000-0000-00000D1C0000}"/>
    <cellStyle name="Normal 8 2 2 2 2 3 2 2 2" xfId="26031" xr:uid="{5A0FA1A0-3663-421D-9D80-98076B4EECA0}"/>
    <cellStyle name="Normal 8 2 2 2 2 3 2 2 3" xfId="34478" xr:uid="{C1F13B82-650D-4A58-BB55-6A1FD661E658}"/>
    <cellStyle name="Normal 8 2 2 2 2 3 2 2 4" xfId="42925" xr:uid="{018EFA3F-D5DC-4F9C-BE50-C92287B0735D}"/>
    <cellStyle name="Normal 8 2 2 2 2 3 2 2 5" xfId="16731" xr:uid="{F2F5D917-4A9D-4046-871D-1C8C21F6B85D}"/>
    <cellStyle name="Normal 8 2 2 2 2 3 2 3" xfId="21814" xr:uid="{B27CD5C8-84ED-4F68-BFF9-AADC81D08B2F}"/>
    <cellStyle name="Normal 8 2 2 2 2 3 2 4" xfId="30261" xr:uid="{CC28F2D3-BAA7-4A13-9CA2-608B0E562F88}"/>
    <cellStyle name="Normal 8 2 2 2 2 3 2 5" xfId="38708" xr:uid="{83BC6C5D-38F7-46CD-96FF-9B3048ED9CBA}"/>
    <cellStyle name="Normal 8 2 2 2 2 3 2 6" xfId="12514" xr:uid="{C47D3744-D3FE-4D14-A505-6D446CB27271}"/>
    <cellStyle name="Normal 8 2 2 2 2 3 3" xfId="5260" xr:uid="{00000000-0005-0000-0000-00000E1C0000}"/>
    <cellStyle name="Normal 8 2 2 2 2 3 3 2" xfId="23886" xr:uid="{9FE64FC2-D749-4537-9F40-9233483101EF}"/>
    <cellStyle name="Normal 8 2 2 2 2 3 3 3" xfId="32333" xr:uid="{38EB606A-3553-443C-B6AD-3805AA7D6BE6}"/>
    <cellStyle name="Normal 8 2 2 2 2 3 3 4" xfId="40780" xr:uid="{07B056B1-29CA-4ED7-A0B2-C83EA25E4838}"/>
    <cellStyle name="Normal 8 2 2 2 2 3 3 5" xfId="14586" xr:uid="{853AEDFB-0402-4304-B44B-AECFA221F815}"/>
    <cellStyle name="Normal 8 2 2 2 2 3 4" xfId="9364" xr:uid="{21426B7C-FC96-483C-B560-AC4767107497}"/>
    <cellStyle name="Normal 8 2 2 2 2 3 4 2" xfId="18680" xr:uid="{9A141BF1-EAA3-4F0B-9327-90880D69DA6C}"/>
    <cellStyle name="Normal 8 2 2 2 2 3 5" xfId="19669" xr:uid="{A1BC3B82-9B6F-42CA-A2B5-542FB325ADB1}"/>
    <cellStyle name="Normal 8 2 2 2 2 3 6" xfId="28116" xr:uid="{F157FBCC-A5E2-4B75-AB2D-23C98186DFE8}"/>
    <cellStyle name="Normal 8 2 2 2 2 3 7" xfId="36563" xr:uid="{A865D2C1-30FC-4FF0-A37C-482DAFAF161E}"/>
    <cellStyle name="Normal 8 2 2 2 2 3 8" xfId="10369" xr:uid="{BD84E8B1-7600-42E1-AA0D-A6D4FB87C59F}"/>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2 2 2" xfId="26444" xr:uid="{1091384B-6DC9-4ADC-BCB0-63D3CE344257}"/>
    <cellStyle name="Normal 8 2 2 2 2 4 2 2 3" xfId="34891" xr:uid="{69AF967D-182D-496F-B830-EEAA36879F77}"/>
    <cellStyle name="Normal 8 2 2 2 2 4 2 2 4" xfId="43338" xr:uid="{17592FFA-99DB-4014-A05E-9ECA553A796B}"/>
    <cellStyle name="Normal 8 2 2 2 2 4 2 2 5" xfId="17144" xr:uid="{55B2D49A-677C-456F-8DC9-E4B03D5AEBC5}"/>
    <cellStyle name="Normal 8 2 2 2 2 4 2 3" xfId="22227" xr:uid="{F96C1C89-0F1C-49CA-A4C5-FD89A9BED71F}"/>
    <cellStyle name="Normal 8 2 2 2 2 4 2 4" xfId="30674" xr:uid="{2537A65E-11B1-4162-A402-687BBB62E8FB}"/>
    <cellStyle name="Normal 8 2 2 2 2 4 2 5" xfId="39121" xr:uid="{9EB6DF7D-594A-4B14-A78E-A5E3931B5E25}"/>
    <cellStyle name="Normal 8 2 2 2 2 4 2 6" xfId="12927" xr:uid="{0A16FCB4-7BD5-46CA-8C83-A6E3473681AC}"/>
    <cellStyle name="Normal 8 2 2 2 2 4 3" xfId="5673" xr:uid="{00000000-0005-0000-0000-0000121C0000}"/>
    <cellStyle name="Normal 8 2 2 2 2 4 3 2" xfId="24299" xr:uid="{34AC6BDA-07C3-4573-B22E-CD0AFCCF86F6}"/>
    <cellStyle name="Normal 8 2 2 2 2 4 3 3" xfId="32746" xr:uid="{5CCB66B9-A4A8-44CE-9D4B-EE258B5299C4}"/>
    <cellStyle name="Normal 8 2 2 2 2 4 3 4" xfId="41193" xr:uid="{04ED67C1-9A4E-43F8-A41E-1BDF0A56BC4D}"/>
    <cellStyle name="Normal 8 2 2 2 2 4 3 5" xfId="14999" xr:uid="{B8314575-4C2D-424A-9610-9D38C045B094}"/>
    <cellStyle name="Normal 8 2 2 2 2 4 4" xfId="20082" xr:uid="{FD20F0F6-83BA-40EC-B466-BA738F0DB610}"/>
    <cellStyle name="Normal 8 2 2 2 2 4 5" xfId="28529" xr:uid="{0C02B8BE-7620-4ABD-ACC1-360A6BFD2E0A}"/>
    <cellStyle name="Normal 8 2 2 2 2 4 6" xfId="36976" xr:uid="{AF84A91F-DFEE-4214-BE3E-D306D5C2C1BD}"/>
    <cellStyle name="Normal 8 2 2 2 2 4 7" xfId="10782" xr:uid="{D350D7E6-249F-4763-B1AD-E08ED1E80EFC}"/>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2 2 2" xfId="26857" xr:uid="{C32E8E45-DBF1-49F1-AB64-E91FB35A1F72}"/>
    <cellStyle name="Normal 8 2 2 2 2 5 2 2 3" xfId="35304" xr:uid="{C478677F-1B38-49A9-8003-A056ACB6A44B}"/>
    <cellStyle name="Normal 8 2 2 2 2 5 2 2 4" xfId="43751" xr:uid="{07EB870C-EF20-4BBD-9FFA-7AB5FE3FF591}"/>
    <cellStyle name="Normal 8 2 2 2 2 5 2 2 5" xfId="17557" xr:uid="{4FFD746F-3E1E-4570-9B25-49CE699EA1A7}"/>
    <cellStyle name="Normal 8 2 2 2 2 5 2 3" xfId="22640" xr:uid="{EC948AE3-395A-4931-8998-D67511EC17BC}"/>
    <cellStyle name="Normal 8 2 2 2 2 5 2 4" xfId="31087" xr:uid="{247A8429-9AB6-422C-87CB-D1E9B50E6BEE}"/>
    <cellStyle name="Normal 8 2 2 2 2 5 2 5" xfId="39534" xr:uid="{AF353FAB-9469-4CFD-938C-1FA8F22FBA0E}"/>
    <cellStyle name="Normal 8 2 2 2 2 5 2 6" xfId="13340" xr:uid="{E24FA918-1128-484D-9B70-7A882B2A89F7}"/>
    <cellStyle name="Normal 8 2 2 2 2 5 3" xfId="6086" xr:uid="{00000000-0005-0000-0000-0000161C0000}"/>
    <cellStyle name="Normal 8 2 2 2 2 5 3 2" xfId="24712" xr:uid="{9E7546A7-3051-401E-A7DD-69FA6DBE01A4}"/>
    <cellStyle name="Normal 8 2 2 2 2 5 3 3" xfId="33159" xr:uid="{90ACDB21-AC97-403E-97D1-CE46D6800EFE}"/>
    <cellStyle name="Normal 8 2 2 2 2 5 3 4" xfId="41606" xr:uid="{07B113C3-1FB7-4BD8-A0E6-5ECDEBB9AF7A}"/>
    <cellStyle name="Normal 8 2 2 2 2 5 3 5" xfId="15412" xr:uid="{2EBE7E0B-B2E1-4A5E-952F-A361095C853E}"/>
    <cellStyle name="Normal 8 2 2 2 2 5 4" xfId="20495" xr:uid="{61DF4097-3887-426A-990F-4B32034F8765}"/>
    <cellStyle name="Normal 8 2 2 2 2 5 5" xfId="28942" xr:uid="{6083FBCA-D1BC-419C-BB6F-AF8CDC2182A1}"/>
    <cellStyle name="Normal 8 2 2 2 2 5 6" xfId="37389" xr:uid="{9933EE0D-810C-4948-A69D-AB2BBBC59968}"/>
    <cellStyle name="Normal 8 2 2 2 2 5 7" xfId="11195" xr:uid="{D6817158-83DD-476C-BEF6-1CC4132EE1D2}"/>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2 2 2" xfId="27270" xr:uid="{2A06D39F-0C9D-467A-8279-657E57E320E2}"/>
    <cellStyle name="Normal 8 2 2 2 2 6 2 2 3" xfId="35717" xr:uid="{4B99F6AA-04A1-42EC-882A-952A2AD8085B}"/>
    <cellStyle name="Normal 8 2 2 2 2 6 2 2 4" xfId="44164" xr:uid="{EE762E57-174F-4C38-AAF8-EADEA4C602B5}"/>
    <cellStyle name="Normal 8 2 2 2 2 6 2 2 5" xfId="17970" xr:uid="{25B523B9-FE99-4E4B-9306-4EEBE39548E9}"/>
    <cellStyle name="Normal 8 2 2 2 2 6 2 3" xfId="23053" xr:uid="{54F7BF87-CED0-4EBB-BD54-A0857799448A}"/>
    <cellStyle name="Normal 8 2 2 2 2 6 2 4" xfId="31500" xr:uid="{9EBD4D3D-855D-4C73-ABA3-4232B96F9C44}"/>
    <cellStyle name="Normal 8 2 2 2 2 6 2 5" xfId="39947" xr:uid="{1356B13A-07F1-4D19-B4CF-26F398774F69}"/>
    <cellStyle name="Normal 8 2 2 2 2 6 2 6" xfId="13753" xr:uid="{3E65FB7A-6220-4103-AD53-7A221FA721C2}"/>
    <cellStyle name="Normal 8 2 2 2 2 6 3" xfId="6499" xr:uid="{00000000-0005-0000-0000-00001A1C0000}"/>
    <cellStyle name="Normal 8 2 2 2 2 6 3 2" xfId="25125" xr:uid="{AB8F0374-1092-421E-BC00-02965D729195}"/>
    <cellStyle name="Normal 8 2 2 2 2 6 3 3" xfId="33572" xr:uid="{62C81B10-8F2A-4B3A-B468-8C89B44BC312}"/>
    <cellStyle name="Normal 8 2 2 2 2 6 3 4" xfId="42019" xr:uid="{7E394C97-04CE-4A61-905C-AEA0C96026E0}"/>
    <cellStyle name="Normal 8 2 2 2 2 6 3 5" xfId="15825" xr:uid="{70282953-6C60-48A3-B96C-3A16E0BD6B35}"/>
    <cellStyle name="Normal 8 2 2 2 2 6 4" xfId="20908" xr:uid="{443C73E2-75AC-4A4C-AE50-85D9AE73416C}"/>
    <cellStyle name="Normal 8 2 2 2 2 6 5" xfId="29355" xr:uid="{34C4FC91-6192-4BD8-ABE1-A25DBD3815E9}"/>
    <cellStyle name="Normal 8 2 2 2 2 6 6" xfId="37802" xr:uid="{6A0CD03B-D9FA-4198-9C10-6513BAEE3AB3}"/>
    <cellStyle name="Normal 8 2 2 2 2 6 7" xfId="11608" xr:uid="{FA533439-5FEE-4826-939A-14C5504E0333}"/>
    <cellStyle name="Normal 8 2 2 2 2 7" xfId="2629" xr:uid="{00000000-0005-0000-0000-00001B1C0000}"/>
    <cellStyle name="Normal 8 2 2 2 2 7 2" xfId="6912" xr:uid="{00000000-0005-0000-0000-00001C1C0000}"/>
    <cellStyle name="Normal 8 2 2 2 2 7 2 2" xfId="25538" xr:uid="{B6D8BEAF-7707-41A9-A5AD-0DB50C2D6754}"/>
    <cellStyle name="Normal 8 2 2 2 2 7 2 3" xfId="33985" xr:uid="{97D81799-1606-45E8-B9F6-8582FAF4C757}"/>
    <cellStyle name="Normal 8 2 2 2 2 7 2 4" xfId="42432" xr:uid="{00AD87B5-F845-4196-B230-C50CF4CAB8E3}"/>
    <cellStyle name="Normal 8 2 2 2 2 7 2 5" xfId="16238" xr:uid="{0BE4294B-A68C-4C35-A9C6-8ECE1164989D}"/>
    <cellStyle name="Normal 8 2 2 2 2 7 3" xfId="21321" xr:uid="{AC112D5C-EACA-4FE0-B705-927E6400B754}"/>
    <cellStyle name="Normal 8 2 2 2 2 7 4" xfId="29768" xr:uid="{A7626A10-A140-4AA9-91C0-B2E44B1CD34E}"/>
    <cellStyle name="Normal 8 2 2 2 2 7 5" xfId="38215" xr:uid="{C661DA99-ABDB-43C8-888A-17BAD3C7F378}"/>
    <cellStyle name="Normal 8 2 2 2 2 7 6" xfId="12021" xr:uid="{69FB2A37-E493-461F-9664-E8B7479E256E}"/>
    <cellStyle name="Normal 8 2 2 2 2 8" xfId="4847" xr:uid="{00000000-0005-0000-0000-00001D1C0000}"/>
    <cellStyle name="Normal 8 2 2 2 2 8 2" xfId="23473" xr:uid="{4ED0581A-11AF-4C19-845E-ADBCBEC4C0E2}"/>
    <cellStyle name="Normal 8 2 2 2 2 8 3" xfId="31920" xr:uid="{70A70478-2859-4C41-8BCE-3815C1553BD6}"/>
    <cellStyle name="Normal 8 2 2 2 2 8 4" xfId="40367" xr:uid="{263C1FF1-8EDD-4704-9631-1D9A284A7849}"/>
    <cellStyle name="Normal 8 2 2 2 2 8 5" xfId="14173" xr:uid="{D7499C79-485C-48CA-83EB-24D718199FF0}"/>
    <cellStyle name="Normal 8 2 2 2 2 9" xfId="8939" xr:uid="{385BAC75-25D1-414A-8E33-9B6DCCA130DE}"/>
    <cellStyle name="Normal 8 2 2 2 2 9 2" xfId="18263" xr:uid="{B7F79673-DC33-43AE-8E71-05084CA57494}"/>
    <cellStyle name="Normal 8 2 2 2 3" xfId="484" xr:uid="{00000000-0005-0000-0000-00001E1C0000}"/>
    <cellStyle name="Normal 8 2 2 2 3 10" xfId="27705" xr:uid="{3FA687BE-4A24-41B9-A267-30240CA41E95}"/>
    <cellStyle name="Normal 8 2 2 2 3 11" xfId="36152" xr:uid="{29B98AB2-F00E-4609-8820-4E36853F0897}"/>
    <cellStyle name="Normal 8 2 2 2 3 12" xfId="9958" xr:uid="{B63F3C69-013A-43FB-B956-38BB1446DDD2}"/>
    <cellStyle name="Normal 8 2 2 2 3 2" xfId="951" xr:uid="{00000000-0005-0000-0000-00001F1C0000}"/>
    <cellStyle name="Normal 8 2 2 2 3 2 2" xfId="3185" xr:uid="{00000000-0005-0000-0000-0000201C0000}"/>
    <cellStyle name="Normal 8 2 2 2 3 2 2 2" xfId="7407" xr:uid="{00000000-0005-0000-0000-0000211C0000}"/>
    <cellStyle name="Normal 8 2 2 2 3 2 2 2 2" xfId="26033" xr:uid="{264CCCAF-ADB1-4779-ADA2-17DE9A6B89E9}"/>
    <cellStyle name="Normal 8 2 2 2 3 2 2 2 3" xfId="34480" xr:uid="{A6D7F71A-50AF-46EC-A794-4CD9305EA1B2}"/>
    <cellStyle name="Normal 8 2 2 2 3 2 2 2 4" xfId="42927" xr:uid="{65913D2A-4A70-4341-99F6-5A028E8B93F9}"/>
    <cellStyle name="Normal 8 2 2 2 3 2 2 2 5" xfId="16733" xr:uid="{32FFB832-3EF6-44F5-BB3D-540B4168FA07}"/>
    <cellStyle name="Normal 8 2 2 2 3 2 2 3" xfId="21816" xr:uid="{D9D4E815-BFE2-4548-AFCA-8C2E9E5A89AE}"/>
    <cellStyle name="Normal 8 2 2 2 3 2 2 4" xfId="30263" xr:uid="{3A39B26B-D46F-4288-98DF-9009AE0CA603}"/>
    <cellStyle name="Normal 8 2 2 2 3 2 2 5" xfId="38710" xr:uid="{BB1BC726-CB34-4112-AD82-711AF61DB12B}"/>
    <cellStyle name="Normal 8 2 2 2 3 2 2 6" xfId="12516" xr:uid="{593A6DC2-9BD3-47C1-BB25-49C5659C79C0}"/>
    <cellStyle name="Normal 8 2 2 2 3 2 3" xfId="5262" xr:uid="{00000000-0005-0000-0000-0000221C0000}"/>
    <cellStyle name="Normal 8 2 2 2 3 2 3 2" xfId="23888" xr:uid="{46F6D5C1-D679-422F-872C-A41A6A575C69}"/>
    <cellStyle name="Normal 8 2 2 2 3 2 3 3" xfId="32335" xr:uid="{D77BD94B-B65F-4E4F-A1D4-47FF2B17965C}"/>
    <cellStyle name="Normal 8 2 2 2 3 2 3 4" xfId="40782" xr:uid="{72288C60-CD1F-4800-9F05-800CC039F77E}"/>
    <cellStyle name="Normal 8 2 2 2 3 2 3 5" xfId="14588" xr:uid="{869D31CE-0FA1-4992-9157-C842A22019AD}"/>
    <cellStyle name="Normal 8 2 2 2 3 2 4" xfId="9468" xr:uid="{8CC4AD0E-72B4-4935-8967-B171D7B5EF8D}"/>
    <cellStyle name="Normal 8 2 2 2 3 2 4 2" xfId="18784" xr:uid="{A6AB0286-F3F1-495A-AF83-9A69B467B368}"/>
    <cellStyle name="Normal 8 2 2 2 3 2 5" xfId="19671" xr:uid="{4EF1536F-D345-4D9E-B66D-D868EB46E99A}"/>
    <cellStyle name="Normal 8 2 2 2 3 2 6" xfId="28118" xr:uid="{713AE891-C5CD-4F75-A99C-CC371B464AA7}"/>
    <cellStyle name="Normal 8 2 2 2 3 2 7" xfId="36565" xr:uid="{2E23B398-9EFB-498F-BA2B-037AE0458F7C}"/>
    <cellStyle name="Normal 8 2 2 2 3 2 8" xfId="10371" xr:uid="{5FEB777A-38FC-4565-B25D-E3ACC702492A}"/>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2 2 2" xfId="26446" xr:uid="{3E197CF3-788E-468C-8E02-DBC0383A8AC5}"/>
    <cellStyle name="Normal 8 2 2 2 3 3 2 2 3" xfId="34893" xr:uid="{71B86006-C61B-4F30-BA21-84C6AAD1F9ED}"/>
    <cellStyle name="Normal 8 2 2 2 3 3 2 2 4" xfId="43340" xr:uid="{635A4AD4-1FBC-4996-BDC1-6D9896ACF4E0}"/>
    <cellStyle name="Normal 8 2 2 2 3 3 2 2 5" xfId="17146" xr:uid="{100663E3-F962-4973-8EDC-5EB49447E3B9}"/>
    <cellStyle name="Normal 8 2 2 2 3 3 2 3" xfId="22229" xr:uid="{4F003D1F-25A6-44F9-A940-72F93F522ED1}"/>
    <cellStyle name="Normal 8 2 2 2 3 3 2 4" xfId="30676" xr:uid="{536E6D04-0809-462C-A771-58BBC10E20F4}"/>
    <cellStyle name="Normal 8 2 2 2 3 3 2 5" xfId="39123" xr:uid="{A38A6B0F-820F-44C7-9D14-E884F0EFDB60}"/>
    <cellStyle name="Normal 8 2 2 2 3 3 2 6" xfId="12929" xr:uid="{5A92D095-39F5-4B1D-882B-3CEE774D7B7F}"/>
    <cellStyle name="Normal 8 2 2 2 3 3 3" xfId="5675" xr:uid="{00000000-0005-0000-0000-0000261C0000}"/>
    <cellStyle name="Normal 8 2 2 2 3 3 3 2" xfId="24301" xr:uid="{9BD4858D-8891-4AED-B8B3-5384DF291B25}"/>
    <cellStyle name="Normal 8 2 2 2 3 3 3 3" xfId="32748" xr:uid="{44A14404-68A1-4E78-99AA-DE9BB08529CB}"/>
    <cellStyle name="Normal 8 2 2 2 3 3 3 4" xfId="41195" xr:uid="{CE396BAE-8437-4CFC-AD8D-1F782248E565}"/>
    <cellStyle name="Normal 8 2 2 2 3 3 3 5" xfId="15001" xr:uid="{B4AC6D83-5337-4C30-8237-EC5C3DB5FA44}"/>
    <cellStyle name="Normal 8 2 2 2 3 3 4" xfId="20084" xr:uid="{2F1C35C4-F028-4EFE-93B6-CD06521D87CE}"/>
    <cellStyle name="Normal 8 2 2 2 3 3 5" xfId="28531" xr:uid="{6BA08D14-36C6-4E3E-9A57-48587E253899}"/>
    <cellStyle name="Normal 8 2 2 2 3 3 6" xfId="36978" xr:uid="{46B3950B-CDA9-4AC0-A7F2-8B23DF116D73}"/>
    <cellStyle name="Normal 8 2 2 2 3 3 7" xfId="10784" xr:uid="{DF0919DB-978C-4815-8352-A5B2EC996547}"/>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2 2 2" xfId="26859" xr:uid="{81AF2474-40DD-4039-B73E-A400FAE01A91}"/>
    <cellStyle name="Normal 8 2 2 2 3 4 2 2 3" xfId="35306" xr:uid="{24CEBC50-B271-46AA-A9DE-D8EAC2382DBF}"/>
    <cellStyle name="Normal 8 2 2 2 3 4 2 2 4" xfId="43753" xr:uid="{238BBC74-3C63-4B14-BD93-DB90B706FE88}"/>
    <cellStyle name="Normal 8 2 2 2 3 4 2 2 5" xfId="17559" xr:uid="{ED0E1BAA-3E13-4B43-B840-899D347FAD5B}"/>
    <cellStyle name="Normal 8 2 2 2 3 4 2 3" xfId="22642" xr:uid="{50923CCC-5B04-439F-B9F0-18DC5B24EA77}"/>
    <cellStyle name="Normal 8 2 2 2 3 4 2 4" xfId="31089" xr:uid="{D7DB1866-D625-44F5-AA1F-C77C09BC2E85}"/>
    <cellStyle name="Normal 8 2 2 2 3 4 2 5" xfId="39536" xr:uid="{0F59845F-5598-4211-819C-C0F001058335}"/>
    <cellStyle name="Normal 8 2 2 2 3 4 2 6" xfId="13342" xr:uid="{9016A997-23C2-4AE2-84AD-99F8A23079A3}"/>
    <cellStyle name="Normal 8 2 2 2 3 4 3" xfId="6088" xr:uid="{00000000-0005-0000-0000-00002A1C0000}"/>
    <cellStyle name="Normal 8 2 2 2 3 4 3 2" xfId="24714" xr:uid="{200DF83B-D286-4B18-94B1-E8A6A04D511D}"/>
    <cellStyle name="Normal 8 2 2 2 3 4 3 3" xfId="33161" xr:uid="{0C817D88-1555-498E-A418-05C5B3EDA336}"/>
    <cellStyle name="Normal 8 2 2 2 3 4 3 4" xfId="41608" xr:uid="{11AB3E01-F6EA-4E80-B63F-7A9708ED4F13}"/>
    <cellStyle name="Normal 8 2 2 2 3 4 3 5" xfId="15414" xr:uid="{533D54F0-6B36-4012-B39D-94D77B59D87F}"/>
    <cellStyle name="Normal 8 2 2 2 3 4 4" xfId="20497" xr:uid="{060EA41A-6C27-4878-A714-597C7AD8FA8B}"/>
    <cellStyle name="Normal 8 2 2 2 3 4 5" xfId="28944" xr:uid="{074CC951-D2D5-4AA1-B9AA-3083F908CA89}"/>
    <cellStyle name="Normal 8 2 2 2 3 4 6" xfId="37391" xr:uid="{C00C10BF-6B5D-42B9-BB81-6DCC69679F2C}"/>
    <cellStyle name="Normal 8 2 2 2 3 4 7" xfId="11197" xr:uid="{4CCF6CF6-E809-470F-8ADC-CA56A6ADF96C}"/>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2 2 2" xfId="27272" xr:uid="{65EF75B4-F4DD-46E7-AE4A-26FFE88AEF24}"/>
    <cellStyle name="Normal 8 2 2 2 3 5 2 2 3" xfId="35719" xr:uid="{6D20F24A-99E5-4B3A-97E7-F709470C54AA}"/>
    <cellStyle name="Normal 8 2 2 2 3 5 2 2 4" xfId="44166" xr:uid="{B5869A8F-D737-4213-AB44-49C150FBF442}"/>
    <cellStyle name="Normal 8 2 2 2 3 5 2 2 5" xfId="17972" xr:uid="{7C6AB385-F9BC-4D02-93C8-8E42E9EAE316}"/>
    <cellStyle name="Normal 8 2 2 2 3 5 2 3" xfId="23055" xr:uid="{F41C03C4-7A6E-4F2C-ACDC-A7F4FBA488D7}"/>
    <cellStyle name="Normal 8 2 2 2 3 5 2 4" xfId="31502" xr:uid="{46218F8B-1B32-4D80-8BFE-BCE99CCFABB3}"/>
    <cellStyle name="Normal 8 2 2 2 3 5 2 5" xfId="39949" xr:uid="{19AA68C8-E7DF-4EFD-8B76-03AA3332A171}"/>
    <cellStyle name="Normal 8 2 2 2 3 5 2 6" xfId="13755" xr:uid="{F9A0FD2A-0078-4A5F-9146-EAF6D6AB779E}"/>
    <cellStyle name="Normal 8 2 2 2 3 5 3" xfId="6501" xr:uid="{00000000-0005-0000-0000-00002E1C0000}"/>
    <cellStyle name="Normal 8 2 2 2 3 5 3 2" xfId="25127" xr:uid="{1AA80C22-8962-480B-8363-0873FC15FF13}"/>
    <cellStyle name="Normal 8 2 2 2 3 5 3 3" xfId="33574" xr:uid="{E937B7F7-963E-40F1-B247-184AE0760713}"/>
    <cellStyle name="Normal 8 2 2 2 3 5 3 4" xfId="42021" xr:uid="{A50BFF30-B1F2-4977-8579-5D0D6CC90CF1}"/>
    <cellStyle name="Normal 8 2 2 2 3 5 3 5" xfId="15827" xr:uid="{539AB49B-CD91-4502-B2B1-7BBF34816D76}"/>
    <cellStyle name="Normal 8 2 2 2 3 5 4" xfId="20910" xr:uid="{ADCC4E5A-008B-48AC-97E9-FCC0DED80770}"/>
    <cellStyle name="Normal 8 2 2 2 3 5 5" xfId="29357" xr:uid="{7B3E8E1F-D3FE-4AAE-9355-81180BD043C3}"/>
    <cellStyle name="Normal 8 2 2 2 3 5 6" xfId="37804" xr:uid="{BAE32B34-6F95-4EE1-9B43-10DFB06E0803}"/>
    <cellStyle name="Normal 8 2 2 2 3 5 7" xfId="11610" xr:uid="{068B99A4-8771-4165-92CA-C69F97A7FD3A}"/>
    <cellStyle name="Normal 8 2 2 2 3 6" xfId="2631" xr:uid="{00000000-0005-0000-0000-00002F1C0000}"/>
    <cellStyle name="Normal 8 2 2 2 3 6 2" xfId="6914" xr:uid="{00000000-0005-0000-0000-0000301C0000}"/>
    <cellStyle name="Normal 8 2 2 2 3 6 2 2" xfId="25540" xr:uid="{093CBB0C-682A-4E83-A4C8-AB17B8A67ED6}"/>
    <cellStyle name="Normal 8 2 2 2 3 6 2 3" xfId="33987" xr:uid="{EEB545B8-2656-4884-9681-E8072A38730B}"/>
    <cellStyle name="Normal 8 2 2 2 3 6 2 4" xfId="42434" xr:uid="{D6BB854D-82A5-4A93-942C-5B730D685A5D}"/>
    <cellStyle name="Normal 8 2 2 2 3 6 2 5" xfId="16240" xr:uid="{002BF946-C780-441D-BD5B-B836966DB13F}"/>
    <cellStyle name="Normal 8 2 2 2 3 6 3" xfId="21323" xr:uid="{65FF918D-C586-4381-B92C-80775C3272E1}"/>
    <cellStyle name="Normal 8 2 2 2 3 6 4" xfId="29770" xr:uid="{32307432-E5AE-48B8-B658-935B34E69CAE}"/>
    <cellStyle name="Normal 8 2 2 2 3 6 5" xfId="38217" xr:uid="{732F5B51-45BB-4CB0-B844-0F8B12577650}"/>
    <cellStyle name="Normal 8 2 2 2 3 6 6" xfId="12023" xr:uid="{0080948E-147E-40C3-9BD9-96A08BA310C3}"/>
    <cellStyle name="Normal 8 2 2 2 3 7" xfId="4849" xr:uid="{00000000-0005-0000-0000-0000311C0000}"/>
    <cellStyle name="Normal 8 2 2 2 3 7 2" xfId="23475" xr:uid="{5F5F0314-CA2F-4D15-9EC6-0543BB5524DB}"/>
    <cellStyle name="Normal 8 2 2 2 3 7 3" xfId="31922" xr:uid="{8FE15AC0-619D-40B6-8713-C31F0437BDD5}"/>
    <cellStyle name="Normal 8 2 2 2 3 7 4" xfId="40369" xr:uid="{8CEE53D6-C713-41A0-B123-27B59D4B8823}"/>
    <cellStyle name="Normal 8 2 2 2 3 7 5" xfId="14175" xr:uid="{4663AF0C-6F39-45F6-8844-063DE1E3A993}"/>
    <cellStyle name="Normal 8 2 2 2 3 8" xfId="9043" xr:uid="{BAC463DF-40A7-4F07-ADD3-7274E57F505C}"/>
    <cellStyle name="Normal 8 2 2 2 3 8 2" xfId="18367" xr:uid="{06C68019-C28A-436B-BE88-F2A1771B24B7}"/>
    <cellStyle name="Normal 8 2 2 2 3 9" xfId="19258" xr:uid="{5559E4B8-9FBF-4FB6-945D-D63626FEC628}"/>
    <cellStyle name="Normal 8 2 2 2 4" xfId="948" xr:uid="{00000000-0005-0000-0000-0000321C0000}"/>
    <cellStyle name="Normal 8 2 2 2 4 2" xfId="3182" xr:uid="{00000000-0005-0000-0000-0000331C0000}"/>
    <cellStyle name="Normal 8 2 2 2 4 2 2" xfId="7404" xr:uid="{00000000-0005-0000-0000-0000341C0000}"/>
    <cellStyle name="Normal 8 2 2 2 4 2 2 2" xfId="26030" xr:uid="{0DA17163-7BED-4B4E-B527-4CEBD52972DB}"/>
    <cellStyle name="Normal 8 2 2 2 4 2 2 3" xfId="34477" xr:uid="{722EDE8B-CB12-409E-8C7F-6EAD8D6385A2}"/>
    <cellStyle name="Normal 8 2 2 2 4 2 2 4" xfId="42924" xr:uid="{4E869352-B855-4367-AC19-AE2AA1EBA6B8}"/>
    <cellStyle name="Normal 8 2 2 2 4 2 2 5" xfId="16730" xr:uid="{15E54D99-F90A-4809-A2F9-0ADA870D6606}"/>
    <cellStyle name="Normal 8 2 2 2 4 2 3" xfId="21813" xr:uid="{701C996D-DC91-45AC-B7CF-5A9A7801FF79}"/>
    <cellStyle name="Normal 8 2 2 2 4 2 4" xfId="30260" xr:uid="{6050FABE-8EE2-432E-B642-D4846A252477}"/>
    <cellStyle name="Normal 8 2 2 2 4 2 5" xfId="38707" xr:uid="{0E171531-1152-4DE4-BCC7-326DC55C82DF}"/>
    <cellStyle name="Normal 8 2 2 2 4 2 6" xfId="12513" xr:uid="{CAA6C8B4-4841-4B9F-854A-AB5D6E760A1B}"/>
    <cellStyle name="Normal 8 2 2 2 4 3" xfId="5259" xr:uid="{00000000-0005-0000-0000-0000351C0000}"/>
    <cellStyle name="Normal 8 2 2 2 4 3 2" xfId="23885" xr:uid="{492336D2-723A-495F-9DAD-C9E0D26F9136}"/>
    <cellStyle name="Normal 8 2 2 2 4 3 3" xfId="32332" xr:uid="{933FF200-EA8D-41EA-9F58-2E1CB913B0F1}"/>
    <cellStyle name="Normal 8 2 2 2 4 3 4" xfId="40779" xr:uid="{66482174-03B0-4D17-8F44-E9BE22706FF2}"/>
    <cellStyle name="Normal 8 2 2 2 4 3 5" xfId="14585" xr:uid="{F5C7B727-51BF-49FF-97DF-58B112C9A11E}"/>
    <cellStyle name="Normal 8 2 2 2 4 4" xfId="9261" xr:uid="{70C29865-A6DE-4682-9EB1-83E4E07FD0A7}"/>
    <cellStyle name="Normal 8 2 2 2 4 4 2" xfId="18577" xr:uid="{E7197529-DA76-457D-8F00-3966168BFCB2}"/>
    <cellStyle name="Normal 8 2 2 2 4 5" xfId="19668" xr:uid="{B2F5C486-F715-4184-BB25-A89009C27633}"/>
    <cellStyle name="Normal 8 2 2 2 4 6" xfId="28115" xr:uid="{DDB7639D-24CE-4AC1-9C88-414639E63523}"/>
    <cellStyle name="Normal 8 2 2 2 4 7" xfId="36562" xr:uid="{AACEB6B1-3F2C-41E7-A8DD-6EAD1C3B46D4}"/>
    <cellStyle name="Normal 8 2 2 2 4 8" xfId="10368" xr:uid="{6F864D01-CCE4-4135-9AD3-6B48A26C03A3}"/>
    <cellStyle name="Normal 8 2 2 2 5" xfId="1365" xr:uid="{00000000-0005-0000-0000-0000361C0000}"/>
    <cellStyle name="Normal 8 2 2 2 5 2" xfId="3595" xr:uid="{00000000-0005-0000-0000-0000371C0000}"/>
    <cellStyle name="Normal 8 2 2 2 5 2 2" xfId="7817" xr:uid="{00000000-0005-0000-0000-0000381C0000}"/>
    <cellStyle name="Normal 8 2 2 2 5 2 2 2" xfId="26443" xr:uid="{D7DF25AB-8B9B-4C4A-B72A-BF87AA7FF44E}"/>
    <cellStyle name="Normal 8 2 2 2 5 2 2 3" xfId="34890" xr:uid="{59D5D871-D838-48C8-8CDA-91C717676B08}"/>
    <cellStyle name="Normal 8 2 2 2 5 2 2 4" xfId="43337" xr:uid="{A859EEEE-ED40-4213-9D76-31837FBC38AF}"/>
    <cellStyle name="Normal 8 2 2 2 5 2 2 5" xfId="17143" xr:uid="{82E603D9-8957-405F-B666-8A6F92091EDD}"/>
    <cellStyle name="Normal 8 2 2 2 5 2 3" xfId="22226" xr:uid="{2924286F-DED3-4C7B-999F-901E506AF479}"/>
    <cellStyle name="Normal 8 2 2 2 5 2 4" xfId="30673" xr:uid="{104C2389-6A2F-4FBF-906C-54631046D01F}"/>
    <cellStyle name="Normal 8 2 2 2 5 2 5" xfId="39120" xr:uid="{283140EB-81BD-49C7-8BF5-B30E42EEBF5A}"/>
    <cellStyle name="Normal 8 2 2 2 5 2 6" xfId="12926" xr:uid="{F2BFC7E0-2243-44D6-8496-36530F4DE7CB}"/>
    <cellStyle name="Normal 8 2 2 2 5 3" xfId="5672" xr:uid="{00000000-0005-0000-0000-0000391C0000}"/>
    <cellStyle name="Normal 8 2 2 2 5 3 2" xfId="24298" xr:uid="{1D81A509-67B9-442A-BAB9-7B54B4CC99B3}"/>
    <cellStyle name="Normal 8 2 2 2 5 3 3" xfId="32745" xr:uid="{02C9B892-8963-4E7F-AC8D-73D854452D16}"/>
    <cellStyle name="Normal 8 2 2 2 5 3 4" xfId="41192" xr:uid="{15562E05-B949-4CD7-BE63-E7FBD0246577}"/>
    <cellStyle name="Normal 8 2 2 2 5 3 5" xfId="14998" xr:uid="{370F0CB4-5490-4A63-93C7-AB13C23DA058}"/>
    <cellStyle name="Normal 8 2 2 2 5 4" xfId="20081" xr:uid="{8273C6DF-41A3-4136-B351-A782CCF96BBC}"/>
    <cellStyle name="Normal 8 2 2 2 5 5" xfId="28528" xr:uid="{92A63972-EBD9-418D-BB1E-5B9CD7F1EB41}"/>
    <cellStyle name="Normal 8 2 2 2 5 6" xfId="36975" xr:uid="{0D4C31D9-A9F1-480A-A022-2D2C858DF727}"/>
    <cellStyle name="Normal 8 2 2 2 5 7" xfId="10781" xr:uid="{B97C378D-5181-471C-B853-D8D2A514552A}"/>
    <cellStyle name="Normal 8 2 2 2 6" xfId="1778" xr:uid="{00000000-0005-0000-0000-00003A1C0000}"/>
    <cellStyle name="Normal 8 2 2 2 6 2" xfId="4008" xr:uid="{00000000-0005-0000-0000-00003B1C0000}"/>
    <cellStyle name="Normal 8 2 2 2 6 2 2" xfId="8230" xr:uid="{00000000-0005-0000-0000-00003C1C0000}"/>
    <cellStyle name="Normal 8 2 2 2 6 2 2 2" xfId="26856" xr:uid="{376930FD-A39E-4310-BE75-5E09A27D27F2}"/>
    <cellStyle name="Normal 8 2 2 2 6 2 2 3" xfId="35303" xr:uid="{135DB0A3-152B-4555-9B1B-671EB7908366}"/>
    <cellStyle name="Normal 8 2 2 2 6 2 2 4" xfId="43750" xr:uid="{19E94CF4-4DFB-4862-87BD-655554B3FA01}"/>
    <cellStyle name="Normal 8 2 2 2 6 2 2 5" xfId="17556" xr:uid="{5541001C-7B68-471E-9F36-785BDA3AAD0D}"/>
    <cellStyle name="Normal 8 2 2 2 6 2 3" xfId="22639" xr:uid="{48CD9F40-8736-45D7-9E09-BED76C1051D4}"/>
    <cellStyle name="Normal 8 2 2 2 6 2 4" xfId="31086" xr:uid="{28B23B3E-D1A3-4D18-895F-8B9190F4B220}"/>
    <cellStyle name="Normal 8 2 2 2 6 2 5" xfId="39533" xr:uid="{712E5875-0546-4BD8-BE77-0F5ECD7642E3}"/>
    <cellStyle name="Normal 8 2 2 2 6 2 6" xfId="13339" xr:uid="{EE9AE972-65A2-4482-9F91-90C10ABD665F}"/>
    <cellStyle name="Normal 8 2 2 2 6 3" xfId="6085" xr:uid="{00000000-0005-0000-0000-00003D1C0000}"/>
    <cellStyle name="Normal 8 2 2 2 6 3 2" xfId="24711" xr:uid="{F0138306-EC20-4C16-B4BF-197E9A799D44}"/>
    <cellStyle name="Normal 8 2 2 2 6 3 3" xfId="33158" xr:uid="{BB6E713A-F940-498E-B493-AF46FD93B9BD}"/>
    <cellStyle name="Normal 8 2 2 2 6 3 4" xfId="41605" xr:uid="{38A269DF-4B28-4776-9C63-A4CE2CF7D789}"/>
    <cellStyle name="Normal 8 2 2 2 6 3 5" xfId="15411" xr:uid="{DC2CE4B1-470E-4B53-B37C-67DCD723C7F5}"/>
    <cellStyle name="Normal 8 2 2 2 6 4" xfId="20494" xr:uid="{752DBBB9-0963-4432-83DC-D981CE14DE98}"/>
    <cellStyle name="Normal 8 2 2 2 6 5" xfId="28941" xr:uid="{C80E963E-7215-4658-A1B6-FD0D4F117553}"/>
    <cellStyle name="Normal 8 2 2 2 6 6" xfId="37388" xr:uid="{2DE72EFD-96BC-488C-8646-B818949D80FD}"/>
    <cellStyle name="Normal 8 2 2 2 6 7" xfId="11194" xr:uid="{1825003E-51DD-4E64-8914-26450190D106}"/>
    <cellStyle name="Normal 8 2 2 2 7" xfId="2192" xr:uid="{00000000-0005-0000-0000-00003E1C0000}"/>
    <cellStyle name="Normal 8 2 2 2 7 2" xfId="4421" xr:uid="{00000000-0005-0000-0000-00003F1C0000}"/>
    <cellStyle name="Normal 8 2 2 2 7 2 2" xfId="8643" xr:uid="{00000000-0005-0000-0000-0000401C0000}"/>
    <cellStyle name="Normal 8 2 2 2 7 2 2 2" xfId="27269" xr:uid="{6CEBC2E7-A698-4DEC-83AA-BCC8C60ED849}"/>
    <cellStyle name="Normal 8 2 2 2 7 2 2 3" xfId="35716" xr:uid="{2EA403FE-FAEF-4000-A219-77DB2C919762}"/>
    <cellStyle name="Normal 8 2 2 2 7 2 2 4" xfId="44163" xr:uid="{FAB14565-92B4-4E5F-8074-8FBCF22627A8}"/>
    <cellStyle name="Normal 8 2 2 2 7 2 2 5" xfId="17969" xr:uid="{A7DF4B4B-CBAF-45E6-8A96-109720DAAB26}"/>
    <cellStyle name="Normal 8 2 2 2 7 2 3" xfId="23052" xr:uid="{AAC800E7-B53B-4E07-BB80-2EE14103496F}"/>
    <cellStyle name="Normal 8 2 2 2 7 2 4" xfId="31499" xr:uid="{28074824-9432-4CDF-A6D8-0817D001994F}"/>
    <cellStyle name="Normal 8 2 2 2 7 2 5" xfId="39946" xr:uid="{44752B72-EE35-41C8-9D88-9A6A82585E70}"/>
    <cellStyle name="Normal 8 2 2 2 7 2 6" xfId="13752" xr:uid="{7BCEFE49-36A9-46D2-A2E1-FBF6D1E24B0A}"/>
    <cellStyle name="Normal 8 2 2 2 7 3" xfId="6498" xr:uid="{00000000-0005-0000-0000-0000411C0000}"/>
    <cellStyle name="Normal 8 2 2 2 7 3 2" xfId="25124" xr:uid="{FA4B63FB-804C-43F8-A9F8-99BC06782545}"/>
    <cellStyle name="Normal 8 2 2 2 7 3 3" xfId="33571" xr:uid="{6A0BEC33-B06A-46B3-A7C0-9C226BF37918}"/>
    <cellStyle name="Normal 8 2 2 2 7 3 4" xfId="42018" xr:uid="{4724DD04-E0C7-4F3D-97AC-F74FBA3BC438}"/>
    <cellStyle name="Normal 8 2 2 2 7 3 5" xfId="15824" xr:uid="{73334A61-E3BC-4622-B804-DF7A9C906155}"/>
    <cellStyle name="Normal 8 2 2 2 7 4" xfId="20907" xr:uid="{7F18C2B2-5066-485E-8473-C43BA5E05F96}"/>
    <cellStyle name="Normal 8 2 2 2 7 5" xfId="29354" xr:uid="{EF3B4899-820D-4007-9EEB-105B6C1A199E}"/>
    <cellStyle name="Normal 8 2 2 2 7 6" xfId="37801" xr:uid="{56415CF1-F71B-45C0-91A1-2D7B0C2CC8C6}"/>
    <cellStyle name="Normal 8 2 2 2 7 7" xfId="11607" xr:uid="{FE2853AA-C737-4BEB-A41A-5E65A5803641}"/>
    <cellStyle name="Normal 8 2 2 2 8" xfId="2628" xr:uid="{00000000-0005-0000-0000-0000421C0000}"/>
    <cellStyle name="Normal 8 2 2 2 8 2" xfId="6911" xr:uid="{00000000-0005-0000-0000-0000431C0000}"/>
    <cellStyle name="Normal 8 2 2 2 8 2 2" xfId="25537" xr:uid="{2D601715-3530-4817-82CD-305343352AD5}"/>
    <cellStyle name="Normal 8 2 2 2 8 2 3" xfId="33984" xr:uid="{6AFF17EB-E84B-40E8-A8AB-0554B50A334C}"/>
    <cellStyle name="Normal 8 2 2 2 8 2 4" xfId="42431" xr:uid="{683B6553-B799-4114-8CB2-68456FDB5742}"/>
    <cellStyle name="Normal 8 2 2 2 8 2 5" xfId="16237" xr:uid="{9B6988D7-D34F-43A7-91EC-4909A0ACAF82}"/>
    <cellStyle name="Normal 8 2 2 2 8 3" xfId="21320" xr:uid="{DC24EB5A-558D-46AD-A44D-28CC475F4C57}"/>
    <cellStyle name="Normal 8 2 2 2 8 4" xfId="29767" xr:uid="{EFF23258-7B9C-4382-BDD9-2650BC300E75}"/>
    <cellStyle name="Normal 8 2 2 2 8 5" xfId="38214" xr:uid="{5740E4C2-DE1E-4981-A8C5-693DD0A776B0}"/>
    <cellStyle name="Normal 8 2 2 2 8 6" xfId="12020" xr:uid="{808BA2C5-CAC6-42CB-80FF-E5EB2D0D7B63}"/>
    <cellStyle name="Normal 8 2 2 2 9" xfId="4846" xr:uid="{00000000-0005-0000-0000-0000441C0000}"/>
    <cellStyle name="Normal 8 2 2 2 9 2" xfId="23472" xr:uid="{9D6242BC-0AA9-49F6-94FF-F8236F1EB581}"/>
    <cellStyle name="Normal 8 2 2 2 9 3" xfId="31919" xr:uid="{4E8451A0-D510-43E4-A49F-8CDFA5F4E42D}"/>
    <cellStyle name="Normal 8 2 2 2 9 4" xfId="40366" xr:uid="{9D44A571-74F4-4B60-A6DB-1AD9920D9DD1}"/>
    <cellStyle name="Normal 8 2 2 2 9 5" xfId="14172" xr:uid="{185C49E6-818A-4EC0-BEEA-52DA86321F46}"/>
    <cellStyle name="Normal 8 2 2 3" xfId="485" xr:uid="{00000000-0005-0000-0000-0000451C0000}"/>
    <cellStyle name="Normal 8 2 2 3 10" xfId="19259" xr:uid="{9537F419-B42A-414F-A54D-A92D16F9D74E}"/>
    <cellStyle name="Normal 8 2 2 3 11" xfId="27706" xr:uid="{7DC62AB6-067D-4111-862D-FBB1A83C4718}"/>
    <cellStyle name="Normal 8 2 2 3 12" xfId="36153" xr:uid="{B27CCB86-3819-4658-8817-BCFBE4067DEA}"/>
    <cellStyle name="Normal 8 2 2 3 13" xfId="9959" xr:uid="{41146661-5DB2-4D48-9BE5-2623BC32607A}"/>
    <cellStyle name="Normal 8 2 2 3 2" xfId="486" xr:uid="{00000000-0005-0000-0000-0000461C0000}"/>
    <cellStyle name="Normal 8 2 2 3 2 10" xfId="27707" xr:uid="{414AF35B-140C-4524-97D9-59FC83E5DC4C}"/>
    <cellStyle name="Normal 8 2 2 3 2 11" xfId="36154" xr:uid="{CCF860DF-065F-481A-926B-A24D9EAE59C8}"/>
    <cellStyle name="Normal 8 2 2 3 2 12" xfId="9960" xr:uid="{FB1EC558-9B59-42DD-B36A-7723326AEE56}"/>
    <cellStyle name="Normal 8 2 2 3 2 2" xfId="953" xr:uid="{00000000-0005-0000-0000-0000471C0000}"/>
    <cellStyle name="Normal 8 2 2 3 2 2 2" xfId="3187" xr:uid="{00000000-0005-0000-0000-0000481C0000}"/>
    <cellStyle name="Normal 8 2 2 3 2 2 2 2" xfId="7409" xr:uid="{00000000-0005-0000-0000-0000491C0000}"/>
    <cellStyle name="Normal 8 2 2 3 2 2 2 2 2" xfId="26035" xr:uid="{995C0975-2E50-4D22-8979-5C0B14F75328}"/>
    <cellStyle name="Normal 8 2 2 3 2 2 2 2 3" xfId="34482" xr:uid="{DA92A93D-58B8-4EDE-BB17-5C3DA1F3D064}"/>
    <cellStyle name="Normal 8 2 2 3 2 2 2 2 4" xfId="42929" xr:uid="{73E1ABDB-4B9D-4E92-8B23-08EBCCC51807}"/>
    <cellStyle name="Normal 8 2 2 3 2 2 2 2 5" xfId="16735" xr:uid="{E61CA41A-9F71-48C1-B68D-4294576DF418}"/>
    <cellStyle name="Normal 8 2 2 3 2 2 2 3" xfId="21818" xr:uid="{AF2AEC82-44F5-46B1-825B-CE327F43F7BE}"/>
    <cellStyle name="Normal 8 2 2 3 2 2 2 4" xfId="30265" xr:uid="{4F082664-838D-4DCC-BA38-EA3D42691FB7}"/>
    <cellStyle name="Normal 8 2 2 3 2 2 2 5" xfId="38712" xr:uid="{D3E7E1D8-A770-4D04-9062-563B00400D7C}"/>
    <cellStyle name="Normal 8 2 2 3 2 2 2 6" xfId="12518" xr:uid="{EFDA44FC-C9B4-4F7F-BBD1-AC4E83A2A545}"/>
    <cellStyle name="Normal 8 2 2 3 2 2 3" xfId="5264" xr:uid="{00000000-0005-0000-0000-00004A1C0000}"/>
    <cellStyle name="Normal 8 2 2 3 2 2 3 2" xfId="23890" xr:uid="{746BD1DA-22C6-4C59-9F11-E97C40E1A963}"/>
    <cellStyle name="Normal 8 2 2 3 2 2 3 3" xfId="32337" xr:uid="{64F7B5DF-9A0E-43B7-ACED-B5AD7F26FE5E}"/>
    <cellStyle name="Normal 8 2 2 3 2 2 3 4" xfId="40784" xr:uid="{58AD93F4-123D-479B-ADCC-15F1686A4A26}"/>
    <cellStyle name="Normal 8 2 2 3 2 2 3 5" xfId="14590" xr:uid="{E58F9287-EBF7-4420-B939-2B41FE31686C}"/>
    <cellStyle name="Normal 8 2 2 3 2 2 4" xfId="9518" xr:uid="{FDE93D5E-A6D1-456B-8726-FC2AB8FD16A4}"/>
    <cellStyle name="Normal 8 2 2 3 2 2 4 2" xfId="18834" xr:uid="{034A5885-2577-47AD-8770-92E722228E95}"/>
    <cellStyle name="Normal 8 2 2 3 2 2 5" xfId="19673" xr:uid="{6DEEFDBD-E76A-448B-A5CF-AAE3F4405712}"/>
    <cellStyle name="Normal 8 2 2 3 2 2 6" xfId="28120" xr:uid="{A1A7340F-59F3-4890-9AEB-8D044DD373BE}"/>
    <cellStyle name="Normal 8 2 2 3 2 2 7" xfId="36567" xr:uid="{8390476E-0151-445C-89BE-FA8D2DC248E9}"/>
    <cellStyle name="Normal 8 2 2 3 2 2 8" xfId="10373" xr:uid="{EEC1D83B-5265-41A5-8773-332EF00B0485}"/>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2 2 2" xfId="26448" xr:uid="{83CD5B18-1CEA-4050-90A4-0410B0702E61}"/>
    <cellStyle name="Normal 8 2 2 3 2 3 2 2 3" xfId="34895" xr:uid="{9CE0CBC2-1A75-4E5D-8F9A-74600829D757}"/>
    <cellStyle name="Normal 8 2 2 3 2 3 2 2 4" xfId="43342" xr:uid="{89678A91-B8B4-4419-88E1-AE76AE1D8A6B}"/>
    <cellStyle name="Normal 8 2 2 3 2 3 2 2 5" xfId="17148" xr:uid="{3BD7DE35-0BE5-46F5-93F3-60642771DC70}"/>
    <cellStyle name="Normal 8 2 2 3 2 3 2 3" xfId="22231" xr:uid="{48FA029A-CBCC-41D2-949C-F9E8B274C2D6}"/>
    <cellStyle name="Normal 8 2 2 3 2 3 2 4" xfId="30678" xr:uid="{04E6A79F-ABF9-4539-A26E-C11FBB5301DA}"/>
    <cellStyle name="Normal 8 2 2 3 2 3 2 5" xfId="39125" xr:uid="{9E8A72F0-33DB-4E6B-8A68-FB66F1916F57}"/>
    <cellStyle name="Normal 8 2 2 3 2 3 2 6" xfId="12931" xr:uid="{BC1127D0-F098-40E2-8038-FB9C778684F9}"/>
    <cellStyle name="Normal 8 2 2 3 2 3 3" xfId="5677" xr:uid="{00000000-0005-0000-0000-00004E1C0000}"/>
    <cellStyle name="Normal 8 2 2 3 2 3 3 2" xfId="24303" xr:uid="{FB030FBB-A1DA-4B2F-8B88-05FD315C3A7D}"/>
    <cellStyle name="Normal 8 2 2 3 2 3 3 3" xfId="32750" xr:uid="{C43B7346-01AF-4175-81A8-33EADAAD8DF0}"/>
    <cellStyle name="Normal 8 2 2 3 2 3 3 4" xfId="41197" xr:uid="{421F0465-DCAA-4B61-93E5-2305A005F79F}"/>
    <cellStyle name="Normal 8 2 2 3 2 3 3 5" xfId="15003" xr:uid="{16C7C86C-D9AF-4487-8148-E99F2C042BF4}"/>
    <cellStyle name="Normal 8 2 2 3 2 3 4" xfId="20086" xr:uid="{369ADD08-5089-4BAD-9F3A-7B0C46891E67}"/>
    <cellStyle name="Normal 8 2 2 3 2 3 5" xfId="28533" xr:uid="{EAF04E8E-4F2C-44B2-B8C9-2C1D1DA4BFD1}"/>
    <cellStyle name="Normal 8 2 2 3 2 3 6" xfId="36980" xr:uid="{3D1250E7-B34A-4BC8-9940-600231FD2A7D}"/>
    <cellStyle name="Normal 8 2 2 3 2 3 7" xfId="10786" xr:uid="{934F83AC-BD7F-42F1-962F-4BB01EC660D1}"/>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2 2 2" xfId="26861" xr:uid="{017DC787-6B3E-4967-87B4-FC046D27AA92}"/>
    <cellStyle name="Normal 8 2 2 3 2 4 2 2 3" xfId="35308" xr:uid="{B0251A48-81E6-43FA-BEB6-5871AA3CB71F}"/>
    <cellStyle name="Normal 8 2 2 3 2 4 2 2 4" xfId="43755" xr:uid="{D8F93836-8143-4509-88A7-2C548F79D1E6}"/>
    <cellStyle name="Normal 8 2 2 3 2 4 2 2 5" xfId="17561" xr:uid="{C2F5FD07-CB1D-434C-8800-53E756CEBA4D}"/>
    <cellStyle name="Normal 8 2 2 3 2 4 2 3" xfId="22644" xr:uid="{F7FC6973-0917-4621-8AE1-DDE57AD6C7CB}"/>
    <cellStyle name="Normal 8 2 2 3 2 4 2 4" xfId="31091" xr:uid="{583EE5B4-FC86-4EEE-A4F7-C7D99D6DBE38}"/>
    <cellStyle name="Normal 8 2 2 3 2 4 2 5" xfId="39538" xr:uid="{13B8758B-FAB1-4179-8B22-7B8B79837C77}"/>
    <cellStyle name="Normal 8 2 2 3 2 4 2 6" xfId="13344" xr:uid="{7F67AE0F-98FF-4271-B00A-D66C86D4FC81}"/>
    <cellStyle name="Normal 8 2 2 3 2 4 3" xfId="6090" xr:uid="{00000000-0005-0000-0000-0000521C0000}"/>
    <cellStyle name="Normal 8 2 2 3 2 4 3 2" xfId="24716" xr:uid="{89FC7543-66F3-42E7-8433-C8F168ADC393}"/>
    <cellStyle name="Normal 8 2 2 3 2 4 3 3" xfId="33163" xr:uid="{F800B92C-E12D-435B-8465-E52A15AB8B8F}"/>
    <cellStyle name="Normal 8 2 2 3 2 4 3 4" xfId="41610" xr:uid="{504E15EE-C0BA-4812-B572-9CBB716DB386}"/>
    <cellStyle name="Normal 8 2 2 3 2 4 3 5" xfId="15416" xr:uid="{2DA61C9E-B085-4DA6-B749-7D09D6705402}"/>
    <cellStyle name="Normal 8 2 2 3 2 4 4" xfId="20499" xr:uid="{44017438-9E69-4611-8658-5255EB2EED58}"/>
    <cellStyle name="Normal 8 2 2 3 2 4 5" xfId="28946" xr:uid="{E01BACC7-0740-4FD4-A648-6FAEB590895F}"/>
    <cellStyle name="Normal 8 2 2 3 2 4 6" xfId="37393" xr:uid="{59C9C93E-E593-42AA-9BE0-9F243ED3F493}"/>
    <cellStyle name="Normal 8 2 2 3 2 4 7" xfId="11199" xr:uid="{7429CC4B-AB92-4BA2-8103-9049C0A2C87F}"/>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2 2 2" xfId="27274" xr:uid="{73CD451D-BCA7-41F1-A36E-9B0ED8BBB172}"/>
    <cellStyle name="Normal 8 2 2 3 2 5 2 2 3" xfId="35721" xr:uid="{C3339E01-537A-47D6-9201-25C02A72E013}"/>
    <cellStyle name="Normal 8 2 2 3 2 5 2 2 4" xfId="44168" xr:uid="{6B579847-BD5E-4855-AA54-47743B2F7E60}"/>
    <cellStyle name="Normal 8 2 2 3 2 5 2 2 5" xfId="17974" xr:uid="{79DB52D1-E683-4D37-A8B2-A0D31331139A}"/>
    <cellStyle name="Normal 8 2 2 3 2 5 2 3" xfId="23057" xr:uid="{85DF690A-5DA9-42F0-BD78-589F64A3760E}"/>
    <cellStyle name="Normal 8 2 2 3 2 5 2 4" xfId="31504" xr:uid="{C13A1B79-3AE5-42FF-A3BC-186ABC76F6B9}"/>
    <cellStyle name="Normal 8 2 2 3 2 5 2 5" xfId="39951" xr:uid="{336F5DFF-0A11-4A6E-BC1D-5BD18698AC18}"/>
    <cellStyle name="Normal 8 2 2 3 2 5 2 6" xfId="13757" xr:uid="{58A705FF-A3DC-48F9-B327-9428690EC96F}"/>
    <cellStyle name="Normal 8 2 2 3 2 5 3" xfId="6503" xr:uid="{00000000-0005-0000-0000-0000561C0000}"/>
    <cellStyle name="Normal 8 2 2 3 2 5 3 2" xfId="25129" xr:uid="{613FC050-3A8C-490F-BEA9-3A1AC6A5AF66}"/>
    <cellStyle name="Normal 8 2 2 3 2 5 3 3" xfId="33576" xr:uid="{1218474B-48E4-478C-BF40-CF875CA3DB58}"/>
    <cellStyle name="Normal 8 2 2 3 2 5 3 4" xfId="42023" xr:uid="{83732491-A6D1-4AE1-81CA-D29545DF8BC4}"/>
    <cellStyle name="Normal 8 2 2 3 2 5 3 5" xfId="15829" xr:uid="{ADAA66B4-8E5D-4C61-9D8C-63B236DA6F60}"/>
    <cellStyle name="Normal 8 2 2 3 2 5 4" xfId="20912" xr:uid="{94CB741D-FBBD-4D3A-B9CD-B368785B62FD}"/>
    <cellStyle name="Normal 8 2 2 3 2 5 5" xfId="29359" xr:uid="{AEC18EDE-E9C3-469D-8EA8-86DCC0209017}"/>
    <cellStyle name="Normal 8 2 2 3 2 5 6" xfId="37806" xr:uid="{40ADC041-6294-40B1-BF58-00F29445915C}"/>
    <cellStyle name="Normal 8 2 2 3 2 5 7" xfId="11612" xr:uid="{AF202EBC-3A0C-4667-AF94-0ED734623572}"/>
    <cellStyle name="Normal 8 2 2 3 2 6" xfId="2633" xr:uid="{00000000-0005-0000-0000-0000571C0000}"/>
    <cellStyle name="Normal 8 2 2 3 2 6 2" xfId="6916" xr:uid="{00000000-0005-0000-0000-0000581C0000}"/>
    <cellStyle name="Normal 8 2 2 3 2 6 2 2" xfId="25542" xr:uid="{35D56FDB-5361-4CE8-8DBB-9185CDE08662}"/>
    <cellStyle name="Normal 8 2 2 3 2 6 2 3" xfId="33989" xr:uid="{B56789A2-CFC1-46A4-B126-31C0557ECC2F}"/>
    <cellStyle name="Normal 8 2 2 3 2 6 2 4" xfId="42436" xr:uid="{898F3D6F-8680-45D3-8FDF-8CB2981DD416}"/>
    <cellStyle name="Normal 8 2 2 3 2 6 2 5" xfId="16242" xr:uid="{5D32D4B4-1BF8-440F-924B-671FE0DD0028}"/>
    <cellStyle name="Normal 8 2 2 3 2 6 3" xfId="21325" xr:uid="{B4A6320D-F4BD-4E92-A845-1D07EDAFAEA7}"/>
    <cellStyle name="Normal 8 2 2 3 2 6 4" xfId="29772" xr:uid="{700B5C76-75CA-4ADD-BC39-15837F89ADE0}"/>
    <cellStyle name="Normal 8 2 2 3 2 6 5" xfId="38219" xr:uid="{E10727F6-DA08-41C4-B2EA-844ED3BFC5FC}"/>
    <cellStyle name="Normal 8 2 2 3 2 6 6" xfId="12025" xr:uid="{5607D8B0-6475-4154-8451-A13B6D2D5879}"/>
    <cellStyle name="Normal 8 2 2 3 2 7" xfId="4851" xr:uid="{00000000-0005-0000-0000-0000591C0000}"/>
    <cellStyle name="Normal 8 2 2 3 2 7 2" xfId="23477" xr:uid="{7C214BA6-9630-45E9-9C93-B06AB65207BF}"/>
    <cellStyle name="Normal 8 2 2 3 2 7 3" xfId="31924" xr:uid="{4B9DE71C-1294-4813-B609-71F2721CD63C}"/>
    <cellStyle name="Normal 8 2 2 3 2 7 4" xfId="40371" xr:uid="{DA1A2FC6-12CF-4FF3-8A42-EBD020A45A0B}"/>
    <cellStyle name="Normal 8 2 2 3 2 7 5" xfId="14177" xr:uid="{B61CF430-43FD-4889-A456-89CF3613F507}"/>
    <cellStyle name="Normal 8 2 2 3 2 8" xfId="9093" xr:uid="{ADE34C72-BCCB-477C-B66A-BE7159CEB281}"/>
    <cellStyle name="Normal 8 2 2 3 2 8 2" xfId="18417" xr:uid="{3F34414A-9DB6-4D18-BFFB-2999A344BD4E}"/>
    <cellStyle name="Normal 8 2 2 3 2 9" xfId="19260" xr:uid="{FFD5FB8E-7D16-44E0-8DD5-0FDDF99BAE98}"/>
    <cellStyle name="Normal 8 2 2 3 3" xfId="952" xr:uid="{00000000-0005-0000-0000-00005A1C0000}"/>
    <cellStyle name="Normal 8 2 2 3 3 2" xfId="3186" xr:uid="{00000000-0005-0000-0000-00005B1C0000}"/>
    <cellStyle name="Normal 8 2 2 3 3 2 2" xfId="7408" xr:uid="{00000000-0005-0000-0000-00005C1C0000}"/>
    <cellStyle name="Normal 8 2 2 3 3 2 2 2" xfId="26034" xr:uid="{016A230E-D2F4-443C-9922-C96810768EC0}"/>
    <cellStyle name="Normal 8 2 2 3 3 2 2 3" xfId="34481" xr:uid="{52036111-82E4-4FA0-A53E-4CCB3F0A5623}"/>
    <cellStyle name="Normal 8 2 2 3 3 2 2 4" xfId="42928" xr:uid="{DF83B0E4-F415-4EE7-835A-7980842CEEBD}"/>
    <cellStyle name="Normal 8 2 2 3 3 2 2 5" xfId="16734" xr:uid="{F6A495EF-8159-4AF5-95B6-373736E853F9}"/>
    <cellStyle name="Normal 8 2 2 3 3 2 3" xfId="21817" xr:uid="{261BA366-1B02-4124-B07C-411F42E3ED7F}"/>
    <cellStyle name="Normal 8 2 2 3 3 2 4" xfId="30264" xr:uid="{DB63071C-F733-490F-9394-A63F5289FD58}"/>
    <cellStyle name="Normal 8 2 2 3 3 2 5" xfId="38711" xr:uid="{B2596D2D-860D-42A3-8736-D2FE10D81B33}"/>
    <cellStyle name="Normal 8 2 2 3 3 2 6" xfId="12517" xr:uid="{0C64EE61-AE43-4E6B-AB8B-70FAB8922827}"/>
    <cellStyle name="Normal 8 2 2 3 3 3" xfId="5263" xr:uid="{00000000-0005-0000-0000-00005D1C0000}"/>
    <cellStyle name="Normal 8 2 2 3 3 3 2" xfId="23889" xr:uid="{4A25D9EB-E89D-4FA9-8B2C-57597A6798A4}"/>
    <cellStyle name="Normal 8 2 2 3 3 3 3" xfId="32336" xr:uid="{5B6678D4-D28D-4FF2-9965-EB02A3B89669}"/>
    <cellStyle name="Normal 8 2 2 3 3 3 4" xfId="40783" xr:uid="{E517670D-D740-40CA-B6F0-CECFAD0CDB8D}"/>
    <cellStyle name="Normal 8 2 2 3 3 3 5" xfId="14589" xr:uid="{97B512C0-E6EF-4915-87C0-C20FAE7C5DDB}"/>
    <cellStyle name="Normal 8 2 2 3 3 4" xfId="9311" xr:uid="{F4618F1E-1235-4269-B5C6-B09BE5034F6C}"/>
    <cellStyle name="Normal 8 2 2 3 3 4 2" xfId="18627" xr:uid="{E77BEA1B-4421-427F-9681-747C05F438FE}"/>
    <cellStyle name="Normal 8 2 2 3 3 5" xfId="19672" xr:uid="{65629645-A25D-446D-95EA-A5E2E59EA969}"/>
    <cellStyle name="Normal 8 2 2 3 3 6" xfId="28119" xr:uid="{E891C730-9B38-49C3-83C2-34BE30BD022D}"/>
    <cellStyle name="Normal 8 2 2 3 3 7" xfId="36566" xr:uid="{87AAD92A-C6D9-4855-A110-731643DD9F67}"/>
    <cellStyle name="Normal 8 2 2 3 3 8" xfId="10372" xr:uid="{FB8C6C7E-377B-4454-B59E-B0FCC782B382}"/>
    <cellStyle name="Normal 8 2 2 3 4" xfId="1369" xr:uid="{00000000-0005-0000-0000-00005E1C0000}"/>
    <cellStyle name="Normal 8 2 2 3 4 2" xfId="3599" xr:uid="{00000000-0005-0000-0000-00005F1C0000}"/>
    <cellStyle name="Normal 8 2 2 3 4 2 2" xfId="7821" xr:uid="{00000000-0005-0000-0000-0000601C0000}"/>
    <cellStyle name="Normal 8 2 2 3 4 2 2 2" xfId="26447" xr:uid="{D7EDCADA-1AF3-4F83-8F88-BF36331DF68F}"/>
    <cellStyle name="Normal 8 2 2 3 4 2 2 3" xfId="34894" xr:uid="{0CD1ABD0-9FD7-4DE0-8A1E-6B2969BFE8C9}"/>
    <cellStyle name="Normal 8 2 2 3 4 2 2 4" xfId="43341" xr:uid="{4D475458-A5DF-4CA7-96F0-0A9D0439EB16}"/>
    <cellStyle name="Normal 8 2 2 3 4 2 2 5" xfId="17147" xr:uid="{12545233-F2BE-4870-B0CD-39A97C9DB67A}"/>
    <cellStyle name="Normal 8 2 2 3 4 2 3" xfId="22230" xr:uid="{767EE326-9778-45F3-ABCC-2A9377D4BFB9}"/>
    <cellStyle name="Normal 8 2 2 3 4 2 4" xfId="30677" xr:uid="{C994C458-1937-4984-BB9F-D7C58505FBE2}"/>
    <cellStyle name="Normal 8 2 2 3 4 2 5" xfId="39124" xr:uid="{E080EE42-5BDA-4E2E-B37C-CD8F2EA0D6F5}"/>
    <cellStyle name="Normal 8 2 2 3 4 2 6" xfId="12930" xr:uid="{F0334655-44C1-46CF-8B12-C76D98F70CF1}"/>
    <cellStyle name="Normal 8 2 2 3 4 3" xfId="5676" xr:uid="{00000000-0005-0000-0000-0000611C0000}"/>
    <cellStyle name="Normal 8 2 2 3 4 3 2" xfId="24302" xr:uid="{9E1FFCBF-49CB-4578-9933-9B3FC8685163}"/>
    <cellStyle name="Normal 8 2 2 3 4 3 3" xfId="32749" xr:uid="{D68D39A6-83A9-4C3F-B29F-1E9EEB936BBC}"/>
    <cellStyle name="Normal 8 2 2 3 4 3 4" xfId="41196" xr:uid="{D7B519B6-AA5F-4D74-8A00-9C3885CE9DE8}"/>
    <cellStyle name="Normal 8 2 2 3 4 3 5" xfId="15002" xr:uid="{73B9733D-ABAF-46C3-8A63-6FBDA123B2CA}"/>
    <cellStyle name="Normal 8 2 2 3 4 4" xfId="20085" xr:uid="{9393B725-C8BB-48BA-B2FE-E8D10DE89EA8}"/>
    <cellStyle name="Normal 8 2 2 3 4 5" xfId="28532" xr:uid="{3A6FF547-9F48-4DFF-AA30-55E8DE8FBE9D}"/>
    <cellStyle name="Normal 8 2 2 3 4 6" xfId="36979" xr:uid="{88E2C004-B61D-4CB0-B7E0-A72363CD81DA}"/>
    <cellStyle name="Normal 8 2 2 3 4 7" xfId="10785" xr:uid="{DD698F60-6E2A-4F31-B986-1A9C49DD86E8}"/>
    <cellStyle name="Normal 8 2 2 3 5" xfId="1782" xr:uid="{00000000-0005-0000-0000-0000621C0000}"/>
    <cellStyle name="Normal 8 2 2 3 5 2" xfId="4012" xr:uid="{00000000-0005-0000-0000-0000631C0000}"/>
    <cellStyle name="Normal 8 2 2 3 5 2 2" xfId="8234" xr:uid="{00000000-0005-0000-0000-0000641C0000}"/>
    <cellStyle name="Normal 8 2 2 3 5 2 2 2" xfId="26860" xr:uid="{C448ABED-C531-446C-BAE1-A227C3F22048}"/>
    <cellStyle name="Normal 8 2 2 3 5 2 2 3" xfId="35307" xr:uid="{35B45D48-9812-4901-BC85-4B44DD30BA5F}"/>
    <cellStyle name="Normal 8 2 2 3 5 2 2 4" xfId="43754" xr:uid="{EFED7F46-E497-4B75-AEEA-C130709E5020}"/>
    <cellStyle name="Normal 8 2 2 3 5 2 2 5" xfId="17560" xr:uid="{5B984BE8-93EC-4FF4-83AB-F0C85DC07EDE}"/>
    <cellStyle name="Normal 8 2 2 3 5 2 3" xfId="22643" xr:uid="{F5F58108-FC3B-4051-8B3A-C873577FCD2A}"/>
    <cellStyle name="Normal 8 2 2 3 5 2 4" xfId="31090" xr:uid="{83CE33C9-754E-43BA-AC4E-03E345697CC6}"/>
    <cellStyle name="Normal 8 2 2 3 5 2 5" xfId="39537" xr:uid="{740A8821-69B6-437B-8220-3D43CAF03FBF}"/>
    <cellStyle name="Normal 8 2 2 3 5 2 6" xfId="13343" xr:uid="{B8184134-3525-4366-BDE2-B23DD26E2F75}"/>
    <cellStyle name="Normal 8 2 2 3 5 3" xfId="6089" xr:uid="{00000000-0005-0000-0000-0000651C0000}"/>
    <cellStyle name="Normal 8 2 2 3 5 3 2" xfId="24715" xr:uid="{BBF58458-FD72-4BD9-975F-7D94367A57A3}"/>
    <cellStyle name="Normal 8 2 2 3 5 3 3" xfId="33162" xr:uid="{13C79F5A-FA34-412B-A5E4-D171A190CD33}"/>
    <cellStyle name="Normal 8 2 2 3 5 3 4" xfId="41609" xr:uid="{8997ACEF-1EE2-4111-A29E-0C56C3A2BC8B}"/>
    <cellStyle name="Normal 8 2 2 3 5 3 5" xfId="15415" xr:uid="{AEC9D7B0-DCDE-4BCE-A732-EEF0D802F864}"/>
    <cellStyle name="Normal 8 2 2 3 5 4" xfId="20498" xr:uid="{F815CB44-E3C8-4A88-B415-CAC89C2A5F9E}"/>
    <cellStyle name="Normal 8 2 2 3 5 5" xfId="28945" xr:uid="{2468CAF7-55BD-4321-80D1-F7E3B4B72C38}"/>
    <cellStyle name="Normal 8 2 2 3 5 6" xfId="37392" xr:uid="{3DA196E4-886C-4DE7-B780-EEE431C56304}"/>
    <cellStyle name="Normal 8 2 2 3 5 7" xfId="11198" xr:uid="{79C704C5-D42F-4B38-82B8-2A613D62A57D}"/>
    <cellStyle name="Normal 8 2 2 3 6" xfId="2196" xr:uid="{00000000-0005-0000-0000-0000661C0000}"/>
    <cellStyle name="Normal 8 2 2 3 6 2" xfId="4425" xr:uid="{00000000-0005-0000-0000-0000671C0000}"/>
    <cellStyle name="Normal 8 2 2 3 6 2 2" xfId="8647" xr:uid="{00000000-0005-0000-0000-0000681C0000}"/>
    <cellStyle name="Normal 8 2 2 3 6 2 2 2" xfId="27273" xr:uid="{9AC64E81-BB84-498E-B2DC-BA150A6208A1}"/>
    <cellStyle name="Normal 8 2 2 3 6 2 2 3" xfId="35720" xr:uid="{448997A0-1B4A-4B22-8E9F-03D9251F1A00}"/>
    <cellStyle name="Normal 8 2 2 3 6 2 2 4" xfId="44167" xr:uid="{E43718C2-9E67-4F59-BF30-5D6AF6E5AC72}"/>
    <cellStyle name="Normal 8 2 2 3 6 2 2 5" xfId="17973" xr:uid="{272C2045-C9F4-451D-B24A-C10D35C01CCA}"/>
    <cellStyle name="Normal 8 2 2 3 6 2 3" xfId="23056" xr:uid="{4A1A060E-4AE3-4D28-9D8E-C69F672459DC}"/>
    <cellStyle name="Normal 8 2 2 3 6 2 4" xfId="31503" xr:uid="{B3231F24-E20B-4ADC-B48A-AC25C0B3B5F5}"/>
    <cellStyle name="Normal 8 2 2 3 6 2 5" xfId="39950" xr:uid="{16A64052-8CAC-442B-B0D6-2154CB2E7A47}"/>
    <cellStyle name="Normal 8 2 2 3 6 2 6" xfId="13756" xr:uid="{8E650EC2-5A27-467A-A4E9-4775019CE6AC}"/>
    <cellStyle name="Normal 8 2 2 3 6 3" xfId="6502" xr:uid="{00000000-0005-0000-0000-0000691C0000}"/>
    <cellStyle name="Normal 8 2 2 3 6 3 2" xfId="25128" xr:uid="{9A176FD7-E05B-413A-AD0F-C37AC4D3B54C}"/>
    <cellStyle name="Normal 8 2 2 3 6 3 3" xfId="33575" xr:uid="{9152772B-2813-4686-8DDA-0A89DE5ABEAF}"/>
    <cellStyle name="Normal 8 2 2 3 6 3 4" xfId="42022" xr:uid="{75F2809E-84C0-4340-B3B1-434500F01AD2}"/>
    <cellStyle name="Normal 8 2 2 3 6 3 5" xfId="15828" xr:uid="{036EC49A-F9F7-4F23-BE91-0DF71CFD4535}"/>
    <cellStyle name="Normal 8 2 2 3 6 4" xfId="20911" xr:uid="{96D0CF52-6B11-4163-997D-107E390FC44C}"/>
    <cellStyle name="Normal 8 2 2 3 6 5" xfId="29358" xr:uid="{E67D01B4-3C89-4C61-9C6E-5DC5D6630346}"/>
    <cellStyle name="Normal 8 2 2 3 6 6" xfId="37805" xr:uid="{657021E1-E19C-4CCC-9F9A-FB9BE304EA1D}"/>
    <cellStyle name="Normal 8 2 2 3 6 7" xfId="11611" xr:uid="{104C652E-1FB2-488D-8D0E-C66CE8B451AB}"/>
    <cellStyle name="Normal 8 2 2 3 7" xfId="2632" xr:uid="{00000000-0005-0000-0000-00006A1C0000}"/>
    <cellStyle name="Normal 8 2 2 3 7 2" xfId="6915" xr:uid="{00000000-0005-0000-0000-00006B1C0000}"/>
    <cellStyle name="Normal 8 2 2 3 7 2 2" xfId="25541" xr:uid="{E364ACB4-006D-444B-B29D-2DAB3379AFC3}"/>
    <cellStyle name="Normal 8 2 2 3 7 2 3" xfId="33988" xr:uid="{5693672F-67A6-4444-8C3B-08504933C7C0}"/>
    <cellStyle name="Normal 8 2 2 3 7 2 4" xfId="42435" xr:uid="{CAC55A34-7660-4D72-B491-8AEA22457178}"/>
    <cellStyle name="Normal 8 2 2 3 7 2 5" xfId="16241" xr:uid="{918F03A9-9540-4184-8DB7-E70CA4866B0B}"/>
    <cellStyle name="Normal 8 2 2 3 7 3" xfId="21324" xr:uid="{32CAAF40-07EC-4A9F-B997-C07AA037C94B}"/>
    <cellStyle name="Normal 8 2 2 3 7 4" xfId="29771" xr:uid="{1248673E-9D50-4A46-AA4C-92193A89B900}"/>
    <cellStyle name="Normal 8 2 2 3 7 5" xfId="38218" xr:uid="{596224FF-1ED7-45E3-BAB7-93DE553549E6}"/>
    <cellStyle name="Normal 8 2 2 3 7 6" xfId="12024" xr:uid="{E6895209-4693-4CF2-AB22-02479EA5646F}"/>
    <cellStyle name="Normal 8 2 2 3 8" xfId="4850" xr:uid="{00000000-0005-0000-0000-00006C1C0000}"/>
    <cellStyle name="Normal 8 2 2 3 8 2" xfId="23476" xr:uid="{69ADBFD3-517A-494A-83FA-3F7C3F18287E}"/>
    <cellStyle name="Normal 8 2 2 3 8 3" xfId="31923" xr:uid="{21DAC26E-4B5A-43FC-8FB4-65BC1C3E4227}"/>
    <cellStyle name="Normal 8 2 2 3 8 4" xfId="40370" xr:uid="{760440A2-6B03-4EB2-91A1-9B98FFA49341}"/>
    <cellStyle name="Normal 8 2 2 3 8 5" xfId="14176" xr:uid="{5AEA9B82-2E66-48F4-812A-0234DE213261}"/>
    <cellStyle name="Normal 8 2 2 3 9" xfId="8886" xr:uid="{B2A45ACA-2377-4A40-A818-E7106AD46E30}"/>
    <cellStyle name="Normal 8 2 2 3 9 2" xfId="18210" xr:uid="{5E9E3CD1-9BA4-4BBA-8250-AF3118E80C9E}"/>
    <cellStyle name="Normal 8 2 2 4" xfId="487" xr:uid="{00000000-0005-0000-0000-00006D1C0000}"/>
    <cellStyle name="Normal 8 2 2 4 10" xfId="27708" xr:uid="{510E477E-7F2C-4D35-8459-9137D543B85B}"/>
    <cellStyle name="Normal 8 2 2 4 11" xfId="36155" xr:uid="{BEBF7AF7-AF88-44BC-900E-18D64849BB64}"/>
    <cellStyle name="Normal 8 2 2 4 12" xfId="9961" xr:uid="{BBFCD43B-A7D3-45F9-8EB0-06CBA52A7BC0}"/>
    <cellStyle name="Normal 8 2 2 4 2" xfId="954" xr:uid="{00000000-0005-0000-0000-00006E1C0000}"/>
    <cellStyle name="Normal 8 2 2 4 2 2" xfId="3188" xr:uid="{00000000-0005-0000-0000-00006F1C0000}"/>
    <cellStyle name="Normal 8 2 2 4 2 2 2" xfId="7410" xr:uid="{00000000-0005-0000-0000-0000701C0000}"/>
    <cellStyle name="Normal 8 2 2 4 2 2 2 2" xfId="26036" xr:uid="{77A796C7-3D00-47EA-B143-A8A64962B606}"/>
    <cellStyle name="Normal 8 2 2 4 2 2 2 3" xfId="34483" xr:uid="{BF3A5CE4-BA5B-4BF1-B570-9AF6E54D9BB5}"/>
    <cellStyle name="Normal 8 2 2 4 2 2 2 4" xfId="42930" xr:uid="{26EDCBCB-46AE-42A3-AFFD-04920114B65B}"/>
    <cellStyle name="Normal 8 2 2 4 2 2 2 5" xfId="16736" xr:uid="{99B698F7-BAD4-40A3-B893-827E6D3991BF}"/>
    <cellStyle name="Normal 8 2 2 4 2 2 3" xfId="21819" xr:uid="{BB302622-931B-46EF-BD7A-35191275A25B}"/>
    <cellStyle name="Normal 8 2 2 4 2 2 4" xfId="30266" xr:uid="{83C64143-CFF9-475C-81EE-436A7979E835}"/>
    <cellStyle name="Normal 8 2 2 4 2 2 5" xfId="38713" xr:uid="{4FE8E27F-D000-41C3-A289-1E08B3537032}"/>
    <cellStyle name="Normal 8 2 2 4 2 2 6" xfId="12519" xr:uid="{F14C7C07-824C-4B98-95D3-F8F315A97A7E}"/>
    <cellStyle name="Normal 8 2 2 4 2 3" xfId="5265" xr:uid="{00000000-0005-0000-0000-0000711C0000}"/>
    <cellStyle name="Normal 8 2 2 4 2 3 2" xfId="23891" xr:uid="{73B3E45A-03D0-4E23-80F1-E82D0FB0B78C}"/>
    <cellStyle name="Normal 8 2 2 4 2 3 3" xfId="32338" xr:uid="{A424DEA0-687F-48D4-8B24-7B032FDE1BCB}"/>
    <cellStyle name="Normal 8 2 2 4 2 3 4" xfId="40785" xr:uid="{BB0B9E7F-287D-4AE2-82B5-DE61A1317286}"/>
    <cellStyle name="Normal 8 2 2 4 2 3 5" xfId="14591" xr:uid="{E12FD01B-D292-424E-9258-A29DEFFF82F5}"/>
    <cellStyle name="Normal 8 2 2 4 2 4" xfId="9415" xr:uid="{88D7FF95-DEA9-4369-BE01-487FC7B2B7E8}"/>
    <cellStyle name="Normal 8 2 2 4 2 4 2" xfId="18731" xr:uid="{4DA8623F-E6AB-4596-A81D-4B4DA8E8A7AA}"/>
    <cellStyle name="Normal 8 2 2 4 2 5" xfId="19674" xr:uid="{3EE35634-726F-425B-8258-2310172904B2}"/>
    <cellStyle name="Normal 8 2 2 4 2 6" xfId="28121" xr:uid="{2B73CF96-2A70-4CC6-A6EF-9622551074BB}"/>
    <cellStyle name="Normal 8 2 2 4 2 7" xfId="36568" xr:uid="{D34CB6E1-87F3-4A1E-B058-13C6AA567AAC}"/>
    <cellStyle name="Normal 8 2 2 4 2 8" xfId="10374" xr:uid="{30D6C495-7DE1-4946-AA0D-23D3597E4FCD}"/>
    <cellStyle name="Normal 8 2 2 4 3" xfId="1371" xr:uid="{00000000-0005-0000-0000-0000721C0000}"/>
    <cellStyle name="Normal 8 2 2 4 3 2" xfId="3601" xr:uid="{00000000-0005-0000-0000-0000731C0000}"/>
    <cellStyle name="Normal 8 2 2 4 3 2 2" xfId="7823" xr:uid="{00000000-0005-0000-0000-0000741C0000}"/>
    <cellStyle name="Normal 8 2 2 4 3 2 2 2" xfId="26449" xr:uid="{C2865699-DEB7-467D-AD89-9787810F2412}"/>
    <cellStyle name="Normal 8 2 2 4 3 2 2 3" xfId="34896" xr:uid="{6D198486-AC55-4273-9C5C-A296E59205B9}"/>
    <cellStyle name="Normal 8 2 2 4 3 2 2 4" xfId="43343" xr:uid="{AF196A07-8F15-4BE9-8C6A-A8520132B241}"/>
    <cellStyle name="Normal 8 2 2 4 3 2 2 5" xfId="17149" xr:uid="{57346550-BA47-4A4C-A258-CCF552610E7C}"/>
    <cellStyle name="Normal 8 2 2 4 3 2 3" xfId="22232" xr:uid="{588B76C8-D07F-4ABE-84DC-3CBCFCE23D00}"/>
    <cellStyle name="Normal 8 2 2 4 3 2 4" xfId="30679" xr:uid="{0CB53DDD-9D2D-4D3D-B7D8-C283B3F07B74}"/>
    <cellStyle name="Normal 8 2 2 4 3 2 5" xfId="39126" xr:uid="{946495C6-FC62-4861-AAFC-7D6BF081AFB5}"/>
    <cellStyle name="Normal 8 2 2 4 3 2 6" xfId="12932" xr:uid="{717795CC-C8FE-4BCA-B96B-CEB68497B69D}"/>
    <cellStyle name="Normal 8 2 2 4 3 3" xfId="5678" xr:uid="{00000000-0005-0000-0000-0000751C0000}"/>
    <cellStyle name="Normal 8 2 2 4 3 3 2" xfId="24304" xr:uid="{52B6246D-1AE3-4853-80F6-D7AFA98B5C96}"/>
    <cellStyle name="Normal 8 2 2 4 3 3 3" xfId="32751" xr:uid="{D8703941-95D4-4664-8916-4FEEBE9CC38C}"/>
    <cellStyle name="Normal 8 2 2 4 3 3 4" xfId="41198" xr:uid="{B717F2A3-8FB0-442C-8361-1BAD5CE1902B}"/>
    <cellStyle name="Normal 8 2 2 4 3 3 5" xfId="15004" xr:uid="{3212B58F-9D19-460E-AB0D-5271BE4998AE}"/>
    <cellStyle name="Normal 8 2 2 4 3 4" xfId="20087" xr:uid="{83B4BF49-D4BD-468F-B7C9-A1B7ADA816FC}"/>
    <cellStyle name="Normal 8 2 2 4 3 5" xfId="28534" xr:uid="{A2926AE2-2726-406F-8D68-AD32B6B070AC}"/>
    <cellStyle name="Normal 8 2 2 4 3 6" xfId="36981" xr:uid="{FCC24DA5-3CCB-4169-A9BE-01275B073D94}"/>
    <cellStyle name="Normal 8 2 2 4 3 7" xfId="10787" xr:uid="{40000EF1-6D14-45ED-ADBE-A3667CFC3B75}"/>
    <cellStyle name="Normal 8 2 2 4 4" xfId="1784" xr:uid="{00000000-0005-0000-0000-0000761C0000}"/>
    <cellStyle name="Normal 8 2 2 4 4 2" xfId="4014" xr:uid="{00000000-0005-0000-0000-0000771C0000}"/>
    <cellStyle name="Normal 8 2 2 4 4 2 2" xfId="8236" xr:uid="{00000000-0005-0000-0000-0000781C0000}"/>
    <cellStyle name="Normal 8 2 2 4 4 2 2 2" xfId="26862" xr:uid="{CC59ED4A-21A5-4404-8169-17E659A0B358}"/>
    <cellStyle name="Normal 8 2 2 4 4 2 2 3" xfId="35309" xr:uid="{96F9C6BB-79D7-426A-9325-194B92C23616}"/>
    <cellStyle name="Normal 8 2 2 4 4 2 2 4" xfId="43756" xr:uid="{8ACCF7EE-BDE7-4EC7-9678-D763472C9C8A}"/>
    <cellStyle name="Normal 8 2 2 4 4 2 2 5" xfId="17562" xr:uid="{DA899E7F-6412-4ABA-B548-21BE4993C646}"/>
    <cellStyle name="Normal 8 2 2 4 4 2 3" xfId="22645" xr:uid="{C432A596-956F-4366-80E4-82F47265F2E0}"/>
    <cellStyle name="Normal 8 2 2 4 4 2 4" xfId="31092" xr:uid="{657EEA86-9AA0-4F7C-B3E0-24FB4A8B7F7D}"/>
    <cellStyle name="Normal 8 2 2 4 4 2 5" xfId="39539" xr:uid="{8EA51A9F-7E91-4DCB-A6BB-ADC110FC57CD}"/>
    <cellStyle name="Normal 8 2 2 4 4 2 6" xfId="13345" xr:uid="{96E40045-CD02-43A8-A370-B503DDC8F076}"/>
    <cellStyle name="Normal 8 2 2 4 4 3" xfId="6091" xr:uid="{00000000-0005-0000-0000-0000791C0000}"/>
    <cellStyle name="Normal 8 2 2 4 4 3 2" xfId="24717" xr:uid="{12DD03F1-413E-4972-A2AB-BA02FEF72388}"/>
    <cellStyle name="Normal 8 2 2 4 4 3 3" xfId="33164" xr:uid="{4FC40BB4-C3F9-4ADD-86C1-A98875129448}"/>
    <cellStyle name="Normal 8 2 2 4 4 3 4" xfId="41611" xr:uid="{8CF859F6-3938-4AE3-AD54-92010F1966B1}"/>
    <cellStyle name="Normal 8 2 2 4 4 3 5" xfId="15417" xr:uid="{4B8EC418-1161-45B8-BDE1-F949A3FD247D}"/>
    <cellStyle name="Normal 8 2 2 4 4 4" xfId="20500" xr:uid="{3535E0C6-D389-4585-9D34-5432BF5578F1}"/>
    <cellStyle name="Normal 8 2 2 4 4 5" xfId="28947" xr:uid="{4DA9548B-80B1-4A3C-9317-32FD228A14D4}"/>
    <cellStyle name="Normal 8 2 2 4 4 6" xfId="37394" xr:uid="{9992033F-E952-4B26-B0C3-FF342919EE9E}"/>
    <cellStyle name="Normal 8 2 2 4 4 7" xfId="11200" xr:uid="{B6934709-21BB-4080-8B35-8E6F5A3670EA}"/>
    <cellStyle name="Normal 8 2 2 4 5" xfId="2198" xr:uid="{00000000-0005-0000-0000-00007A1C0000}"/>
    <cellStyle name="Normal 8 2 2 4 5 2" xfId="4427" xr:uid="{00000000-0005-0000-0000-00007B1C0000}"/>
    <cellStyle name="Normal 8 2 2 4 5 2 2" xfId="8649" xr:uid="{00000000-0005-0000-0000-00007C1C0000}"/>
    <cellStyle name="Normal 8 2 2 4 5 2 2 2" xfId="27275" xr:uid="{3FA1B592-0A8E-423A-9738-BF4656FB5362}"/>
    <cellStyle name="Normal 8 2 2 4 5 2 2 3" xfId="35722" xr:uid="{19595298-E91E-48AE-9E35-83895DE1ACC4}"/>
    <cellStyle name="Normal 8 2 2 4 5 2 2 4" xfId="44169" xr:uid="{A32F56DF-69A4-4888-8B37-B9B0CB39A3C7}"/>
    <cellStyle name="Normal 8 2 2 4 5 2 2 5" xfId="17975" xr:uid="{9A397074-0F24-4DF7-9EDA-7F61EC503A70}"/>
    <cellStyle name="Normal 8 2 2 4 5 2 3" xfId="23058" xr:uid="{C60614D3-9B3B-433D-809E-FE6E116E23EA}"/>
    <cellStyle name="Normal 8 2 2 4 5 2 4" xfId="31505" xr:uid="{2E1A59A1-D25E-425E-A694-8CD801D9F7C8}"/>
    <cellStyle name="Normal 8 2 2 4 5 2 5" xfId="39952" xr:uid="{D70871C9-27BC-47BD-9294-E20F4886B5CF}"/>
    <cellStyle name="Normal 8 2 2 4 5 2 6" xfId="13758" xr:uid="{673145CC-5D68-4D38-B8AC-8F96FA363FFA}"/>
    <cellStyle name="Normal 8 2 2 4 5 3" xfId="6504" xr:uid="{00000000-0005-0000-0000-00007D1C0000}"/>
    <cellStyle name="Normal 8 2 2 4 5 3 2" xfId="25130" xr:uid="{BA8EFB34-4583-4700-9B6D-4C72F98965D6}"/>
    <cellStyle name="Normal 8 2 2 4 5 3 3" xfId="33577" xr:uid="{C8220B25-9DFA-4DD6-AE9D-0B89F1D25F71}"/>
    <cellStyle name="Normal 8 2 2 4 5 3 4" xfId="42024" xr:uid="{5B64B52B-540F-4F97-8C50-7567E71FD543}"/>
    <cellStyle name="Normal 8 2 2 4 5 3 5" xfId="15830" xr:uid="{BED052D4-7C7F-45CC-ADD0-BAB6EC965E1D}"/>
    <cellStyle name="Normal 8 2 2 4 5 4" xfId="20913" xr:uid="{ABD4D461-17F6-477A-8EA9-B79B5FF5F3FE}"/>
    <cellStyle name="Normal 8 2 2 4 5 5" xfId="29360" xr:uid="{BF1B93CC-8D71-4896-9B5F-D94802EB19BE}"/>
    <cellStyle name="Normal 8 2 2 4 5 6" xfId="37807" xr:uid="{A263BCB6-3E51-4A83-8DE3-819AB58E0E66}"/>
    <cellStyle name="Normal 8 2 2 4 5 7" xfId="11613" xr:uid="{D0B0E2CF-49B4-4728-A714-41758591D5F0}"/>
    <cellStyle name="Normal 8 2 2 4 6" xfId="2634" xr:uid="{00000000-0005-0000-0000-00007E1C0000}"/>
    <cellStyle name="Normal 8 2 2 4 6 2" xfId="6917" xr:uid="{00000000-0005-0000-0000-00007F1C0000}"/>
    <cellStyle name="Normal 8 2 2 4 6 2 2" xfId="25543" xr:uid="{E96894CB-47ED-4C21-8594-7F3CA2A41192}"/>
    <cellStyle name="Normal 8 2 2 4 6 2 3" xfId="33990" xr:uid="{71C1F818-1F42-455E-AF41-529A47B6E641}"/>
    <cellStyle name="Normal 8 2 2 4 6 2 4" xfId="42437" xr:uid="{A95A1AD8-FA04-4214-B96A-A0FB1FCE63AF}"/>
    <cellStyle name="Normal 8 2 2 4 6 2 5" xfId="16243" xr:uid="{28B742E8-8697-499C-8F6E-E86536186EA5}"/>
    <cellStyle name="Normal 8 2 2 4 6 3" xfId="21326" xr:uid="{7D9EF0A7-72F8-475F-8410-306828CA6B2D}"/>
    <cellStyle name="Normal 8 2 2 4 6 4" xfId="29773" xr:uid="{9D396902-BF79-4A92-A48B-E303DD1B2B7E}"/>
    <cellStyle name="Normal 8 2 2 4 6 5" xfId="38220" xr:uid="{65BEF74C-2316-49D4-9E5C-76E5446FCC81}"/>
    <cellStyle name="Normal 8 2 2 4 6 6" xfId="12026" xr:uid="{058301ED-40BF-4933-A00A-F83ABAA288E0}"/>
    <cellStyle name="Normal 8 2 2 4 7" xfId="4852" xr:uid="{00000000-0005-0000-0000-0000801C0000}"/>
    <cellStyle name="Normal 8 2 2 4 7 2" xfId="23478" xr:uid="{242DBE39-8BEE-4362-B862-95FD56FD5412}"/>
    <cellStyle name="Normal 8 2 2 4 7 3" xfId="31925" xr:uid="{81B85216-6636-4270-A17D-090E6504440F}"/>
    <cellStyle name="Normal 8 2 2 4 7 4" xfId="40372" xr:uid="{25A6019D-CA65-412C-840A-8CC5BA5DF982}"/>
    <cellStyle name="Normal 8 2 2 4 7 5" xfId="14178" xr:uid="{CDE56543-6F28-46E0-A3FE-5B77DB404D73}"/>
    <cellStyle name="Normal 8 2 2 4 8" xfId="8990" xr:uid="{F08D85C9-EB04-4227-BEA0-1B51DDB63DFA}"/>
    <cellStyle name="Normal 8 2 2 4 8 2" xfId="18314" xr:uid="{98A4E8F6-5CED-42FE-A355-1D913905421A}"/>
    <cellStyle name="Normal 8 2 2 4 9" xfId="19261" xr:uid="{1D38D2FB-2C8B-42A6-BE35-B22F29087742}"/>
    <cellStyle name="Normal 8 2 2 5" xfId="947" xr:uid="{00000000-0005-0000-0000-0000811C0000}"/>
    <cellStyle name="Normal 8 2 2 5 2" xfId="3181" xr:uid="{00000000-0005-0000-0000-0000821C0000}"/>
    <cellStyle name="Normal 8 2 2 5 2 2" xfId="7403" xr:uid="{00000000-0005-0000-0000-0000831C0000}"/>
    <cellStyle name="Normal 8 2 2 5 2 2 2" xfId="26029" xr:uid="{6F982BB6-7091-43BF-9F63-76E5514CA8B9}"/>
    <cellStyle name="Normal 8 2 2 5 2 2 3" xfId="34476" xr:uid="{33154003-D07A-43B4-AA61-72833AADE125}"/>
    <cellStyle name="Normal 8 2 2 5 2 2 4" xfId="42923" xr:uid="{EAE78450-ACEA-4D38-9A1A-3F8BACF34878}"/>
    <cellStyle name="Normal 8 2 2 5 2 2 5" xfId="16729" xr:uid="{5EA60326-A0DA-4CBC-AA01-AA686B38BD82}"/>
    <cellStyle name="Normal 8 2 2 5 2 3" xfId="21812" xr:uid="{D43D35F6-3875-4584-B708-CC25949CA078}"/>
    <cellStyle name="Normal 8 2 2 5 2 4" xfId="30259" xr:uid="{5F7CD9E1-241C-41D1-9784-758DAC00120F}"/>
    <cellStyle name="Normal 8 2 2 5 2 5" xfId="38706" xr:uid="{9A99C121-444A-48EF-9062-BEFCB9D7E5F4}"/>
    <cellStyle name="Normal 8 2 2 5 2 6" xfId="12512" xr:uid="{EAA91389-A95D-41E4-9331-332B5C91BCAF}"/>
    <cellStyle name="Normal 8 2 2 5 3" xfId="5258" xr:uid="{00000000-0005-0000-0000-0000841C0000}"/>
    <cellStyle name="Normal 8 2 2 5 3 2" xfId="23884" xr:uid="{44182F9F-B8ED-4BD7-984C-09977A234AA3}"/>
    <cellStyle name="Normal 8 2 2 5 3 3" xfId="32331" xr:uid="{878D9A1B-A2EF-41EF-8749-E8B2886F042A}"/>
    <cellStyle name="Normal 8 2 2 5 3 4" xfId="40778" xr:uid="{3B09B4A2-6726-4F48-AB6A-278C3E06F2A2}"/>
    <cellStyle name="Normal 8 2 2 5 3 5" xfId="14584" xr:uid="{8394F11A-311C-4B4D-A99F-1C530E31D01F}"/>
    <cellStyle name="Normal 8 2 2 5 4" xfId="9207" xr:uid="{D4CDC4D2-5794-400F-B850-1B259D26C1FE}"/>
    <cellStyle name="Normal 8 2 2 5 4 2" xfId="18524" xr:uid="{88A8BE19-AE61-46CC-B085-AE6DB653597B}"/>
    <cellStyle name="Normal 8 2 2 5 5" xfId="19667" xr:uid="{DA7985C4-4A1B-486C-975D-09BE68C7E392}"/>
    <cellStyle name="Normal 8 2 2 5 6" xfId="28114" xr:uid="{06D29DA0-849F-4B76-91BC-4018994EBE16}"/>
    <cellStyle name="Normal 8 2 2 5 7" xfId="36561" xr:uid="{9DA96E52-7F7D-4D08-AD9B-0DDAFD3A371B}"/>
    <cellStyle name="Normal 8 2 2 5 8" xfId="10367" xr:uid="{6782A7DF-6696-4A46-BF6B-35DF59E65CD7}"/>
    <cellStyle name="Normal 8 2 2 6" xfId="1364" xr:uid="{00000000-0005-0000-0000-0000851C0000}"/>
    <cellStyle name="Normal 8 2 2 6 2" xfId="3594" xr:uid="{00000000-0005-0000-0000-0000861C0000}"/>
    <cellStyle name="Normal 8 2 2 6 2 2" xfId="7816" xr:uid="{00000000-0005-0000-0000-0000871C0000}"/>
    <cellStyle name="Normal 8 2 2 6 2 2 2" xfId="26442" xr:uid="{9FB86B39-3122-4E2F-A649-D96E4DE18E22}"/>
    <cellStyle name="Normal 8 2 2 6 2 2 3" xfId="34889" xr:uid="{CCDED360-4B3B-4268-B658-9C20F8A7A3CD}"/>
    <cellStyle name="Normal 8 2 2 6 2 2 4" xfId="43336" xr:uid="{04631777-5B8F-47CB-A043-2EA5869D91D3}"/>
    <cellStyle name="Normal 8 2 2 6 2 2 5" xfId="17142" xr:uid="{6CBD608C-B891-4700-B8D9-D0ECC9678FC7}"/>
    <cellStyle name="Normal 8 2 2 6 2 3" xfId="22225" xr:uid="{521DBBD7-A0F8-44C1-84A4-4C6F70508C21}"/>
    <cellStyle name="Normal 8 2 2 6 2 4" xfId="30672" xr:uid="{657EA705-1CA0-4441-B604-42C210D65CB9}"/>
    <cellStyle name="Normal 8 2 2 6 2 5" xfId="39119" xr:uid="{CEA53C90-6AB2-4576-AE30-688B6A8EDB87}"/>
    <cellStyle name="Normal 8 2 2 6 2 6" xfId="12925" xr:uid="{EC2A5595-2860-47FA-8A0D-191921A0A148}"/>
    <cellStyle name="Normal 8 2 2 6 3" xfId="5671" xr:uid="{00000000-0005-0000-0000-0000881C0000}"/>
    <cellStyle name="Normal 8 2 2 6 3 2" xfId="24297" xr:uid="{C4984C1D-20C3-4D9D-94CE-F92B6853ACFD}"/>
    <cellStyle name="Normal 8 2 2 6 3 3" xfId="32744" xr:uid="{3B95748B-19DF-477F-9F09-03517ECD3D2B}"/>
    <cellStyle name="Normal 8 2 2 6 3 4" xfId="41191" xr:uid="{91F0F83C-747B-407F-9189-1FA638738FBB}"/>
    <cellStyle name="Normal 8 2 2 6 3 5" xfId="14997" xr:uid="{585D9038-1A92-435C-9791-F4795A224ADB}"/>
    <cellStyle name="Normal 8 2 2 6 4" xfId="20080" xr:uid="{E4AE2306-9CEF-4670-8E17-06E6428E51CA}"/>
    <cellStyle name="Normal 8 2 2 6 5" xfId="28527" xr:uid="{894CCC78-3400-435B-8387-72B4C63E1B3F}"/>
    <cellStyle name="Normal 8 2 2 6 6" xfId="36974" xr:uid="{3F1517BA-07D8-400F-BCFC-39B94B668805}"/>
    <cellStyle name="Normal 8 2 2 6 7" xfId="10780" xr:uid="{98C64DFD-17B7-4A71-8079-4858283AE7B9}"/>
    <cellStyle name="Normal 8 2 2 7" xfId="1777" xr:uid="{00000000-0005-0000-0000-0000891C0000}"/>
    <cellStyle name="Normal 8 2 2 7 2" xfId="4007" xr:uid="{00000000-0005-0000-0000-00008A1C0000}"/>
    <cellStyle name="Normal 8 2 2 7 2 2" xfId="8229" xr:uid="{00000000-0005-0000-0000-00008B1C0000}"/>
    <cellStyle name="Normal 8 2 2 7 2 2 2" xfId="26855" xr:uid="{9E0AAFF3-E014-4E00-9C00-843BCE1794F7}"/>
    <cellStyle name="Normal 8 2 2 7 2 2 3" xfId="35302" xr:uid="{33113784-6E0F-4A85-A4CF-9C058B1AAEC4}"/>
    <cellStyle name="Normal 8 2 2 7 2 2 4" xfId="43749" xr:uid="{9C17DB2C-7E33-4286-90F5-EB298FFE800E}"/>
    <cellStyle name="Normal 8 2 2 7 2 2 5" xfId="17555" xr:uid="{A2E4AEAB-DF0A-4BDF-90D5-5819348BC0A7}"/>
    <cellStyle name="Normal 8 2 2 7 2 3" xfId="22638" xr:uid="{3A7D5B94-2425-4D0E-A2C5-DD9D2F3F8427}"/>
    <cellStyle name="Normal 8 2 2 7 2 4" xfId="31085" xr:uid="{F9B2B785-221A-4E98-9C03-6CF7B375C5E8}"/>
    <cellStyle name="Normal 8 2 2 7 2 5" xfId="39532" xr:uid="{3C0B1BC8-0D3F-42B8-B807-594CFB3EBCCB}"/>
    <cellStyle name="Normal 8 2 2 7 2 6" xfId="13338" xr:uid="{79FC4CCE-E9F3-48F3-9274-25E993BA0434}"/>
    <cellStyle name="Normal 8 2 2 7 3" xfId="6084" xr:uid="{00000000-0005-0000-0000-00008C1C0000}"/>
    <cellStyle name="Normal 8 2 2 7 3 2" xfId="24710" xr:uid="{5A6EC5AC-98B5-4B72-ADEA-38B19BDE218B}"/>
    <cellStyle name="Normal 8 2 2 7 3 3" xfId="33157" xr:uid="{105D15CC-86CE-4DCC-AEEB-0C10B4709B1B}"/>
    <cellStyle name="Normal 8 2 2 7 3 4" xfId="41604" xr:uid="{ED264450-E3DA-4C29-A5D9-C3DB93751424}"/>
    <cellStyle name="Normal 8 2 2 7 3 5" xfId="15410" xr:uid="{0C466CC4-9094-41DC-844D-2E6E9907486E}"/>
    <cellStyle name="Normal 8 2 2 7 4" xfId="20493" xr:uid="{6496E594-F162-4022-84B2-6C4A7D5D83C1}"/>
    <cellStyle name="Normal 8 2 2 7 5" xfId="28940" xr:uid="{314B3471-0C15-4584-8824-37F35B85801D}"/>
    <cellStyle name="Normal 8 2 2 7 6" xfId="37387" xr:uid="{A4C8FF77-27F1-40DA-B43A-E351CDF474F6}"/>
    <cellStyle name="Normal 8 2 2 7 7" xfId="11193" xr:uid="{0EA9DD7A-EBCE-41B2-BC01-1FD86CDDD4BB}"/>
    <cellStyle name="Normal 8 2 2 8" xfId="2191" xr:uid="{00000000-0005-0000-0000-00008D1C0000}"/>
    <cellStyle name="Normal 8 2 2 8 2" xfId="4420" xr:uid="{00000000-0005-0000-0000-00008E1C0000}"/>
    <cellStyle name="Normal 8 2 2 8 2 2" xfId="8642" xr:uid="{00000000-0005-0000-0000-00008F1C0000}"/>
    <cellStyle name="Normal 8 2 2 8 2 2 2" xfId="27268" xr:uid="{D2BB66A6-709A-4942-AF00-22ED28BBBE5E}"/>
    <cellStyle name="Normal 8 2 2 8 2 2 3" xfId="35715" xr:uid="{0528B8D1-9990-4B6C-B84A-9236888A569E}"/>
    <cellStyle name="Normal 8 2 2 8 2 2 4" xfId="44162" xr:uid="{18C0ACD0-5D9B-4460-835B-49B421745173}"/>
    <cellStyle name="Normal 8 2 2 8 2 2 5" xfId="17968" xr:uid="{B0E542B7-D6B6-4595-990D-EAA9BF264378}"/>
    <cellStyle name="Normal 8 2 2 8 2 3" xfId="23051" xr:uid="{40C16AD9-4887-47B6-A17E-4BCF69DC859E}"/>
    <cellStyle name="Normal 8 2 2 8 2 4" xfId="31498" xr:uid="{07EA5493-082D-43B1-B49A-4600F2FE3481}"/>
    <cellStyle name="Normal 8 2 2 8 2 5" xfId="39945" xr:uid="{92DD3826-958E-4E20-8403-CEC7FCBC2217}"/>
    <cellStyle name="Normal 8 2 2 8 2 6" xfId="13751" xr:uid="{FCD2A672-300E-4CFE-A37B-4E7515005579}"/>
    <cellStyle name="Normal 8 2 2 8 3" xfId="6497" xr:uid="{00000000-0005-0000-0000-0000901C0000}"/>
    <cellStyle name="Normal 8 2 2 8 3 2" xfId="25123" xr:uid="{8B03F5B5-C23D-4CC0-8485-26597B7C7C4B}"/>
    <cellStyle name="Normal 8 2 2 8 3 3" xfId="33570" xr:uid="{3617B6E0-3696-41E7-B20E-F7670C387778}"/>
    <cellStyle name="Normal 8 2 2 8 3 4" xfId="42017" xr:uid="{4552FD29-7607-4973-83CB-9E368B96F6F9}"/>
    <cellStyle name="Normal 8 2 2 8 3 5" xfId="15823" xr:uid="{A46A9183-AB01-4669-8784-D1CC038D304A}"/>
    <cellStyle name="Normal 8 2 2 8 4" xfId="20906" xr:uid="{65A96B71-05BF-4F8E-BCFA-341C7755C235}"/>
    <cellStyle name="Normal 8 2 2 8 5" xfId="29353" xr:uid="{1D0BFD51-764A-4EC0-878D-CB8780EE76C5}"/>
    <cellStyle name="Normal 8 2 2 8 6" xfId="37800" xr:uid="{231E6252-2C43-4A6A-B1A4-7B8A1FC5AE98}"/>
    <cellStyle name="Normal 8 2 2 8 7" xfId="11606" xr:uid="{38E7F181-2E6F-4EF1-9D22-0BD8D592EE79}"/>
    <cellStyle name="Normal 8 2 2 9" xfId="2627" xr:uid="{00000000-0005-0000-0000-0000911C0000}"/>
    <cellStyle name="Normal 8 2 2 9 2" xfId="6910" xr:uid="{00000000-0005-0000-0000-0000921C0000}"/>
    <cellStyle name="Normal 8 2 2 9 2 2" xfId="25536" xr:uid="{0B47B02A-138A-4BCE-ABF0-E008EFB7C31F}"/>
    <cellStyle name="Normal 8 2 2 9 2 3" xfId="33983" xr:uid="{75C21BC3-AC3F-440A-962B-595A467B218C}"/>
    <cellStyle name="Normal 8 2 2 9 2 4" xfId="42430" xr:uid="{4FC8B4D9-B0A8-4349-94E2-9BF441A0848E}"/>
    <cellStyle name="Normal 8 2 2 9 2 5" xfId="16236" xr:uid="{854363E9-44FF-44FC-ADBC-D5914F6A96F1}"/>
    <cellStyle name="Normal 8 2 2 9 3" xfId="21319" xr:uid="{BD620BF7-D6F3-4DD8-B094-A239208D6BAD}"/>
    <cellStyle name="Normal 8 2 2 9 4" xfId="29766" xr:uid="{3E64CC14-E8AB-4366-9EFC-66C108D1AB93}"/>
    <cellStyle name="Normal 8 2 2 9 5" xfId="38213" xr:uid="{505D44D7-98DC-4C72-877F-01D0F9BB3465}"/>
    <cellStyle name="Normal 8 2 2 9 6" xfId="12019" xr:uid="{A516A888-17E1-4A35-B930-D4412FD865D4}"/>
    <cellStyle name="Normal 8 2 3" xfId="488" xr:uid="{00000000-0005-0000-0000-0000931C0000}"/>
    <cellStyle name="Normal 8 2 3 10" xfId="8835" xr:uid="{2F0FB8B3-D08B-41EB-93AB-2D83A1BD6036}"/>
    <cellStyle name="Normal 8 2 3 10 2" xfId="18159" xr:uid="{202B543E-1AF7-48DE-8F7B-1FD01ABCF2F7}"/>
    <cellStyle name="Normal 8 2 3 11" xfId="19262" xr:uid="{7FEDCC53-7DEC-40CE-9FE5-8410A07186F9}"/>
    <cellStyle name="Normal 8 2 3 12" xfId="27709" xr:uid="{4CA55AB3-FF51-4B41-BA37-AF2D72F7B45F}"/>
    <cellStyle name="Normal 8 2 3 13" xfId="36156" xr:uid="{ABDADF7A-2A60-4F7B-A6CD-516F2CF4F1E3}"/>
    <cellStyle name="Normal 8 2 3 14" xfId="9962" xr:uid="{963403DF-4698-476F-BD0F-3129E5093808}"/>
    <cellStyle name="Normal 8 2 3 2" xfId="489" xr:uid="{00000000-0005-0000-0000-0000941C0000}"/>
    <cellStyle name="Normal 8 2 3 2 10" xfId="19263" xr:uid="{11F77B9B-1DA0-4238-87DF-E04DDC7BBFCB}"/>
    <cellStyle name="Normal 8 2 3 2 11" xfId="27710" xr:uid="{A851CE7F-E02C-4B61-8FC1-1876D4032801}"/>
    <cellStyle name="Normal 8 2 3 2 12" xfId="36157" xr:uid="{72AF4E0F-CDCA-4C82-895D-F45A5BBB19A4}"/>
    <cellStyle name="Normal 8 2 3 2 13" xfId="9963" xr:uid="{19F0A13D-E660-41A0-B92C-212B16EAAA09}"/>
    <cellStyle name="Normal 8 2 3 2 2" xfId="490" xr:uid="{00000000-0005-0000-0000-0000951C0000}"/>
    <cellStyle name="Normal 8 2 3 2 2 10" xfId="27711" xr:uid="{1175E238-333E-4AF7-8697-124263A6F74E}"/>
    <cellStyle name="Normal 8 2 3 2 2 11" xfId="36158" xr:uid="{FACC9E89-190D-41D2-B7A0-A34FEF0059B9}"/>
    <cellStyle name="Normal 8 2 3 2 2 12" xfId="9964" xr:uid="{CDD804E3-2176-4016-A9FE-2537A687050D}"/>
    <cellStyle name="Normal 8 2 3 2 2 2" xfId="957" xr:uid="{00000000-0005-0000-0000-0000961C0000}"/>
    <cellStyle name="Normal 8 2 3 2 2 2 2" xfId="3191" xr:uid="{00000000-0005-0000-0000-0000971C0000}"/>
    <cellStyle name="Normal 8 2 3 2 2 2 2 2" xfId="7413" xr:uid="{00000000-0005-0000-0000-0000981C0000}"/>
    <cellStyle name="Normal 8 2 3 2 2 2 2 2 2" xfId="26039" xr:uid="{0CD04A1B-9EB9-40C2-B11C-5937489C9038}"/>
    <cellStyle name="Normal 8 2 3 2 2 2 2 2 3" xfId="34486" xr:uid="{E35D3608-7CF9-4BD8-A178-AE7894809651}"/>
    <cellStyle name="Normal 8 2 3 2 2 2 2 2 4" xfId="42933" xr:uid="{FFC7BDAF-F9C4-4319-A745-12CABCCB587C}"/>
    <cellStyle name="Normal 8 2 3 2 2 2 2 2 5" xfId="16739" xr:uid="{82F81CF8-5FE3-4F3A-A662-0D64C914D777}"/>
    <cellStyle name="Normal 8 2 3 2 2 2 2 3" xfId="21822" xr:uid="{6BE1EAED-9E96-4E0B-8DED-017ED19A42B8}"/>
    <cellStyle name="Normal 8 2 3 2 2 2 2 4" xfId="30269" xr:uid="{6E61E26F-E055-4007-A9F9-A54BA1E1E6D0}"/>
    <cellStyle name="Normal 8 2 3 2 2 2 2 5" xfId="38716" xr:uid="{D5DAEB22-78D2-4596-835A-EDEF77659E9E}"/>
    <cellStyle name="Normal 8 2 3 2 2 2 2 6" xfId="12522" xr:uid="{370FB854-400F-4556-8244-BC7265C3FE1B}"/>
    <cellStyle name="Normal 8 2 3 2 2 2 3" xfId="5268" xr:uid="{00000000-0005-0000-0000-0000991C0000}"/>
    <cellStyle name="Normal 8 2 3 2 2 2 3 2" xfId="23894" xr:uid="{AB09088C-EE8E-4348-A6F0-D82AAE6D3288}"/>
    <cellStyle name="Normal 8 2 3 2 2 2 3 3" xfId="32341" xr:uid="{CCF07136-2751-49EA-9A6B-31F7486CBF22}"/>
    <cellStyle name="Normal 8 2 3 2 2 2 3 4" xfId="40788" xr:uid="{BC0E3B4C-09E5-45CE-9725-57529313369B}"/>
    <cellStyle name="Normal 8 2 3 2 2 2 3 5" xfId="14594" xr:uid="{4838EB72-D161-4B1B-BCA9-6642739815F2}"/>
    <cellStyle name="Normal 8 2 3 2 2 2 4" xfId="9570" xr:uid="{BA9732E0-D9E4-47DB-882D-D871A821FA55}"/>
    <cellStyle name="Normal 8 2 3 2 2 2 4 2" xfId="18886" xr:uid="{181B9CB7-1CEE-4AEB-9892-CC0AEDA7B75B}"/>
    <cellStyle name="Normal 8 2 3 2 2 2 5" xfId="19677" xr:uid="{9F082B69-86B1-4FE8-8BC7-8D272B95DB90}"/>
    <cellStyle name="Normal 8 2 3 2 2 2 6" xfId="28124" xr:uid="{A7E4548D-020A-4A64-A87A-FA2F1E76C484}"/>
    <cellStyle name="Normal 8 2 3 2 2 2 7" xfId="36571" xr:uid="{760607D2-1976-446B-84AC-A9B32FAD8D70}"/>
    <cellStyle name="Normal 8 2 3 2 2 2 8" xfId="10377" xr:uid="{3DDA1B2A-FDFD-4E97-855F-11B592E8F711}"/>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2 2 2" xfId="26452" xr:uid="{6952C848-B191-4E1B-ACF4-6BA9B5623EFC}"/>
    <cellStyle name="Normal 8 2 3 2 2 3 2 2 3" xfId="34899" xr:uid="{B4EE6960-C100-4EE2-AB14-4D30374063F7}"/>
    <cellStyle name="Normal 8 2 3 2 2 3 2 2 4" xfId="43346" xr:uid="{32170171-131C-497C-9B25-C22A88979ACB}"/>
    <cellStyle name="Normal 8 2 3 2 2 3 2 2 5" xfId="17152" xr:uid="{0D23BCC7-1F52-4CD0-8F13-7392E075420D}"/>
    <cellStyle name="Normal 8 2 3 2 2 3 2 3" xfId="22235" xr:uid="{945A1CCE-4DEF-4639-8663-D79F40C49D96}"/>
    <cellStyle name="Normal 8 2 3 2 2 3 2 4" xfId="30682" xr:uid="{11AFF65C-E54D-4C8B-A2A7-BD30EE82AAFB}"/>
    <cellStyle name="Normal 8 2 3 2 2 3 2 5" xfId="39129" xr:uid="{2C1B009A-8871-41FF-A342-A88660FABEC0}"/>
    <cellStyle name="Normal 8 2 3 2 2 3 2 6" xfId="12935" xr:uid="{A3560202-1088-4719-9B9F-532482532B47}"/>
    <cellStyle name="Normal 8 2 3 2 2 3 3" xfId="5681" xr:uid="{00000000-0005-0000-0000-00009D1C0000}"/>
    <cellStyle name="Normal 8 2 3 2 2 3 3 2" xfId="24307" xr:uid="{973A6E93-3ADE-4702-8DBF-AE18CAD7BAD9}"/>
    <cellStyle name="Normal 8 2 3 2 2 3 3 3" xfId="32754" xr:uid="{22349DC4-B6F8-49C0-B075-D38B3A6FFA6B}"/>
    <cellStyle name="Normal 8 2 3 2 2 3 3 4" xfId="41201" xr:uid="{DD9321A5-BDF7-40D7-94E6-1D580EA188AC}"/>
    <cellStyle name="Normal 8 2 3 2 2 3 3 5" xfId="15007" xr:uid="{07B66163-172D-4CBB-8050-4F29FA594A69}"/>
    <cellStyle name="Normal 8 2 3 2 2 3 4" xfId="20090" xr:uid="{8CA76BC1-8D44-4DD5-BEE8-E4532B3AE87A}"/>
    <cellStyle name="Normal 8 2 3 2 2 3 5" xfId="28537" xr:uid="{FAA03720-8CAC-49FD-A0BB-A83F4E57A3E7}"/>
    <cellStyle name="Normal 8 2 3 2 2 3 6" xfId="36984" xr:uid="{1F62622F-4773-4451-A8D6-F5E12E800482}"/>
    <cellStyle name="Normal 8 2 3 2 2 3 7" xfId="10790" xr:uid="{24F2CBA9-F201-4AFD-8A40-E59C4BF9AB7C}"/>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2 2 2" xfId="26865" xr:uid="{F35913BF-D311-4B70-A17E-ED076ADC485A}"/>
    <cellStyle name="Normal 8 2 3 2 2 4 2 2 3" xfId="35312" xr:uid="{AC7EEBB6-77DE-442E-8E18-45FD69C24CA3}"/>
    <cellStyle name="Normal 8 2 3 2 2 4 2 2 4" xfId="43759" xr:uid="{4F62E87C-3561-4D96-A1F8-BA0005481503}"/>
    <cellStyle name="Normal 8 2 3 2 2 4 2 2 5" xfId="17565" xr:uid="{54FFB284-6042-41D4-97A8-60F3979F3EEE}"/>
    <cellStyle name="Normal 8 2 3 2 2 4 2 3" xfId="22648" xr:uid="{6161AFC0-11A3-4C17-9E7A-41A2FC9D06DC}"/>
    <cellStyle name="Normal 8 2 3 2 2 4 2 4" xfId="31095" xr:uid="{D2B77268-1E85-4144-847A-FAEEF7B3F81D}"/>
    <cellStyle name="Normal 8 2 3 2 2 4 2 5" xfId="39542" xr:uid="{14E09A81-F6AD-4ACA-A22D-D7E4E258C23B}"/>
    <cellStyle name="Normal 8 2 3 2 2 4 2 6" xfId="13348" xr:uid="{3034E640-6968-4191-9B67-487037848043}"/>
    <cellStyle name="Normal 8 2 3 2 2 4 3" xfId="6094" xr:uid="{00000000-0005-0000-0000-0000A11C0000}"/>
    <cellStyle name="Normal 8 2 3 2 2 4 3 2" xfId="24720" xr:uid="{4F6B6D55-6D1E-4FC4-8119-306A93F17A7E}"/>
    <cellStyle name="Normal 8 2 3 2 2 4 3 3" xfId="33167" xr:uid="{67D1DC84-5880-4C42-AFE0-F31FC22953F6}"/>
    <cellStyle name="Normal 8 2 3 2 2 4 3 4" xfId="41614" xr:uid="{B8AA8221-5D79-4DA0-9617-459AACC7A1AC}"/>
    <cellStyle name="Normal 8 2 3 2 2 4 3 5" xfId="15420" xr:uid="{9AD89200-083E-4398-9B0A-F3E92023D439}"/>
    <cellStyle name="Normal 8 2 3 2 2 4 4" xfId="20503" xr:uid="{2F284DDD-15B2-4F80-87E1-1E6C3F1C91C9}"/>
    <cellStyle name="Normal 8 2 3 2 2 4 5" xfId="28950" xr:uid="{02A3F028-477D-46FF-B2AF-7C1BF8150554}"/>
    <cellStyle name="Normal 8 2 3 2 2 4 6" xfId="37397" xr:uid="{3DC82DCD-8EA8-4283-8573-E3B1EF4002D9}"/>
    <cellStyle name="Normal 8 2 3 2 2 4 7" xfId="11203" xr:uid="{E883F323-D40A-43E6-B1CD-33707AE1B3C7}"/>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2 2 2" xfId="27278" xr:uid="{740FA13A-DE54-42E8-958B-EB1A3EBE9D1F}"/>
    <cellStyle name="Normal 8 2 3 2 2 5 2 2 3" xfId="35725" xr:uid="{9F77FAE9-2815-43D5-B7CF-806798B76360}"/>
    <cellStyle name="Normal 8 2 3 2 2 5 2 2 4" xfId="44172" xr:uid="{4B76DBEF-7C22-4488-B2D4-60F6F4B95196}"/>
    <cellStyle name="Normal 8 2 3 2 2 5 2 2 5" xfId="17978" xr:uid="{EB890492-C4F9-476A-8035-0EF0B3FB249E}"/>
    <cellStyle name="Normal 8 2 3 2 2 5 2 3" xfId="23061" xr:uid="{C9ABF2F8-848D-44F1-904A-B6CCE0AB8A9A}"/>
    <cellStyle name="Normal 8 2 3 2 2 5 2 4" xfId="31508" xr:uid="{52BA0DE9-39BE-4125-92CC-CC29DBE8F243}"/>
    <cellStyle name="Normal 8 2 3 2 2 5 2 5" xfId="39955" xr:uid="{3582D3F9-90B5-4DD3-AC47-103A17822909}"/>
    <cellStyle name="Normal 8 2 3 2 2 5 2 6" xfId="13761" xr:uid="{F562558C-4A77-4AE0-9A76-65A6A83ED896}"/>
    <cellStyle name="Normal 8 2 3 2 2 5 3" xfId="6507" xr:uid="{00000000-0005-0000-0000-0000A51C0000}"/>
    <cellStyle name="Normal 8 2 3 2 2 5 3 2" xfId="25133" xr:uid="{6429769B-3369-45A7-AE8C-216E0BF54172}"/>
    <cellStyle name="Normal 8 2 3 2 2 5 3 3" xfId="33580" xr:uid="{4005495F-07FD-491A-BF1D-1E9A3FC79465}"/>
    <cellStyle name="Normal 8 2 3 2 2 5 3 4" xfId="42027" xr:uid="{85CFF879-4E54-4FB9-9A6D-2044CA0D0984}"/>
    <cellStyle name="Normal 8 2 3 2 2 5 3 5" xfId="15833" xr:uid="{A56F4A2A-3958-4082-B93D-C3C0DDF72766}"/>
    <cellStyle name="Normal 8 2 3 2 2 5 4" xfId="20916" xr:uid="{B520DC74-8DAC-40B3-87EE-5C41632396AF}"/>
    <cellStyle name="Normal 8 2 3 2 2 5 5" xfId="29363" xr:uid="{06E55931-B1AC-4DDA-8E35-C12BA61BAE5E}"/>
    <cellStyle name="Normal 8 2 3 2 2 5 6" xfId="37810" xr:uid="{1FD53125-E715-4155-B465-1E084593877C}"/>
    <cellStyle name="Normal 8 2 3 2 2 5 7" xfId="11616" xr:uid="{901C3418-9ED4-4A4B-ABBD-BB2CA9DA5946}"/>
    <cellStyle name="Normal 8 2 3 2 2 6" xfId="2637" xr:uid="{00000000-0005-0000-0000-0000A61C0000}"/>
    <cellStyle name="Normal 8 2 3 2 2 6 2" xfId="6920" xr:uid="{00000000-0005-0000-0000-0000A71C0000}"/>
    <cellStyle name="Normal 8 2 3 2 2 6 2 2" xfId="25546" xr:uid="{708C86CE-8075-4FB6-99E9-C3295E257BD0}"/>
    <cellStyle name="Normal 8 2 3 2 2 6 2 3" xfId="33993" xr:uid="{40E83A3C-B886-481D-A97D-23BA7BF4A45A}"/>
    <cellStyle name="Normal 8 2 3 2 2 6 2 4" xfId="42440" xr:uid="{B6BD2E3A-15DC-41C3-9961-CB59ED659163}"/>
    <cellStyle name="Normal 8 2 3 2 2 6 2 5" xfId="16246" xr:uid="{6818DD20-314A-4508-BDE6-1E59F1415479}"/>
    <cellStyle name="Normal 8 2 3 2 2 6 3" xfId="21329" xr:uid="{A8A855CB-4DE8-4328-A6AF-D22F3935D699}"/>
    <cellStyle name="Normal 8 2 3 2 2 6 4" xfId="29776" xr:uid="{AE02509C-04E6-4273-8920-37EA452CDC79}"/>
    <cellStyle name="Normal 8 2 3 2 2 6 5" xfId="38223" xr:uid="{E911EFBD-984D-43A4-9211-34C9D574A0CE}"/>
    <cellStyle name="Normal 8 2 3 2 2 6 6" xfId="12029" xr:uid="{E859619C-E6ED-42D4-8D04-853D9D22DD87}"/>
    <cellStyle name="Normal 8 2 3 2 2 7" xfId="4855" xr:uid="{00000000-0005-0000-0000-0000A81C0000}"/>
    <cellStyle name="Normal 8 2 3 2 2 7 2" xfId="23481" xr:uid="{CA2F66AA-96D5-4512-A803-96DFFBC09B4A}"/>
    <cellStyle name="Normal 8 2 3 2 2 7 3" xfId="31928" xr:uid="{B338725B-512B-4ECF-9BC6-DE1B283494EA}"/>
    <cellStyle name="Normal 8 2 3 2 2 7 4" xfId="40375" xr:uid="{5ACDE7AE-AD81-44EB-90AF-216872A40A4D}"/>
    <cellStyle name="Normal 8 2 3 2 2 7 5" xfId="14181" xr:uid="{1E539E90-36A9-4024-856B-B4F856A20F57}"/>
    <cellStyle name="Normal 8 2 3 2 2 8" xfId="9145" xr:uid="{C71E6005-187D-4837-92B4-619AF06B3A3B}"/>
    <cellStyle name="Normal 8 2 3 2 2 8 2" xfId="18469" xr:uid="{0382B1EF-DBDA-4B7A-BD8D-110D957D5396}"/>
    <cellStyle name="Normal 8 2 3 2 2 9" xfId="19264" xr:uid="{D9045F31-6009-4654-931A-6253F6AA5B28}"/>
    <cellStyle name="Normal 8 2 3 2 3" xfId="956" xr:uid="{00000000-0005-0000-0000-0000A91C0000}"/>
    <cellStyle name="Normal 8 2 3 2 3 2" xfId="3190" xr:uid="{00000000-0005-0000-0000-0000AA1C0000}"/>
    <cellStyle name="Normal 8 2 3 2 3 2 2" xfId="7412" xr:uid="{00000000-0005-0000-0000-0000AB1C0000}"/>
    <cellStyle name="Normal 8 2 3 2 3 2 2 2" xfId="26038" xr:uid="{B81418EA-674C-4753-B611-5A2CBD0D1B86}"/>
    <cellStyle name="Normal 8 2 3 2 3 2 2 3" xfId="34485" xr:uid="{0079CC94-5E52-4E62-B258-2B08DE519812}"/>
    <cellStyle name="Normal 8 2 3 2 3 2 2 4" xfId="42932" xr:uid="{5B501B9A-1E0B-42F5-A952-BEB9FC5CF01D}"/>
    <cellStyle name="Normal 8 2 3 2 3 2 2 5" xfId="16738" xr:uid="{271B6533-5C42-486C-AD09-5966E6613AE1}"/>
    <cellStyle name="Normal 8 2 3 2 3 2 3" xfId="21821" xr:uid="{72DD5A66-7CA2-44E1-B665-60676E97DD01}"/>
    <cellStyle name="Normal 8 2 3 2 3 2 4" xfId="30268" xr:uid="{DF1EC19E-C8E4-4935-A5F3-8C5C9F20E959}"/>
    <cellStyle name="Normal 8 2 3 2 3 2 5" xfId="38715" xr:uid="{719CEC83-522A-43BA-896C-210B192F4F13}"/>
    <cellStyle name="Normal 8 2 3 2 3 2 6" xfId="12521" xr:uid="{892662D2-F60C-4B1A-86B9-0E89280E8625}"/>
    <cellStyle name="Normal 8 2 3 2 3 3" xfId="5267" xr:uid="{00000000-0005-0000-0000-0000AC1C0000}"/>
    <cellStyle name="Normal 8 2 3 2 3 3 2" xfId="23893" xr:uid="{496C788B-221C-4C1E-A8DD-425E32F4F90E}"/>
    <cellStyle name="Normal 8 2 3 2 3 3 3" xfId="32340" xr:uid="{C970E262-1B34-4DA9-9F0A-96388F80D1AD}"/>
    <cellStyle name="Normal 8 2 3 2 3 3 4" xfId="40787" xr:uid="{A61EE23C-C8D2-4E91-A4CB-D92ECB971B87}"/>
    <cellStyle name="Normal 8 2 3 2 3 3 5" xfId="14593" xr:uid="{AD528C8C-F42A-400C-B0E9-A1E3A7D843F4}"/>
    <cellStyle name="Normal 8 2 3 2 3 4" xfId="9363" xr:uid="{C94C6C98-A8BC-4AC9-B084-0D2219E89AA8}"/>
    <cellStyle name="Normal 8 2 3 2 3 4 2" xfId="18679" xr:uid="{94C841D4-8CA2-4957-BF03-50D9A4CAF0E1}"/>
    <cellStyle name="Normal 8 2 3 2 3 5" xfId="19676" xr:uid="{6386BF47-E2A0-4A2C-9EC9-3284C629B690}"/>
    <cellStyle name="Normal 8 2 3 2 3 6" xfId="28123" xr:uid="{7E6EC24E-E618-4BF6-8B93-6C1AD4A0720C}"/>
    <cellStyle name="Normal 8 2 3 2 3 7" xfId="36570" xr:uid="{23589B38-AB28-40D1-B476-C8740E0AC439}"/>
    <cellStyle name="Normal 8 2 3 2 3 8" xfId="10376" xr:uid="{B8B85669-8CFD-4020-9421-D88883F5B8F3}"/>
    <cellStyle name="Normal 8 2 3 2 4" xfId="1373" xr:uid="{00000000-0005-0000-0000-0000AD1C0000}"/>
    <cellStyle name="Normal 8 2 3 2 4 2" xfId="3603" xr:uid="{00000000-0005-0000-0000-0000AE1C0000}"/>
    <cellStyle name="Normal 8 2 3 2 4 2 2" xfId="7825" xr:uid="{00000000-0005-0000-0000-0000AF1C0000}"/>
    <cellStyle name="Normal 8 2 3 2 4 2 2 2" xfId="26451" xr:uid="{9049D3EE-6CC7-4A8C-8B2D-5317C7E1E5B0}"/>
    <cellStyle name="Normal 8 2 3 2 4 2 2 3" xfId="34898" xr:uid="{4A6F0FD6-08FE-4319-80DE-26510EBC1569}"/>
    <cellStyle name="Normal 8 2 3 2 4 2 2 4" xfId="43345" xr:uid="{21B02BF6-3DB3-482C-BBF5-D9CA0907AAFB}"/>
    <cellStyle name="Normal 8 2 3 2 4 2 2 5" xfId="17151" xr:uid="{789F2257-9218-441F-A3F9-1773940FEF6E}"/>
    <cellStyle name="Normal 8 2 3 2 4 2 3" xfId="22234" xr:uid="{12DCA33B-1000-43D8-99DB-7517B6683C53}"/>
    <cellStyle name="Normal 8 2 3 2 4 2 4" xfId="30681" xr:uid="{6B3508AD-C1C1-4CFC-8766-CF099E1B4ADD}"/>
    <cellStyle name="Normal 8 2 3 2 4 2 5" xfId="39128" xr:uid="{E369CB16-71ED-4432-894B-417390EA1EAB}"/>
    <cellStyle name="Normal 8 2 3 2 4 2 6" xfId="12934" xr:uid="{BEFA6D59-59D9-451D-AE33-1D02F409430A}"/>
    <cellStyle name="Normal 8 2 3 2 4 3" xfId="5680" xr:uid="{00000000-0005-0000-0000-0000B01C0000}"/>
    <cellStyle name="Normal 8 2 3 2 4 3 2" xfId="24306" xr:uid="{88DDAB47-4705-4B7C-A4DC-B811CECCC3A2}"/>
    <cellStyle name="Normal 8 2 3 2 4 3 3" xfId="32753" xr:uid="{762CED1D-E4C4-4331-9A16-600AF9811E13}"/>
    <cellStyle name="Normal 8 2 3 2 4 3 4" xfId="41200" xr:uid="{2407A424-298B-455A-882B-AA2691F21E46}"/>
    <cellStyle name="Normal 8 2 3 2 4 3 5" xfId="15006" xr:uid="{4A4A82B4-6276-45E9-AF73-DE7D2A7A6CF2}"/>
    <cellStyle name="Normal 8 2 3 2 4 4" xfId="20089" xr:uid="{ED3068EC-5788-442E-A722-FEF95C8BD6DE}"/>
    <cellStyle name="Normal 8 2 3 2 4 5" xfId="28536" xr:uid="{3588CB4F-1760-4CDE-ABAC-B81C23E7E767}"/>
    <cellStyle name="Normal 8 2 3 2 4 6" xfId="36983" xr:uid="{7A11AA72-1205-4F84-8A39-A96F68F02559}"/>
    <cellStyle name="Normal 8 2 3 2 4 7" xfId="10789" xr:uid="{C5C28A38-A0C0-4354-926C-503A5A07F342}"/>
    <cellStyle name="Normal 8 2 3 2 5" xfId="1786" xr:uid="{00000000-0005-0000-0000-0000B11C0000}"/>
    <cellStyle name="Normal 8 2 3 2 5 2" xfId="4016" xr:uid="{00000000-0005-0000-0000-0000B21C0000}"/>
    <cellStyle name="Normal 8 2 3 2 5 2 2" xfId="8238" xr:uid="{00000000-0005-0000-0000-0000B31C0000}"/>
    <cellStyle name="Normal 8 2 3 2 5 2 2 2" xfId="26864" xr:uid="{C0E10FF5-0FAC-4805-B829-ED4CFC3ED351}"/>
    <cellStyle name="Normal 8 2 3 2 5 2 2 3" xfId="35311" xr:uid="{0BF8BFB4-4AFD-4403-8E3D-EC61E0AC45CC}"/>
    <cellStyle name="Normal 8 2 3 2 5 2 2 4" xfId="43758" xr:uid="{9F9FA9C2-5596-43DB-876F-8910F6656D88}"/>
    <cellStyle name="Normal 8 2 3 2 5 2 2 5" xfId="17564" xr:uid="{AE095C47-7C59-4B91-BFA6-EC6819F08F26}"/>
    <cellStyle name="Normal 8 2 3 2 5 2 3" xfId="22647" xr:uid="{77A330B2-847A-4879-BC59-1632EB497614}"/>
    <cellStyle name="Normal 8 2 3 2 5 2 4" xfId="31094" xr:uid="{B7EA18A7-91C7-4775-BDD8-9B974F28D35B}"/>
    <cellStyle name="Normal 8 2 3 2 5 2 5" xfId="39541" xr:uid="{4F62CE0C-36C1-4A69-B79E-DD6EA9F1985A}"/>
    <cellStyle name="Normal 8 2 3 2 5 2 6" xfId="13347" xr:uid="{A580C6A1-91D5-4590-95A2-FBB877649589}"/>
    <cellStyle name="Normal 8 2 3 2 5 3" xfId="6093" xr:uid="{00000000-0005-0000-0000-0000B41C0000}"/>
    <cellStyle name="Normal 8 2 3 2 5 3 2" xfId="24719" xr:uid="{77FC34A5-5D8A-4BE3-808E-154A9699DFC1}"/>
    <cellStyle name="Normal 8 2 3 2 5 3 3" xfId="33166" xr:uid="{02978FA5-EB84-4D9C-9D27-E5C7CC332122}"/>
    <cellStyle name="Normal 8 2 3 2 5 3 4" xfId="41613" xr:uid="{BE087545-04E0-4541-8531-CE0B24964177}"/>
    <cellStyle name="Normal 8 2 3 2 5 3 5" xfId="15419" xr:uid="{80349E35-DC5E-4D37-9244-FE64E5FED99C}"/>
    <cellStyle name="Normal 8 2 3 2 5 4" xfId="20502" xr:uid="{BEBF12FA-0D5B-4817-AC36-1BA7AC396478}"/>
    <cellStyle name="Normal 8 2 3 2 5 5" xfId="28949" xr:uid="{1914C23C-DA6D-4A21-B521-207B37AD1FCC}"/>
    <cellStyle name="Normal 8 2 3 2 5 6" xfId="37396" xr:uid="{82DC719C-EAA4-45FA-BDED-54B1A0380440}"/>
    <cellStyle name="Normal 8 2 3 2 5 7" xfId="11202" xr:uid="{2B95A335-5495-42D0-A343-03648A166D3B}"/>
    <cellStyle name="Normal 8 2 3 2 6" xfId="2200" xr:uid="{00000000-0005-0000-0000-0000B51C0000}"/>
    <cellStyle name="Normal 8 2 3 2 6 2" xfId="4429" xr:uid="{00000000-0005-0000-0000-0000B61C0000}"/>
    <cellStyle name="Normal 8 2 3 2 6 2 2" xfId="8651" xr:uid="{00000000-0005-0000-0000-0000B71C0000}"/>
    <cellStyle name="Normal 8 2 3 2 6 2 2 2" xfId="27277" xr:uid="{27F32413-85D6-4EA0-98C8-A675C4937AF4}"/>
    <cellStyle name="Normal 8 2 3 2 6 2 2 3" xfId="35724" xr:uid="{73D4503C-4E56-445B-B251-6206CEFEF63D}"/>
    <cellStyle name="Normal 8 2 3 2 6 2 2 4" xfId="44171" xr:uid="{7356571F-0409-487F-8218-6AD77F17B1E3}"/>
    <cellStyle name="Normal 8 2 3 2 6 2 2 5" xfId="17977" xr:uid="{36DAA831-7B84-456C-8324-5810C006260C}"/>
    <cellStyle name="Normal 8 2 3 2 6 2 3" xfId="23060" xr:uid="{BC256064-B150-45F6-AEA0-1482054EEFE2}"/>
    <cellStyle name="Normal 8 2 3 2 6 2 4" xfId="31507" xr:uid="{9E033233-8C63-44B0-9924-D93124179B06}"/>
    <cellStyle name="Normal 8 2 3 2 6 2 5" xfId="39954" xr:uid="{476A2F48-01A0-409F-B993-6E2111BC5CAB}"/>
    <cellStyle name="Normal 8 2 3 2 6 2 6" xfId="13760" xr:uid="{89E2AA2A-EE0D-4023-AE23-3C8E3930683B}"/>
    <cellStyle name="Normal 8 2 3 2 6 3" xfId="6506" xr:uid="{00000000-0005-0000-0000-0000B81C0000}"/>
    <cellStyle name="Normal 8 2 3 2 6 3 2" xfId="25132" xr:uid="{FD1E1356-3E6C-4BE4-B417-6A69D8290700}"/>
    <cellStyle name="Normal 8 2 3 2 6 3 3" xfId="33579" xr:uid="{12016137-55A1-47A9-858C-F7A76F22B694}"/>
    <cellStyle name="Normal 8 2 3 2 6 3 4" xfId="42026" xr:uid="{BEC51503-FB90-4B13-AF71-4585A20EC4B2}"/>
    <cellStyle name="Normal 8 2 3 2 6 3 5" xfId="15832" xr:uid="{41580CA8-AE59-4DDB-B876-12840D6E9C62}"/>
    <cellStyle name="Normal 8 2 3 2 6 4" xfId="20915" xr:uid="{93B8017E-63B7-44C1-B2D7-EB0BD5A4F756}"/>
    <cellStyle name="Normal 8 2 3 2 6 5" xfId="29362" xr:uid="{2091F9E3-464D-441F-A6E2-867BFDE4FB86}"/>
    <cellStyle name="Normal 8 2 3 2 6 6" xfId="37809" xr:uid="{C7EB2909-10EC-4E9A-879E-DA45FD06C879}"/>
    <cellStyle name="Normal 8 2 3 2 6 7" xfId="11615" xr:uid="{0A7A8894-BD48-45D1-9459-B28721483623}"/>
    <cellStyle name="Normal 8 2 3 2 7" xfId="2636" xr:uid="{00000000-0005-0000-0000-0000B91C0000}"/>
    <cellStyle name="Normal 8 2 3 2 7 2" xfId="6919" xr:uid="{00000000-0005-0000-0000-0000BA1C0000}"/>
    <cellStyle name="Normal 8 2 3 2 7 2 2" xfId="25545" xr:uid="{FB7493BA-9FBB-4C4D-A3E4-2A69457BC975}"/>
    <cellStyle name="Normal 8 2 3 2 7 2 3" xfId="33992" xr:uid="{3002E1AD-5AB3-4188-AFA0-90F54D8CB3C3}"/>
    <cellStyle name="Normal 8 2 3 2 7 2 4" xfId="42439" xr:uid="{4708A98A-3654-4048-8E05-479518652B3B}"/>
    <cellStyle name="Normal 8 2 3 2 7 2 5" xfId="16245" xr:uid="{ED50B20A-C591-4FFC-94A0-6D8CD16E41F6}"/>
    <cellStyle name="Normal 8 2 3 2 7 3" xfId="21328" xr:uid="{936DEDED-01B3-4E46-9DDD-19E618447D3D}"/>
    <cellStyle name="Normal 8 2 3 2 7 4" xfId="29775" xr:uid="{C5C65637-2AA7-49CC-8F54-EE69B261DB6C}"/>
    <cellStyle name="Normal 8 2 3 2 7 5" xfId="38222" xr:uid="{B1954CF9-052D-43CE-BAD7-3E780659C79A}"/>
    <cellStyle name="Normal 8 2 3 2 7 6" xfId="12028" xr:uid="{261B2085-0D22-4379-91DC-E05E000B9684}"/>
    <cellStyle name="Normal 8 2 3 2 8" xfId="4854" xr:uid="{00000000-0005-0000-0000-0000BB1C0000}"/>
    <cellStyle name="Normal 8 2 3 2 8 2" xfId="23480" xr:uid="{FE402F95-D277-4247-9982-4D38D050BF31}"/>
    <cellStyle name="Normal 8 2 3 2 8 3" xfId="31927" xr:uid="{48F53666-66C1-4701-BE05-2ACF1894261B}"/>
    <cellStyle name="Normal 8 2 3 2 8 4" xfId="40374" xr:uid="{9F9B6F10-8EBF-4AFF-9E91-3778B91906BF}"/>
    <cellStyle name="Normal 8 2 3 2 8 5" xfId="14180" xr:uid="{0C0DD0BA-1BF4-420A-AE73-B4E6D3FA7C69}"/>
    <cellStyle name="Normal 8 2 3 2 9" xfId="8938" xr:uid="{1EAF77CE-4DC3-40DC-AA9D-31320D478EE9}"/>
    <cellStyle name="Normal 8 2 3 2 9 2" xfId="18262" xr:uid="{98301439-3DF3-4659-91E0-34CE9B0FC4A5}"/>
    <cellStyle name="Normal 8 2 3 3" xfId="491" xr:uid="{00000000-0005-0000-0000-0000BC1C0000}"/>
    <cellStyle name="Normal 8 2 3 3 10" xfId="27712" xr:uid="{E87168A0-282E-4A7C-AE1B-566B22E3B977}"/>
    <cellStyle name="Normal 8 2 3 3 11" xfId="36159" xr:uid="{456F6D94-2698-4C62-8C7A-B8C574AE8C72}"/>
    <cellStyle name="Normal 8 2 3 3 12" xfId="9965" xr:uid="{820097D2-7603-4486-A771-4A8FA6C2A7DF}"/>
    <cellStyle name="Normal 8 2 3 3 2" xfId="958" xr:uid="{00000000-0005-0000-0000-0000BD1C0000}"/>
    <cellStyle name="Normal 8 2 3 3 2 2" xfId="3192" xr:uid="{00000000-0005-0000-0000-0000BE1C0000}"/>
    <cellStyle name="Normal 8 2 3 3 2 2 2" xfId="7414" xr:uid="{00000000-0005-0000-0000-0000BF1C0000}"/>
    <cellStyle name="Normal 8 2 3 3 2 2 2 2" xfId="26040" xr:uid="{794DAF4F-41E9-4A65-B3CA-81D71D33360F}"/>
    <cellStyle name="Normal 8 2 3 3 2 2 2 3" xfId="34487" xr:uid="{94C2B14A-0998-492D-9285-6DBDE543B1D8}"/>
    <cellStyle name="Normal 8 2 3 3 2 2 2 4" xfId="42934" xr:uid="{584E6493-8D2A-49DF-9A40-36F436915C1B}"/>
    <cellStyle name="Normal 8 2 3 3 2 2 2 5" xfId="16740" xr:uid="{9085674E-7D20-476C-853B-4D29DB740AA1}"/>
    <cellStyle name="Normal 8 2 3 3 2 2 3" xfId="21823" xr:uid="{1A7B7EAC-3CE3-49CE-9EED-AF67E2C4F1C8}"/>
    <cellStyle name="Normal 8 2 3 3 2 2 4" xfId="30270" xr:uid="{AA2E6AB2-673F-4E27-B7F8-2D25E2D744B9}"/>
    <cellStyle name="Normal 8 2 3 3 2 2 5" xfId="38717" xr:uid="{8CA5586D-7FE6-4DF4-AD90-928E6148C9CC}"/>
    <cellStyle name="Normal 8 2 3 3 2 2 6" xfId="12523" xr:uid="{5C9FB527-0D69-49D6-9403-B713FD289FB1}"/>
    <cellStyle name="Normal 8 2 3 3 2 3" xfId="5269" xr:uid="{00000000-0005-0000-0000-0000C01C0000}"/>
    <cellStyle name="Normal 8 2 3 3 2 3 2" xfId="23895" xr:uid="{5102F4F7-C8D8-4D5B-A83A-BE328B21089B}"/>
    <cellStyle name="Normal 8 2 3 3 2 3 3" xfId="32342" xr:uid="{08AE9AE0-187C-4960-B862-E46AD7D78932}"/>
    <cellStyle name="Normal 8 2 3 3 2 3 4" xfId="40789" xr:uid="{A69E5835-8A07-4285-9F7B-672CBBCA4083}"/>
    <cellStyle name="Normal 8 2 3 3 2 3 5" xfId="14595" xr:uid="{0349FEEE-136A-43D2-B080-596D06B77FBD}"/>
    <cellStyle name="Normal 8 2 3 3 2 4" xfId="9467" xr:uid="{C16001D7-8508-4511-808F-E990F8EA0FE3}"/>
    <cellStyle name="Normal 8 2 3 3 2 4 2" xfId="18783" xr:uid="{9D8C6A24-C702-4B64-9FEE-E83C32507CC9}"/>
    <cellStyle name="Normal 8 2 3 3 2 5" xfId="19678" xr:uid="{63C6036C-2B24-488C-9C4A-F08BCB2A9227}"/>
    <cellStyle name="Normal 8 2 3 3 2 6" xfId="28125" xr:uid="{8979C463-1FEA-4181-9D5B-3D795F2DFFB2}"/>
    <cellStyle name="Normal 8 2 3 3 2 7" xfId="36572" xr:uid="{EF7F4B30-99DF-4570-8593-0CDBBF3779B2}"/>
    <cellStyle name="Normal 8 2 3 3 2 8" xfId="10378" xr:uid="{D9668C0F-CDCD-41E9-81AA-1A576A4DA29C}"/>
    <cellStyle name="Normal 8 2 3 3 3" xfId="1375" xr:uid="{00000000-0005-0000-0000-0000C11C0000}"/>
    <cellStyle name="Normal 8 2 3 3 3 2" xfId="3605" xr:uid="{00000000-0005-0000-0000-0000C21C0000}"/>
    <cellStyle name="Normal 8 2 3 3 3 2 2" xfId="7827" xr:uid="{00000000-0005-0000-0000-0000C31C0000}"/>
    <cellStyle name="Normal 8 2 3 3 3 2 2 2" xfId="26453" xr:uid="{E565861E-CE21-4285-87CB-E202EF1A27A4}"/>
    <cellStyle name="Normal 8 2 3 3 3 2 2 3" xfId="34900" xr:uid="{4CB9F262-AE96-4E48-A9AE-62520477AB74}"/>
    <cellStyle name="Normal 8 2 3 3 3 2 2 4" xfId="43347" xr:uid="{40E629CB-DF6D-4C67-8330-3DC21D0F22A7}"/>
    <cellStyle name="Normal 8 2 3 3 3 2 2 5" xfId="17153" xr:uid="{54E7E85A-34D7-45AE-87A6-98A3D2ECC0E7}"/>
    <cellStyle name="Normal 8 2 3 3 3 2 3" xfId="22236" xr:uid="{CBED00B5-511E-44A0-84D2-531B56B11ACC}"/>
    <cellStyle name="Normal 8 2 3 3 3 2 4" xfId="30683" xr:uid="{E5499362-D2F1-425C-9388-9275E6E7297F}"/>
    <cellStyle name="Normal 8 2 3 3 3 2 5" xfId="39130" xr:uid="{2709668C-FE16-4D3F-B960-65DE8B0723AF}"/>
    <cellStyle name="Normal 8 2 3 3 3 2 6" xfId="12936" xr:uid="{89B9EB7C-6916-4CAF-A2DC-947CF3AABCDC}"/>
    <cellStyle name="Normal 8 2 3 3 3 3" xfId="5682" xr:uid="{00000000-0005-0000-0000-0000C41C0000}"/>
    <cellStyle name="Normal 8 2 3 3 3 3 2" xfId="24308" xr:uid="{19E96345-76BA-4E37-AA0D-5474EBA7C080}"/>
    <cellStyle name="Normal 8 2 3 3 3 3 3" xfId="32755" xr:uid="{AC790722-1930-49C4-94E7-B2C9A77EB56B}"/>
    <cellStyle name="Normal 8 2 3 3 3 3 4" xfId="41202" xr:uid="{0829EB09-A7CD-4A3B-AFB0-7A4AAC8410F2}"/>
    <cellStyle name="Normal 8 2 3 3 3 3 5" xfId="15008" xr:uid="{A4425C73-1A4E-40DB-9B67-45CCC0386EB7}"/>
    <cellStyle name="Normal 8 2 3 3 3 4" xfId="20091" xr:uid="{F5406984-91F5-402C-8F6B-9B82632DDB8E}"/>
    <cellStyle name="Normal 8 2 3 3 3 5" xfId="28538" xr:uid="{DADF12C4-9F1F-454C-BEB6-51A76F5CF9B1}"/>
    <cellStyle name="Normal 8 2 3 3 3 6" xfId="36985" xr:uid="{F8CFCC83-7CED-4FE0-A6A0-ACC5DFEAFBE8}"/>
    <cellStyle name="Normal 8 2 3 3 3 7" xfId="10791" xr:uid="{CF830827-12F1-47EC-817E-74BD74260195}"/>
    <cellStyle name="Normal 8 2 3 3 4" xfId="1788" xr:uid="{00000000-0005-0000-0000-0000C51C0000}"/>
    <cellStyle name="Normal 8 2 3 3 4 2" xfId="4018" xr:uid="{00000000-0005-0000-0000-0000C61C0000}"/>
    <cellStyle name="Normal 8 2 3 3 4 2 2" xfId="8240" xr:uid="{00000000-0005-0000-0000-0000C71C0000}"/>
    <cellStyle name="Normal 8 2 3 3 4 2 2 2" xfId="26866" xr:uid="{9345C3DF-B5E4-4D83-AB03-7BC14383E02E}"/>
    <cellStyle name="Normal 8 2 3 3 4 2 2 3" xfId="35313" xr:uid="{640C6D11-6BBD-40A5-BCB6-0D494E67EA3B}"/>
    <cellStyle name="Normal 8 2 3 3 4 2 2 4" xfId="43760" xr:uid="{E8C6F92C-DC83-496A-9BF2-7DA7092CB2FA}"/>
    <cellStyle name="Normal 8 2 3 3 4 2 2 5" xfId="17566" xr:uid="{1F1040C9-1277-413C-B591-A8F4C5B90FB3}"/>
    <cellStyle name="Normal 8 2 3 3 4 2 3" xfId="22649" xr:uid="{C428E7FD-E8D7-4691-A4B8-4D89F8F6C7E2}"/>
    <cellStyle name="Normal 8 2 3 3 4 2 4" xfId="31096" xr:uid="{BBB2C24D-922B-4E60-B8B9-9B5311CDBF92}"/>
    <cellStyle name="Normal 8 2 3 3 4 2 5" xfId="39543" xr:uid="{1D32C99F-630E-4B27-9A2C-B4B1555143A1}"/>
    <cellStyle name="Normal 8 2 3 3 4 2 6" xfId="13349" xr:uid="{39351B9C-690F-4C20-BEC6-A0760B8BE03F}"/>
    <cellStyle name="Normal 8 2 3 3 4 3" xfId="6095" xr:uid="{00000000-0005-0000-0000-0000C81C0000}"/>
    <cellStyle name="Normal 8 2 3 3 4 3 2" xfId="24721" xr:uid="{393C195F-BCDB-44FC-9574-524DE8AF8EE3}"/>
    <cellStyle name="Normal 8 2 3 3 4 3 3" xfId="33168" xr:uid="{B1D0B497-A1EF-407B-8677-A39BB947F954}"/>
    <cellStyle name="Normal 8 2 3 3 4 3 4" xfId="41615" xr:uid="{8C3FB25F-0ED3-471C-8784-9DA05689F09C}"/>
    <cellStyle name="Normal 8 2 3 3 4 3 5" xfId="15421" xr:uid="{F5068CF7-4923-4A0E-BF4D-867ED0B76A6C}"/>
    <cellStyle name="Normal 8 2 3 3 4 4" xfId="20504" xr:uid="{D468A5F9-34C7-44C5-84D2-23FD183A9D3C}"/>
    <cellStyle name="Normal 8 2 3 3 4 5" xfId="28951" xr:uid="{9D26974A-1F3B-480F-9863-CEF1A59F553A}"/>
    <cellStyle name="Normal 8 2 3 3 4 6" xfId="37398" xr:uid="{6B78B340-DE90-4096-8A83-BF7D252A1BEF}"/>
    <cellStyle name="Normal 8 2 3 3 4 7" xfId="11204" xr:uid="{ED72D102-2B0F-4478-B72F-E2D80B2D6641}"/>
    <cellStyle name="Normal 8 2 3 3 5" xfId="2202" xr:uid="{00000000-0005-0000-0000-0000C91C0000}"/>
    <cellStyle name="Normal 8 2 3 3 5 2" xfId="4431" xr:uid="{00000000-0005-0000-0000-0000CA1C0000}"/>
    <cellStyle name="Normal 8 2 3 3 5 2 2" xfId="8653" xr:uid="{00000000-0005-0000-0000-0000CB1C0000}"/>
    <cellStyle name="Normal 8 2 3 3 5 2 2 2" xfId="27279" xr:uid="{7AFB31C2-3B03-441C-AC3C-3E59EC7F0C6F}"/>
    <cellStyle name="Normal 8 2 3 3 5 2 2 3" xfId="35726" xr:uid="{BF64D2E2-CC5D-4AA2-ACE3-5027D595B537}"/>
    <cellStyle name="Normal 8 2 3 3 5 2 2 4" xfId="44173" xr:uid="{3157BD57-DFC8-4F8E-AE5E-058A68D6F0E3}"/>
    <cellStyle name="Normal 8 2 3 3 5 2 2 5" xfId="17979" xr:uid="{45A748CC-4185-4AD1-8ED0-02C0F3402FE8}"/>
    <cellStyle name="Normal 8 2 3 3 5 2 3" xfId="23062" xr:uid="{83D81370-DB87-426D-98A3-B2511AA77141}"/>
    <cellStyle name="Normal 8 2 3 3 5 2 4" xfId="31509" xr:uid="{C185BE67-D7FF-41DE-9857-D3EA9D970A84}"/>
    <cellStyle name="Normal 8 2 3 3 5 2 5" xfId="39956" xr:uid="{DF5B6E00-DFCB-48C9-B6ED-01F3FFBB78E0}"/>
    <cellStyle name="Normal 8 2 3 3 5 2 6" xfId="13762" xr:uid="{FE167F3E-1770-4CED-BC18-5E529581B15F}"/>
    <cellStyle name="Normal 8 2 3 3 5 3" xfId="6508" xr:uid="{00000000-0005-0000-0000-0000CC1C0000}"/>
    <cellStyle name="Normal 8 2 3 3 5 3 2" xfId="25134" xr:uid="{4BAA1A5C-AD34-4A72-A9C1-38E2EA64DF88}"/>
    <cellStyle name="Normal 8 2 3 3 5 3 3" xfId="33581" xr:uid="{E1670E8C-42F2-4F75-BF1E-2B4C8A39B1E5}"/>
    <cellStyle name="Normal 8 2 3 3 5 3 4" xfId="42028" xr:uid="{F902C033-88F0-4374-AC41-787DF3AA62DB}"/>
    <cellStyle name="Normal 8 2 3 3 5 3 5" xfId="15834" xr:uid="{63585407-2E94-46DF-94A3-62650192B3B7}"/>
    <cellStyle name="Normal 8 2 3 3 5 4" xfId="20917" xr:uid="{ED6476D5-C51C-40CD-939B-855E9A0363F2}"/>
    <cellStyle name="Normal 8 2 3 3 5 5" xfId="29364" xr:uid="{07FEDC79-A65B-4079-A0D0-40BF5CC7687D}"/>
    <cellStyle name="Normal 8 2 3 3 5 6" xfId="37811" xr:uid="{92CC1DC4-D5C3-47DC-97F8-E58FE6D92E6E}"/>
    <cellStyle name="Normal 8 2 3 3 5 7" xfId="11617" xr:uid="{1444A679-55D6-4E29-A538-4BF38C7AEED0}"/>
    <cellStyle name="Normal 8 2 3 3 6" xfId="2638" xr:uid="{00000000-0005-0000-0000-0000CD1C0000}"/>
    <cellStyle name="Normal 8 2 3 3 6 2" xfId="6921" xr:uid="{00000000-0005-0000-0000-0000CE1C0000}"/>
    <cellStyle name="Normal 8 2 3 3 6 2 2" xfId="25547" xr:uid="{FD58398F-0907-4295-B597-FD858502331E}"/>
    <cellStyle name="Normal 8 2 3 3 6 2 3" xfId="33994" xr:uid="{0C73A38C-EEA2-4963-AD8E-DC1D5FD71BDF}"/>
    <cellStyle name="Normal 8 2 3 3 6 2 4" xfId="42441" xr:uid="{11CDF0F6-78E2-4FB1-8F4A-61892C61D412}"/>
    <cellStyle name="Normal 8 2 3 3 6 2 5" xfId="16247" xr:uid="{3FF6E641-B45B-485C-B76D-033D96AEC85C}"/>
    <cellStyle name="Normal 8 2 3 3 6 3" xfId="21330" xr:uid="{2CFA52C8-C266-4306-92B9-0A960689EAE3}"/>
    <cellStyle name="Normal 8 2 3 3 6 4" xfId="29777" xr:uid="{5122D87C-1D0D-4221-BC0B-E391D53E4084}"/>
    <cellStyle name="Normal 8 2 3 3 6 5" xfId="38224" xr:uid="{CD9FB6F0-EFDA-4605-949D-61858557E48A}"/>
    <cellStyle name="Normal 8 2 3 3 6 6" xfId="12030" xr:uid="{57E8E7FD-6715-4EB7-9217-0BB1F5B9F07A}"/>
    <cellStyle name="Normal 8 2 3 3 7" xfId="4856" xr:uid="{00000000-0005-0000-0000-0000CF1C0000}"/>
    <cellStyle name="Normal 8 2 3 3 7 2" xfId="23482" xr:uid="{851545A7-AE83-49AA-A7F8-7EF89EC3F5A6}"/>
    <cellStyle name="Normal 8 2 3 3 7 3" xfId="31929" xr:uid="{80A3A3A3-A6EF-44B1-8A7D-B295421FE5BF}"/>
    <cellStyle name="Normal 8 2 3 3 7 4" xfId="40376" xr:uid="{12D2C7E3-7934-4938-A815-B99CD5BE4B0C}"/>
    <cellStyle name="Normal 8 2 3 3 7 5" xfId="14182" xr:uid="{3732EE9B-D308-4A6F-BD82-E1494BC25C0C}"/>
    <cellStyle name="Normal 8 2 3 3 8" xfId="9042" xr:uid="{D820ED39-BAB1-48C1-A68D-2017E247E432}"/>
    <cellStyle name="Normal 8 2 3 3 8 2" xfId="18366" xr:uid="{B4817232-78DB-4608-8D6B-D3557C5DFDC8}"/>
    <cellStyle name="Normal 8 2 3 3 9" xfId="19265" xr:uid="{93ADC812-FBDB-4D9A-A053-CB6C8F7AD06C}"/>
    <cellStyle name="Normal 8 2 3 4" xfId="955" xr:uid="{00000000-0005-0000-0000-0000D01C0000}"/>
    <cellStyle name="Normal 8 2 3 4 2" xfId="3189" xr:uid="{00000000-0005-0000-0000-0000D11C0000}"/>
    <cellStyle name="Normal 8 2 3 4 2 2" xfId="7411" xr:uid="{00000000-0005-0000-0000-0000D21C0000}"/>
    <cellStyle name="Normal 8 2 3 4 2 2 2" xfId="26037" xr:uid="{5518F723-D605-46B3-B3AE-AF1C06DA8213}"/>
    <cellStyle name="Normal 8 2 3 4 2 2 3" xfId="34484" xr:uid="{491396ED-807D-43FE-9F13-A40CDD3939C1}"/>
    <cellStyle name="Normal 8 2 3 4 2 2 4" xfId="42931" xr:uid="{D8EA6DAA-E960-4C08-83C5-000105CFE563}"/>
    <cellStyle name="Normal 8 2 3 4 2 2 5" xfId="16737" xr:uid="{C9F3276B-DC30-4428-87FE-C1FAD4883114}"/>
    <cellStyle name="Normal 8 2 3 4 2 3" xfId="21820" xr:uid="{FE358531-BC88-456C-90FE-CC5F3DD94940}"/>
    <cellStyle name="Normal 8 2 3 4 2 4" xfId="30267" xr:uid="{96BDA165-6008-46DF-B175-449810B07CFA}"/>
    <cellStyle name="Normal 8 2 3 4 2 5" xfId="38714" xr:uid="{B034676C-3518-4A90-8917-3D5034AF5F30}"/>
    <cellStyle name="Normal 8 2 3 4 2 6" xfId="12520" xr:uid="{8E0AEB87-C25A-44A3-99AB-22BF98776AC6}"/>
    <cellStyle name="Normal 8 2 3 4 3" xfId="5266" xr:uid="{00000000-0005-0000-0000-0000D31C0000}"/>
    <cellStyle name="Normal 8 2 3 4 3 2" xfId="23892" xr:uid="{8723D0E0-182A-4CBD-8D84-4DE2902E3E71}"/>
    <cellStyle name="Normal 8 2 3 4 3 3" xfId="32339" xr:uid="{286177A6-C330-4F67-83E0-DFB32C365DAA}"/>
    <cellStyle name="Normal 8 2 3 4 3 4" xfId="40786" xr:uid="{06B10724-0A99-45BF-88DF-FADE2F503BC0}"/>
    <cellStyle name="Normal 8 2 3 4 3 5" xfId="14592" xr:uid="{806D53ED-E72C-4A2F-89CF-1FF40696A960}"/>
    <cellStyle name="Normal 8 2 3 4 4" xfId="9260" xr:uid="{70FF5A16-C89A-42B7-A603-E23A7C2F443C}"/>
    <cellStyle name="Normal 8 2 3 4 4 2" xfId="18576" xr:uid="{5DBBDBC2-8DBB-4089-8853-CF1CECA7F459}"/>
    <cellStyle name="Normal 8 2 3 4 5" xfId="19675" xr:uid="{3F9FF634-653D-433C-AB19-D1BF24215BF3}"/>
    <cellStyle name="Normal 8 2 3 4 6" xfId="28122" xr:uid="{29EEE567-9C2F-4160-9680-29CEA5DD7D25}"/>
    <cellStyle name="Normal 8 2 3 4 7" xfId="36569" xr:uid="{D135D76C-A4D3-4183-BC4C-3644D4738381}"/>
    <cellStyle name="Normal 8 2 3 4 8" xfId="10375" xr:uid="{ECA46229-25A1-478F-BC2A-21DBF59F13D6}"/>
    <cellStyle name="Normal 8 2 3 5" xfId="1372" xr:uid="{00000000-0005-0000-0000-0000D41C0000}"/>
    <cellStyle name="Normal 8 2 3 5 2" xfId="3602" xr:uid="{00000000-0005-0000-0000-0000D51C0000}"/>
    <cellStyle name="Normal 8 2 3 5 2 2" xfId="7824" xr:uid="{00000000-0005-0000-0000-0000D61C0000}"/>
    <cellStyle name="Normal 8 2 3 5 2 2 2" xfId="26450" xr:uid="{C0D3E942-A11F-4A82-A077-6506D5850563}"/>
    <cellStyle name="Normal 8 2 3 5 2 2 3" xfId="34897" xr:uid="{ADB1DDD6-6EE4-4CF3-B2E1-98FF313836D5}"/>
    <cellStyle name="Normal 8 2 3 5 2 2 4" xfId="43344" xr:uid="{B694A168-71D1-402A-BC23-8A8E4A50488D}"/>
    <cellStyle name="Normal 8 2 3 5 2 2 5" xfId="17150" xr:uid="{4E3E353B-A0F9-49A7-AED6-05B090762DAB}"/>
    <cellStyle name="Normal 8 2 3 5 2 3" xfId="22233" xr:uid="{9347FEA5-0401-4FE7-BDE3-3FB64FD1FBF4}"/>
    <cellStyle name="Normal 8 2 3 5 2 4" xfId="30680" xr:uid="{249ED0FE-857C-4A03-B9C7-73B7EB5B3684}"/>
    <cellStyle name="Normal 8 2 3 5 2 5" xfId="39127" xr:uid="{02CE5180-964E-4633-8C51-B5EAD8F11FD0}"/>
    <cellStyle name="Normal 8 2 3 5 2 6" xfId="12933" xr:uid="{15A0C769-4591-45FE-AF12-D2DCA99CD5B4}"/>
    <cellStyle name="Normal 8 2 3 5 3" xfId="5679" xr:uid="{00000000-0005-0000-0000-0000D71C0000}"/>
    <cellStyle name="Normal 8 2 3 5 3 2" xfId="24305" xr:uid="{5BECA4A5-5DDA-43F2-BA62-39A7C0143B7B}"/>
    <cellStyle name="Normal 8 2 3 5 3 3" xfId="32752" xr:uid="{EB65CE68-F7E7-4F06-8AD7-D782306E4B74}"/>
    <cellStyle name="Normal 8 2 3 5 3 4" xfId="41199" xr:uid="{0FA87C9A-2AB8-4F81-A01A-A557A723E22F}"/>
    <cellStyle name="Normal 8 2 3 5 3 5" xfId="15005" xr:uid="{4D7C35EC-2D4F-4638-929C-82EFE91B576D}"/>
    <cellStyle name="Normal 8 2 3 5 4" xfId="20088" xr:uid="{BFEEB2BC-E8C8-4C86-A971-B40861FA55E9}"/>
    <cellStyle name="Normal 8 2 3 5 5" xfId="28535" xr:uid="{3CBB665E-86E9-45FE-BD90-5DFCB35C23E0}"/>
    <cellStyle name="Normal 8 2 3 5 6" xfId="36982" xr:uid="{C6C5047D-C8FC-4670-8991-1AD4A12078C6}"/>
    <cellStyle name="Normal 8 2 3 5 7" xfId="10788" xr:uid="{74325D53-E038-4885-BD45-4815FC61DBC6}"/>
    <cellStyle name="Normal 8 2 3 6" xfId="1785" xr:uid="{00000000-0005-0000-0000-0000D81C0000}"/>
    <cellStyle name="Normal 8 2 3 6 2" xfId="4015" xr:uid="{00000000-0005-0000-0000-0000D91C0000}"/>
    <cellStyle name="Normal 8 2 3 6 2 2" xfId="8237" xr:uid="{00000000-0005-0000-0000-0000DA1C0000}"/>
    <cellStyle name="Normal 8 2 3 6 2 2 2" xfId="26863" xr:uid="{788F12F7-9498-4039-8AE8-C51EA1424421}"/>
    <cellStyle name="Normal 8 2 3 6 2 2 3" xfId="35310" xr:uid="{8F3339CA-4966-4BD6-872C-961C6444C5F8}"/>
    <cellStyle name="Normal 8 2 3 6 2 2 4" xfId="43757" xr:uid="{B3265634-E4F8-46DF-B428-1D840197D36D}"/>
    <cellStyle name="Normal 8 2 3 6 2 2 5" xfId="17563" xr:uid="{44AA3262-FE1D-441B-B2B0-7E388A60D418}"/>
    <cellStyle name="Normal 8 2 3 6 2 3" xfId="22646" xr:uid="{69DC1C3C-4547-425B-8A9F-BE1642FA6BA9}"/>
    <cellStyle name="Normal 8 2 3 6 2 4" xfId="31093" xr:uid="{53D5116A-1805-4ED4-9D32-65B3942F6EAD}"/>
    <cellStyle name="Normal 8 2 3 6 2 5" xfId="39540" xr:uid="{76EBDD94-9936-4C54-B4CA-637695A4F8CE}"/>
    <cellStyle name="Normal 8 2 3 6 2 6" xfId="13346" xr:uid="{5A0AF44E-4C3C-4589-ADD5-E4D79745FB20}"/>
    <cellStyle name="Normal 8 2 3 6 3" xfId="6092" xr:uid="{00000000-0005-0000-0000-0000DB1C0000}"/>
    <cellStyle name="Normal 8 2 3 6 3 2" xfId="24718" xr:uid="{75FF7521-2753-4919-833F-8874DE061892}"/>
    <cellStyle name="Normal 8 2 3 6 3 3" xfId="33165" xr:uid="{CBEAE43F-A836-4BBC-9BA6-F06539F67EBD}"/>
    <cellStyle name="Normal 8 2 3 6 3 4" xfId="41612" xr:uid="{12B0A1FE-C676-42F9-AE3E-FD26172640B9}"/>
    <cellStyle name="Normal 8 2 3 6 3 5" xfId="15418" xr:uid="{311EB16D-868E-4D0F-90F8-06C71181BBD6}"/>
    <cellStyle name="Normal 8 2 3 6 4" xfId="20501" xr:uid="{04930767-C534-44B1-89B3-97D44A6F0619}"/>
    <cellStyle name="Normal 8 2 3 6 5" xfId="28948" xr:uid="{A43B081B-97F8-41E4-BB38-9F88A3C2DF22}"/>
    <cellStyle name="Normal 8 2 3 6 6" xfId="37395" xr:uid="{D39E9712-9096-4657-91F9-62887319904D}"/>
    <cellStyle name="Normal 8 2 3 6 7" xfId="11201" xr:uid="{B0089704-D21D-4FDC-B3EB-831A99359B1D}"/>
    <cellStyle name="Normal 8 2 3 7" xfId="2199" xr:uid="{00000000-0005-0000-0000-0000DC1C0000}"/>
    <cellStyle name="Normal 8 2 3 7 2" xfId="4428" xr:uid="{00000000-0005-0000-0000-0000DD1C0000}"/>
    <cellStyle name="Normal 8 2 3 7 2 2" xfId="8650" xr:uid="{00000000-0005-0000-0000-0000DE1C0000}"/>
    <cellStyle name="Normal 8 2 3 7 2 2 2" xfId="27276" xr:uid="{929F16EC-0171-402A-9CB2-60031CD2008E}"/>
    <cellStyle name="Normal 8 2 3 7 2 2 3" xfId="35723" xr:uid="{D128E4BE-EDB9-43F1-AC20-B3B499F2A6FD}"/>
    <cellStyle name="Normal 8 2 3 7 2 2 4" xfId="44170" xr:uid="{470DB38A-EA0B-414E-BAA9-9D0406DFB28A}"/>
    <cellStyle name="Normal 8 2 3 7 2 2 5" xfId="17976" xr:uid="{5C0AFDC0-F92B-42C9-91AA-0B30FDB1200B}"/>
    <cellStyle name="Normal 8 2 3 7 2 3" xfId="23059" xr:uid="{E2267464-03DA-493F-A8D0-66180C8BC196}"/>
    <cellStyle name="Normal 8 2 3 7 2 4" xfId="31506" xr:uid="{9FD820DB-9EDD-406B-AC2E-BA83164E2C35}"/>
    <cellStyle name="Normal 8 2 3 7 2 5" xfId="39953" xr:uid="{68CAFED6-89AE-4D80-AC01-D18B56FD953A}"/>
    <cellStyle name="Normal 8 2 3 7 2 6" xfId="13759" xr:uid="{175AA7FE-880E-4FAA-A135-4FE2F20AD8FE}"/>
    <cellStyle name="Normal 8 2 3 7 3" xfId="6505" xr:uid="{00000000-0005-0000-0000-0000DF1C0000}"/>
    <cellStyle name="Normal 8 2 3 7 3 2" xfId="25131" xr:uid="{9CFAE331-C173-45CB-890F-4096FF289D35}"/>
    <cellStyle name="Normal 8 2 3 7 3 3" xfId="33578" xr:uid="{52957BD9-B3CE-4964-BAA5-0C64D2E0491C}"/>
    <cellStyle name="Normal 8 2 3 7 3 4" xfId="42025" xr:uid="{4A38288C-C32F-4A94-A48A-42773DE7A751}"/>
    <cellStyle name="Normal 8 2 3 7 3 5" xfId="15831" xr:uid="{0E9B5F3A-4CD0-4448-8C02-401E6A213E0D}"/>
    <cellStyle name="Normal 8 2 3 7 4" xfId="20914" xr:uid="{04717374-19B1-4654-B371-707D06A8AD46}"/>
    <cellStyle name="Normal 8 2 3 7 5" xfId="29361" xr:uid="{F1A70296-DA12-4F0F-9E68-463C304AADAC}"/>
    <cellStyle name="Normal 8 2 3 7 6" xfId="37808" xr:uid="{24C012AA-089B-4421-BDCF-E83FA8CF6EE5}"/>
    <cellStyle name="Normal 8 2 3 7 7" xfId="11614" xr:uid="{C9FA2020-E387-4D75-B43A-ED8AF57F7109}"/>
    <cellStyle name="Normal 8 2 3 8" xfId="2635" xr:uid="{00000000-0005-0000-0000-0000E01C0000}"/>
    <cellStyle name="Normal 8 2 3 8 2" xfId="6918" xr:uid="{00000000-0005-0000-0000-0000E11C0000}"/>
    <cellStyle name="Normal 8 2 3 8 2 2" xfId="25544" xr:uid="{A4C90183-89B7-4D9D-AE57-637023DD3BB4}"/>
    <cellStyle name="Normal 8 2 3 8 2 3" xfId="33991" xr:uid="{4CB2DD51-8E56-4396-A0F4-75C16A3EB70A}"/>
    <cellStyle name="Normal 8 2 3 8 2 4" xfId="42438" xr:uid="{20011E73-6E39-496D-95E2-38E7AEFEDB7E}"/>
    <cellStyle name="Normal 8 2 3 8 2 5" xfId="16244" xr:uid="{1B802FD2-BBAB-4604-8A1D-2A81745E6029}"/>
    <cellStyle name="Normal 8 2 3 8 3" xfId="21327" xr:uid="{958FC395-1262-4937-AEFD-ECFCEBDD4D2B}"/>
    <cellStyle name="Normal 8 2 3 8 4" xfId="29774" xr:uid="{6370814F-8458-47CD-9CBE-1F7C5732C808}"/>
    <cellStyle name="Normal 8 2 3 8 5" xfId="38221" xr:uid="{902C208E-E114-4FF2-AC20-2EF9F1E49B3E}"/>
    <cellStyle name="Normal 8 2 3 8 6" xfId="12027" xr:uid="{CCCE523E-B7DB-44E2-80A9-455FEC7DFE2E}"/>
    <cellStyle name="Normal 8 2 3 9" xfId="4853" xr:uid="{00000000-0005-0000-0000-0000E21C0000}"/>
    <cellStyle name="Normal 8 2 3 9 2" xfId="23479" xr:uid="{867695BD-A22F-4201-B604-B55543136B7E}"/>
    <cellStyle name="Normal 8 2 3 9 3" xfId="31926" xr:uid="{3F07C8A9-9BE5-4EC4-A13B-5E6E3CB0B447}"/>
    <cellStyle name="Normal 8 2 3 9 4" xfId="40373" xr:uid="{7253AE4C-AAC4-49C2-A066-4B5EBB581B86}"/>
    <cellStyle name="Normal 8 2 3 9 5" xfId="14179" xr:uid="{F6AE58F5-0F0E-45DA-975D-16AB2C485C5D}"/>
    <cellStyle name="Normal 8 2 4" xfId="492" xr:uid="{00000000-0005-0000-0000-0000E31C0000}"/>
    <cellStyle name="Normal 8 2 4 10" xfId="19266" xr:uid="{F4EFBD1C-96FE-4FAB-8670-49460AE393A7}"/>
    <cellStyle name="Normal 8 2 4 11" xfId="27713" xr:uid="{46C48819-8907-4D82-B8F2-5FFC6FEA4531}"/>
    <cellStyle name="Normal 8 2 4 12" xfId="36160" xr:uid="{5315F673-B0DA-48F0-8299-29E1D5097C09}"/>
    <cellStyle name="Normal 8 2 4 13" xfId="9966" xr:uid="{CBD89EB5-BF23-4771-A284-1D48644BC0BC}"/>
    <cellStyle name="Normal 8 2 4 2" xfId="493" xr:uid="{00000000-0005-0000-0000-0000E41C0000}"/>
    <cellStyle name="Normal 8 2 4 2 10" xfId="27714" xr:uid="{143E42C9-18DD-43D1-ACD7-1B9BBE061C35}"/>
    <cellStyle name="Normal 8 2 4 2 11" xfId="36161" xr:uid="{6397EF09-4C04-4440-9C5D-A541F5626634}"/>
    <cellStyle name="Normal 8 2 4 2 12" xfId="9967" xr:uid="{76646535-936A-4F31-A840-127024288FF2}"/>
    <cellStyle name="Normal 8 2 4 2 2" xfId="960" xr:uid="{00000000-0005-0000-0000-0000E51C0000}"/>
    <cellStyle name="Normal 8 2 4 2 2 2" xfId="3194" xr:uid="{00000000-0005-0000-0000-0000E61C0000}"/>
    <cellStyle name="Normal 8 2 4 2 2 2 2" xfId="7416" xr:uid="{00000000-0005-0000-0000-0000E71C0000}"/>
    <cellStyle name="Normal 8 2 4 2 2 2 2 2" xfId="26042" xr:uid="{FAADEF63-CF06-42C1-8E0D-8927AFE0562A}"/>
    <cellStyle name="Normal 8 2 4 2 2 2 2 3" xfId="34489" xr:uid="{9D72BB42-F80B-4D96-B547-23E4058F87CC}"/>
    <cellStyle name="Normal 8 2 4 2 2 2 2 4" xfId="42936" xr:uid="{0D4BEAAE-C640-4C0D-8446-AF6FCE392074}"/>
    <cellStyle name="Normal 8 2 4 2 2 2 2 5" xfId="16742" xr:uid="{08D9FB87-40C3-47E1-B2FA-CC58BB3CE010}"/>
    <cellStyle name="Normal 8 2 4 2 2 2 3" xfId="21825" xr:uid="{7BD83D97-945E-47A4-BE41-C8A48ED1060C}"/>
    <cellStyle name="Normal 8 2 4 2 2 2 4" xfId="30272" xr:uid="{17EBDDDF-96BD-4B26-AD3E-C1365FD598F6}"/>
    <cellStyle name="Normal 8 2 4 2 2 2 5" xfId="38719" xr:uid="{61D04180-6292-4A12-B3E5-EF967B5D1456}"/>
    <cellStyle name="Normal 8 2 4 2 2 2 6" xfId="12525" xr:uid="{5F2C26DB-8D35-4729-8C98-2CACAE591DA7}"/>
    <cellStyle name="Normal 8 2 4 2 2 3" xfId="5271" xr:uid="{00000000-0005-0000-0000-0000E81C0000}"/>
    <cellStyle name="Normal 8 2 4 2 2 3 2" xfId="23897" xr:uid="{A145DAA3-17FB-46C8-A5D1-E1489A8B5DE7}"/>
    <cellStyle name="Normal 8 2 4 2 2 3 3" xfId="32344" xr:uid="{7F25D102-75F5-4180-8FC5-8D5351389C8E}"/>
    <cellStyle name="Normal 8 2 4 2 2 3 4" xfId="40791" xr:uid="{C0F54637-A7A2-4509-9C44-66403649D30A}"/>
    <cellStyle name="Normal 8 2 4 2 2 3 5" xfId="14597" xr:uid="{9AC5D876-88A2-4F39-BA69-D5EA67271203}"/>
    <cellStyle name="Normal 8 2 4 2 2 4" xfId="9486" xr:uid="{9F6EBE4C-F02F-43A6-A388-D5EACB1B3099}"/>
    <cellStyle name="Normal 8 2 4 2 2 4 2" xfId="18802" xr:uid="{67A7DF82-B7A1-43A9-BA3A-4B21B43FEFD7}"/>
    <cellStyle name="Normal 8 2 4 2 2 5" xfId="19680" xr:uid="{9E82C5E1-5DA6-4CED-A663-DE7D0CA3E4FB}"/>
    <cellStyle name="Normal 8 2 4 2 2 6" xfId="28127" xr:uid="{36C2BA29-10C2-4C1A-AA75-1191B2803603}"/>
    <cellStyle name="Normal 8 2 4 2 2 7" xfId="36574" xr:uid="{332E1A8B-4CE5-4B49-961F-DA51F6C825DF}"/>
    <cellStyle name="Normal 8 2 4 2 2 8" xfId="10380" xr:uid="{BBC22D50-2EB5-443E-BFDA-4EDAA92FFB53}"/>
    <cellStyle name="Normal 8 2 4 2 3" xfId="1377" xr:uid="{00000000-0005-0000-0000-0000E91C0000}"/>
    <cellStyle name="Normal 8 2 4 2 3 2" xfId="3607" xr:uid="{00000000-0005-0000-0000-0000EA1C0000}"/>
    <cellStyle name="Normal 8 2 4 2 3 2 2" xfId="7829" xr:uid="{00000000-0005-0000-0000-0000EB1C0000}"/>
    <cellStyle name="Normal 8 2 4 2 3 2 2 2" xfId="26455" xr:uid="{F8501F94-6C59-4BAA-8B88-054DA574F81A}"/>
    <cellStyle name="Normal 8 2 4 2 3 2 2 3" xfId="34902" xr:uid="{81846309-35F3-4D06-9FC6-5D0F080D67CA}"/>
    <cellStyle name="Normal 8 2 4 2 3 2 2 4" xfId="43349" xr:uid="{58FA2AD8-F031-4D9E-8684-DF644F630D29}"/>
    <cellStyle name="Normal 8 2 4 2 3 2 2 5" xfId="17155" xr:uid="{331117F7-855D-4B7E-8322-B52E28BDA0BF}"/>
    <cellStyle name="Normal 8 2 4 2 3 2 3" xfId="22238" xr:uid="{0F36F535-AEC0-4A11-A11A-488744B6F29B}"/>
    <cellStyle name="Normal 8 2 4 2 3 2 4" xfId="30685" xr:uid="{B631A00E-D054-494F-BAA7-095B75F672C7}"/>
    <cellStyle name="Normal 8 2 4 2 3 2 5" xfId="39132" xr:uid="{E19259EE-2A36-447A-A81B-EA5A6240A0C8}"/>
    <cellStyle name="Normal 8 2 4 2 3 2 6" xfId="12938" xr:uid="{75F27281-2B3B-4CE7-BC20-AEBD1A772B9E}"/>
    <cellStyle name="Normal 8 2 4 2 3 3" xfId="5684" xr:uid="{00000000-0005-0000-0000-0000EC1C0000}"/>
    <cellStyle name="Normal 8 2 4 2 3 3 2" xfId="24310" xr:uid="{6E9C1CED-91B9-4508-8654-95CC341BE2C5}"/>
    <cellStyle name="Normal 8 2 4 2 3 3 3" xfId="32757" xr:uid="{D7E03FFE-6484-478F-B974-C3A824C92B12}"/>
    <cellStyle name="Normal 8 2 4 2 3 3 4" xfId="41204" xr:uid="{AA1F7689-76C2-429F-B456-0BD02A72E338}"/>
    <cellStyle name="Normal 8 2 4 2 3 3 5" xfId="15010" xr:uid="{F7541DF8-9773-4CAE-BCBD-D3F6DBB71167}"/>
    <cellStyle name="Normal 8 2 4 2 3 4" xfId="20093" xr:uid="{CAF321ED-4C4D-47CC-9728-D81F172C8987}"/>
    <cellStyle name="Normal 8 2 4 2 3 5" xfId="28540" xr:uid="{D02B826B-9F91-4F50-A8A8-48797F8D1876}"/>
    <cellStyle name="Normal 8 2 4 2 3 6" xfId="36987" xr:uid="{D7DEB6F8-2292-4007-90BE-A69A7F763EF7}"/>
    <cellStyle name="Normal 8 2 4 2 3 7" xfId="10793" xr:uid="{A09518B7-DBEB-4CF9-996C-B47490558E79}"/>
    <cellStyle name="Normal 8 2 4 2 4" xfId="1790" xr:uid="{00000000-0005-0000-0000-0000ED1C0000}"/>
    <cellStyle name="Normal 8 2 4 2 4 2" xfId="4020" xr:uid="{00000000-0005-0000-0000-0000EE1C0000}"/>
    <cellStyle name="Normal 8 2 4 2 4 2 2" xfId="8242" xr:uid="{00000000-0005-0000-0000-0000EF1C0000}"/>
    <cellStyle name="Normal 8 2 4 2 4 2 2 2" xfId="26868" xr:uid="{836C8542-30F4-486B-97D8-3243F65A615D}"/>
    <cellStyle name="Normal 8 2 4 2 4 2 2 3" xfId="35315" xr:uid="{8503E9D7-4E00-4DD3-87B1-451783B284F4}"/>
    <cellStyle name="Normal 8 2 4 2 4 2 2 4" xfId="43762" xr:uid="{92440BDB-A76F-42A0-A1F4-5C882ABD3868}"/>
    <cellStyle name="Normal 8 2 4 2 4 2 2 5" xfId="17568" xr:uid="{EA8DBD03-ECC5-43DD-BADE-AE54EB3878CE}"/>
    <cellStyle name="Normal 8 2 4 2 4 2 3" xfId="22651" xr:uid="{031AA3B6-2423-43EF-8794-2D2DD5FC79AA}"/>
    <cellStyle name="Normal 8 2 4 2 4 2 4" xfId="31098" xr:uid="{C78ADC96-6434-414B-AABE-2ABFCC6D08F6}"/>
    <cellStyle name="Normal 8 2 4 2 4 2 5" xfId="39545" xr:uid="{C6BDC68F-A995-4BAC-86C4-04663065831F}"/>
    <cellStyle name="Normal 8 2 4 2 4 2 6" xfId="13351" xr:uid="{33DCBC29-9A5B-4B6D-8D14-568DBAC10F61}"/>
    <cellStyle name="Normal 8 2 4 2 4 3" xfId="6097" xr:uid="{00000000-0005-0000-0000-0000F01C0000}"/>
    <cellStyle name="Normal 8 2 4 2 4 3 2" xfId="24723" xr:uid="{AFE69E13-44E5-4FC8-89F3-0543EFEFB4D2}"/>
    <cellStyle name="Normal 8 2 4 2 4 3 3" xfId="33170" xr:uid="{543A2C5C-31C0-404C-8498-21EDA2DA0280}"/>
    <cellStyle name="Normal 8 2 4 2 4 3 4" xfId="41617" xr:uid="{616F926B-1DCB-45A4-8AE5-FF103A75DCCF}"/>
    <cellStyle name="Normal 8 2 4 2 4 3 5" xfId="15423" xr:uid="{CFDC7F70-43F7-4AF9-B9D7-69D7FB738706}"/>
    <cellStyle name="Normal 8 2 4 2 4 4" xfId="20506" xr:uid="{9A100092-9FBF-4199-A663-3E22D39B83DF}"/>
    <cellStyle name="Normal 8 2 4 2 4 5" xfId="28953" xr:uid="{FA970EB9-CDC7-4E07-881A-3F777C1ECF9E}"/>
    <cellStyle name="Normal 8 2 4 2 4 6" xfId="37400" xr:uid="{7520FA5F-B28A-490B-AECB-1A37B10432CF}"/>
    <cellStyle name="Normal 8 2 4 2 4 7" xfId="11206" xr:uid="{FD9D1EA8-5EDE-4CFB-B103-370C9B32DF33}"/>
    <cellStyle name="Normal 8 2 4 2 5" xfId="2204" xr:uid="{00000000-0005-0000-0000-0000F11C0000}"/>
    <cellStyle name="Normal 8 2 4 2 5 2" xfId="4433" xr:uid="{00000000-0005-0000-0000-0000F21C0000}"/>
    <cellStyle name="Normal 8 2 4 2 5 2 2" xfId="8655" xr:uid="{00000000-0005-0000-0000-0000F31C0000}"/>
    <cellStyle name="Normal 8 2 4 2 5 2 2 2" xfId="27281" xr:uid="{E44365E2-C97F-40F5-92EF-DC36A2147067}"/>
    <cellStyle name="Normal 8 2 4 2 5 2 2 3" xfId="35728" xr:uid="{92F25594-D6B5-4AA1-87EC-2FAB479B2AF7}"/>
    <cellStyle name="Normal 8 2 4 2 5 2 2 4" xfId="44175" xr:uid="{58E4E36B-A1E2-4A3B-8D34-DC760509B3FA}"/>
    <cellStyle name="Normal 8 2 4 2 5 2 2 5" xfId="17981" xr:uid="{FB75AC24-3C9D-4107-B245-45052D390AE8}"/>
    <cellStyle name="Normal 8 2 4 2 5 2 3" xfId="23064" xr:uid="{C0ACCD7C-29BA-4F7F-95C0-C8E99A2A6738}"/>
    <cellStyle name="Normal 8 2 4 2 5 2 4" xfId="31511" xr:uid="{CEDE220A-BB7A-430C-B103-BD4DB8CF0493}"/>
    <cellStyle name="Normal 8 2 4 2 5 2 5" xfId="39958" xr:uid="{20EBEC89-1B0C-42DC-BDE8-B95360B7A225}"/>
    <cellStyle name="Normal 8 2 4 2 5 2 6" xfId="13764" xr:uid="{77E3E9EE-48A1-4B40-89C3-ACB69235DF29}"/>
    <cellStyle name="Normal 8 2 4 2 5 3" xfId="6510" xr:uid="{00000000-0005-0000-0000-0000F41C0000}"/>
    <cellStyle name="Normal 8 2 4 2 5 3 2" xfId="25136" xr:uid="{43389867-B1FD-4B08-AD20-A1B7839E5CF2}"/>
    <cellStyle name="Normal 8 2 4 2 5 3 3" xfId="33583" xr:uid="{87323A51-0F57-4E9D-926D-A1D3CE23C060}"/>
    <cellStyle name="Normal 8 2 4 2 5 3 4" xfId="42030" xr:uid="{7F26995A-C555-4FCE-BAB1-A6872E6F66E4}"/>
    <cellStyle name="Normal 8 2 4 2 5 3 5" xfId="15836" xr:uid="{D854C884-2492-482A-856A-E558C6BE6145}"/>
    <cellStyle name="Normal 8 2 4 2 5 4" xfId="20919" xr:uid="{67A9CD77-4262-429A-B3FE-28183D8D5672}"/>
    <cellStyle name="Normal 8 2 4 2 5 5" xfId="29366" xr:uid="{6943C6CE-E9A5-478F-8BF4-41EFEC4B8DDE}"/>
    <cellStyle name="Normal 8 2 4 2 5 6" xfId="37813" xr:uid="{C425544C-2938-45BC-B54B-1850DC65AE84}"/>
    <cellStyle name="Normal 8 2 4 2 5 7" xfId="11619" xr:uid="{D179D7E0-ABEC-442D-9834-D3E4142FED0F}"/>
    <cellStyle name="Normal 8 2 4 2 6" xfId="2640" xr:uid="{00000000-0005-0000-0000-0000F51C0000}"/>
    <cellStyle name="Normal 8 2 4 2 6 2" xfId="6923" xr:uid="{00000000-0005-0000-0000-0000F61C0000}"/>
    <cellStyle name="Normal 8 2 4 2 6 2 2" xfId="25549" xr:uid="{5A908185-3551-4351-B547-8933C41DAD1F}"/>
    <cellStyle name="Normal 8 2 4 2 6 2 3" xfId="33996" xr:uid="{2C9CD8FD-3997-49C9-965F-B4EFEC4885D7}"/>
    <cellStyle name="Normal 8 2 4 2 6 2 4" xfId="42443" xr:uid="{AED57623-110F-4788-8EB3-CB59A12A22EC}"/>
    <cellStyle name="Normal 8 2 4 2 6 2 5" xfId="16249" xr:uid="{91465656-9DF6-4C8B-9D5D-7AD72F910817}"/>
    <cellStyle name="Normal 8 2 4 2 6 3" xfId="21332" xr:uid="{00AF043F-6F2A-4302-93BB-EF9F2D3A37A9}"/>
    <cellStyle name="Normal 8 2 4 2 6 4" xfId="29779" xr:uid="{476C9782-68ED-4C59-95E3-C9FF2DAC5312}"/>
    <cellStyle name="Normal 8 2 4 2 6 5" xfId="38226" xr:uid="{0184AC66-1B8D-4962-9EBC-0A617A5D3052}"/>
    <cellStyle name="Normal 8 2 4 2 6 6" xfId="12032" xr:uid="{14A7A781-1364-4C4A-AD97-4440651DB10D}"/>
    <cellStyle name="Normal 8 2 4 2 7" xfId="4858" xr:uid="{00000000-0005-0000-0000-0000F71C0000}"/>
    <cellStyle name="Normal 8 2 4 2 7 2" xfId="23484" xr:uid="{824DFFE2-B18A-4C7B-A4D0-D4BC3C490634}"/>
    <cellStyle name="Normal 8 2 4 2 7 3" xfId="31931" xr:uid="{BC860B66-FEAE-4926-89EA-8B77FEAEF06C}"/>
    <cellStyle name="Normal 8 2 4 2 7 4" xfId="40378" xr:uid="{DA1D0709-914A-4F64-9477-779D79792880}"/>
    <cellStyle name="Normal 8 2 4 2 7 5" xfId="14184" xr:uid="{25ABCE2F-75B1-48A8-B904-7BA889457551}"/>
    <cellStyle name="Normal 8 2 4 2 8" xfId="9061" xr:uid="{7295DB82-9441-436C-AA3E-91B68F6E59B3}"/>
    <cellStyle name="Normal 8 2 4 2 8 2" xfId="18385" xr:uid="{667B9606-7955-4989-8AAA-7B49C5EAA114}"/>
    <cellStyle name="Normal 8 2 4 2 9" xfId="19267" xr:uid="{AE696A8E-51A2-422C-89E6-C25FC43705AA}"/>
    <cellStyle name="Normal 8 2 4 3" xfId="959" xr:uid="{00000000-0005-0000-0000-0000F81C0000}"/>
    <cellStyle name="Normal 8 2 4 3 2" xfId="3193" xr:uid="{00000000-0005-0000-0000-0000F91C0000}"/>
    <cellStyle name="Normal 8 2 4 3 2 2" xfId="7415" xr:uid="{00000000-0005-0000-0000-0000FA1C0000}"/>
    <cellStyle name="Normal 8 2 4 3 2 2 2" xfId="26041" xr:uid="{96DBD645-98D3-4BBA-A2BA-97560AC22A5F}"/>
    <cellStyle name="Normal 8 2 4 3 2 2 3" xfId="34488" xr:uid="{65B45684-963C-4494-8E6F-CAB7BE8A9B81}"/>
    <cellStyle name="Normal 8 2 4 3 2 2 4" xfId="42935" xr:uid="{2AFF273B-2006-44F9-9D64-C618CD7EC547}"/>
    <cellStyle name="Normal 8 2 4 3 2 2 5" xfId="16741" xr:uid="{71257D21-2073-48F5-ADAE-58B185259F74}"/>
    <cellStyle name="Normal 8 2 4 3 2 3" xfId="21824" xr:uid="{23CFC238-1A1C-4B90-A2C2-A0B012C18474}"/>
    <cellStyle name="Normal 8 2 4 3 2 4" xfId="30271" xr:uid="{7C1FCDBC-C8EF-488C-AD62-BD8900B24CBC}"/>
    <cellStyle name="Normal 8 2 4 3 2 5" xfId="38718" xr:uid="{752ACC79-89FA-428B-B75E-807EFB074231}"/>
    <cellStyle name="Normal 8 2 4 3 2 6" xfId="12524" xr:uid="{D9214616-42A9-42A0-82A3-9FAFE289933D}"/>
    <cellStyle name="Normal 8 2 4 3 3" xfId="5270" xr:uid="{00000000-0005-0000-0000-0000FB1C0000}"/>
    <cellStyle name="Normal 8 2 4 3 3 2" xfId="23896" xr:uid="{43E2878E-81B5-4A7B-B0BB-581A487C89E0}"/>
    <cellStyle name="Normal 8 2 4 3 3 3" xfId="32343" xr:uid="{232D6B06-A9B3-486B-849E-A7E50266B9C8}"/>
    <cellStyle name="Normal 8 2 4 3 3 4" xfId="40790" xr:uid="{7B201B03-7A1C-4C6E-818E-EC214D9EB3AE}"/>
    <cellStyle name="Normal 8 2 4 3 3 5" xfId="14596" xr:uid="{551A0DC7-6BF3-446B-8CC1-FFA39E37AFB3}"/>
    <cellStyle name="Normal 8 2 4 3 4" xfId="9279" xr:uid="{BA09D30D-BEBA-4223-83E6-57FB46A1EFA8}"/>
    <cellStyle name="Normal 8 2 4 3 4 2" xfId="18595" xr:uid="{B3A528CE-681B-44D3-B49B-268C165E6867}"/>
    <cellStyle name="Normal 8 2 4 3 5" xfId="19679" xr:uid="{9885A5BD-8D0F-4D99-881C-92D3B0F53F6D}"/>
    <cellStyle name="Normal 8 2 4 3 6" xfId="28126" xr:uid="{0A5B1544-8B47-4E65-83C8-FC62CD0840E3}"/>
    <cellStyle name="Normal 8 2 4 3 7" xfId="36573" xr:uid="{648566E6-F7F6-49F3-A3E2-9AC77DE64FDF}"/>
    <cellStyle name="Normal 8 2 4 3 8" xfId="10379" xr:uid="{0239E943-DA63-41AA-B466-CE2785066B01}"/>
    <cellStyle name="Normal 8 2 4 4" xfId="1376" xr:uid="{00000000-0005-0000-0000-0000FC1C0000}"/>
    <cellStyle name="Normal 8 2 4 4 2" xfId="3606" xr:uid="{00000000-0005-0000-0000-0000FD1C0000}"/>
    <cellStyle name="Normal 8 2 4 4 2 2" xfId="7828" xr:uid="{00000000-0005-0000-0000-0000FE1C0000}"/>
    <cellStyle name="Normal 8 2 4 4 2 2 2" xfId="26454" xr:uid="{5BB9DB10-460E-4ED0-919E-80F5CD94131D}"/>
    <cellStyle name="Normal 8 2 4 4 2 2 3" xfId="34901" xr:uid="{514E76EF-FEC9-46DC-A31E-6A40158D0141}"/>
    <cellStyle name="Normal 8 2 4 4 2 2 4" xfId="43348" xr:uid="{B05502E9-C1BA-4806-B246-EA5E7DCD6E87}"/>
    <cellStyle name="Normal 8 2 4 4 2 2 5" xfId="17154" xr:uid="{8F80EC40-4BF2-4C0F-85D2-ADF972F2AAC8}"/>
    <cellStyle name="Normal 8 2 4 4 2 3" xfId="22237" xr:uid="{6BDE0E9F-95FC-4BE5-A89F-1D91CC0B0DE3}"/>
    <cellStyle name="Normal 8 2 4 4 2 4" xfId="30684" xr:uid="{78935431-80B1-4C43-8D87-E812ACB35231}"/>
    <cellStyle name="Normal 8 2 4 4 2 5" xfId="39131" xr:uid="{9BDEE264-5BF6-4665-97B3-DC1050C9D93C}"/>
    <cellStyle name="Normal 8 2 4 4 2 6" xfId="12937" xr:uid="{C59C4400-9836-4CCD-BFDA-AD8D99B8024A}"/>
    <cellStyle name="Normal 8 2 4 4 3" xfId="5683" xr:uid="{00000000-0005-0000-0000-0000FF1C0000}"/>
    <cellStyle name="Normal 8 2 4 4 3 2" xfId="24309" xr:uid="{91716D65-93D8-48DA-B961-78AC6D4EE676}"/>
    <cellStyle name="Normal 8 2 4 4 3 3" xfId="32756" xr:uid="{DF1A3EF9-F6F5-4E6A-BE80-108CBE8F9D06}"/>
    <cellStyle name="Normal 8 2 4 4 3 4" xfId="41203" xr:uid="{7C9565E5-84B8-4FE3-87AE-1BB5F102EA89}"/>
    <cellStyle name="Normal 8 2 4 4 3 5" xfId="15009" xr:uid="{6A1F36C1-CFF7-41A1-AFFE-0C8A4539884A}"/>
    <cellStyle name="Normal 8 2 4 4 4" xfId="20092" xr:uid="{35B2E1AF-25E9-46A7-8597-AB206BA2C341}"/>
    <cellStyle name="Normal 8 2 4 4 5" xfId="28539" xr:uid="{FF2B38C6-445B-4808-8846-4CFC937387D6}"/>
    <cellStyle name="Normal 8 2 4 4 6" xfId="36986" xr:uid="{7588EA57-28C0-4DC6-A732-F76CC73ADDF1}"/>
    <cellStyle name="Normal 8 2 4 4 7" xfId="10792" xr:uid="{21BF01EF-D7BA-4436-BD53-A5600671CF58}"/>
    <cellStyle name="Normal 8 2 4 5" xfId="1789" xr:uid="{00000000-0005-0000-0000-0000001D0000}"/>
    <cellStyle name="Normal 8 2 4 5 2" xfId="4019" xr:uid="{00000000-0005-0000-0000-0000011D0000}"/>
    <cellStyle name="Normal 8 2 4 5 2 2" xfId="8241" xr:uid="{00000000-0005-0000-0000-0000021D0000}"/>
    <cellStyle name="Normal 8 2 4 5 2 2 2" xfId="26867" xr:uid="{BD8AF124-F3BC-4F3D-8029-0E5CBDB62E5E}"/>
    <cellStyle name="Normal 8 2 4 5 2 2 3" xfId="35314" xr:uid="{4D05F24D-EBB4-4D71-81E8-2A2E05E04AE4}"/>
    <cellStyle name="Normal 8 2 4 5 2 2 4" xfId="43761" xr:uid="{567BDF6D-7C82-4F23-B2E1-C2274581437E}"/>
    <cellStyle name="Normal 8 2 4 5 2 2 5" xfId="17567" xr:uid="{426A7363-72F6-415A-BCCE-926032A2ED17}"/>
    <cellStyle name="Normal 8 2 4 5 2 3" xfId="22650" xr:uid="{6415A86F-9F2B-4388-A35B-C9CCEE9E860C}"/>
    <cellStyle name="Normal 8 2 4 5 2 4" xfId="31097" xr:uid="{1185A503-9F00-4AA3-B6BD-B49BD518BB99}"/>
    <cellStyle name="Normal 8 2 4 5 2 5" xfId="39544" xr:uid="{76A6EA59-84FE-4A61-9692-76C185154FCD}"/>
    <cellStyle name="Normal 8 2 4 5 2 6" xfId="13350" xr:uid="{2005A25A-47E0-4E63-8F35-B9798A178BF0}"/>
    <cellStyle name="Normal 8 2 4 5 3" xfId="6096" xr:uid="{00000000-0005-0000-0000-0000031D0000}"/>
    <cellStyle name="Normal 8 2 4 5 3 2" xfId="24722" xr:uid="{0F76E33F-FE0D-466D-8D91-D51CED859E5D}"/>
    <cellStyle name="Normal 8 2 4 5 3 3" xfId="33169" xr:uid="{5DA63BA0-7C3F-4D68-8BC8-8411ABE9B208}"/>
    <cellStyle name="Normal 8 2 4 5 3 4" xfId="41616" xr:uid="{71851AC8-50BB-418C-94B7-0ED7FD5385A7}"/>
    <cellStyle name="Normal 8 2 4 5 3 5" xfId="15422" xr:uid="{D99E24D0-D6CB-4A2A-AEBC-484BB6BC9220}"/>
    <cellStyle name="Normal 8 2 4 5 4" xfId="20505" xr:uid="{B14D4C90-C6B7-4313-B105-AD1F3CBFB134}"/>
    <cellStyle name="Normal 8 2 4 5 5" xfId="28952" xr:uid="{1597327C-6708-4DB8-BA5F-12A18C6BF152}"/>
    <cellStyle name="Normal 8 2 4 5 6" xfId="37399" xr:uid="{09ED778A-090D-4864-B371-6677554E357A}"/>
    <cellStyle name="Normal 8 2 4 5 7" xfId="11205" xr:uid="{C4F6D13E-1143-48E9-9FEB-5D128ADE83D2}"/>
    <cellStyle name="Normal 8 2 4 6" xfId="2203" xr:uid="{00000000-0005-0000-0000-0000041D0000}"/>
    <cellStyle name="Normal 8 2 4 6 2" xfId="4432" xr:uid="{00000000-0005-0000-0000-0000051D0000}"/>
    <cellStyle name="Normal 8 2 4 6 2 2" xfId="8654" xr:uid="{00000000-0005-0000-0000-0000061D0000}"/>
    <cellStyle name="Normal 8 2 4 6 2 2 2" xfId="27280" xr:uid="{4376B50D-AF85-4849-AF29-626111D8A339}"/>
    <cellStyle name="Normal 8 2 4 6 2 2 3" xfId="35727" xr:uid="{EB1C74DB-0745-4C9E-A999-DB1CFB607476}"/>
    <cellStyle name="Normal 8 2 4 6 2 2 4" xfId="44174" xr:uid="{031C4967-04EB-4FEA-820E-4102717E2404}"/>
    <cellStyle name="Normal 8 2 4 6 2 2 5" xfId="17980" xr:uid="{48724651-F562-4014-A58B-33F37AC59214}"/>
    <cellStyle name="Normal 8 2 4 6 2 3" xfId="23063" xr:uid="{8B11016E-DD1A-476A-ADE7-6894687AEE2E}"/>
    <cellStyle name="Normal 8 2 4 6 2 4" xfId="31510" xr:uid="{66CB6216-8842-464A-822C-C51CD00E9BCF}"/>
    <cellStyle name="Normal 8 2 4 6 2 5" xfId="39957" xr:uid="{BBB2B1A6-F35F-420E-96FA-49B8387159C0}"/>
    <cellStyle name="Normal 8 2 4 6 2 6" xfId="13763" xr:uid="{15F56B11-9841-44EF-8EB8-38BCA7703F29}"/>
    <cellStyle name="Normal 8 2 4 6 3" xfId="6509" xr:uid="{00000000-0005-0000-0000-0000071D0000}"/>
    <cellStyle name="Normal 8 2 4 6 3 2" xfId="25135" xr:uid="{88F6D301-25D1-417C-AF9C-7FFD72519AC5}"/>
    <cellStyle name="Normal 8 2 4 6 3 3" xfId="33582" xr:uid="{428F6A17-2397-462C-BBFF-529F5D8FBFE0}"/>
    <cellStyle name="Normal 8 2 4 6 3 4" xfId="42029" xr:uid="{60FEF81F-722C-439A-8F69-9FC8164B5077}"/>
    <cellStyle name="Normal 8 2 4 6 3 5" xfId="15835" xr:uid="{56F1B8AB-D54F-4775-A5B9-C1181FBAFE0F}"/>
    <cellStyle name="Normal 8 2 4 6 4" xfId="20918" xr:uid="{F0AC5609-D00A-4537-A9BE-95D503790799}"/>
    <cellStyle name="Normal 8 2 4 6 5" xfId="29365" xr:uid="{DC0B7446-998E-4B5F-A9C0-C717091F8652}"/>
    <cellStyle name="Normal 8 2 4 6 6" xfId="37812" xr:uid="{BA1D4B3B-4553-486A-818C-A4A6CF71993E}"/>
    <cellStyle name="Normal 8 2 4 6 7" xfId="11618" xr:uid="{B9362828-317B-4522-B101-67A737C557BB}"/>
    <cellStyle name="Normal 8 2 4 7" xfId="2639" xr:uid="{00000000-0005-0000-0000-0000081D0000}"/>
    <cellStyle name="Normal 8 2 4 7 2" xfId="6922" xr:uid="{00000000-0005-0000-0000-0000091D0000}"/>
    <cellStyle name="Normal 8 2 4 7 2 2" xfId="25548" xr:uid="{B4779B71-768C-464C-BAF9-13BBCA129168}"/>
    <cellStyle name="Normal 8 2 4 7 2 3" xfId="33995" xr:uid="{DD15D9BE-4AA1-4710-B484-B01DEA177AD6}"/>
    <cellStyle name="Normal 8 2 4 7 2 4" xfId="42442" xr:uid="{FBCAD7C2-4A98-4A78-93D2-10C895FB2B5D}"/>
    <cellStyle name="Normal 8 2 4 7 2 5" xfId="16248" xr:uid="{537B64FF-B177-4C9B-96DD-6BB672263562}"/>
    <cellStyle name="Normal 8 2 4 7 3" xfId="21331" xr:uid="{12AF896A-E789-4E0D-A725-BEDC67E39AF4}"/>
    <cellStyle name="Normal 8 2 4 7 4" xfId="29778" xr:uid="{BA4E0DD9-660D-4C98-A67B-748FE1F738A0}"/>
    <cellStyle name="Normal 8 2 4 7 5" xfId="38225" xr:uid="{4629A203-1C29-4279-8916-DD4D038E6A70}"/>
    <cellStyle name="Normal 8 2 4 7 6" xfId="12031" xr:uid="{6F738097-CCC9-4780-AF30-3C25E52BB5D1}"/>
    <cellStyle name="Normal 8 2 4 8" xfId="4857" xr:uid="{00000000-0005-0000-0000-00000A1D0000}"/>
    <cellStyle name="Normal 8 2 4 8 2" xfId="23483" xr:uid="{777EBA01-4C2F-40B7-B3FE-DC63BE8691AB}"/>
    <cellStyle name="Normal 8 2 4 8 3" xfId="31930" xr:uid="{5AF001D8-A7BC-432C-ACED-0E94C2A18740}"/>
    <cellStyle name="Normal 8 2 4 8 4" xfId="40377" xr:uid="{0AC57100-5A34-4DF9-9A7B-9D27417DE132}"/>
    <cellStyle name="Normal 8 2 4 8 5" xfId="14183" xr:uid="{DF1F0599-398B-4DA6-A6B3-D95B7C940E5B}"/>
    <cellStyle name="Normal 8 2 4 9" xfId="8854" xr:uid="{F1F9C500-F3E2-475A-983E-BD697F4BACD1}"/>
    <cellStyle name="Normal 8 2 4 9 2" xfId="18178" xr:uid="{80E62641-C12B-4B51-8E3D-5BD89DF054BC}"/>
    <cellStyle name="Normal 8 2 5" xfId="494" xr:uid="{00000000-0005-0000-0000-00000B1D0000}"/>
    <cellStyle name="Normal 8 2 5 10" xfId="27715" xr:uid="{91A1F9F4-4CF9-4F5B-9C39-3804A5A07ABE}"/>
    <cellStyle name="Normal 8 2 5 11" xfId="36162" xr:uid="{DF4CD8F5-F5B6-417A-8C03-24364A63A5E1}"/>
    <cellStyle name="Normal 8 2 5 12" xfId="9968" xr:uid="{BAC32B2D-B773-4647-B60C-C8FDB598E8D0}"/>
    <cellStyle name="Normal 8 2 5 2" xfId="961" xr:uid="{00000000-0005-0000-0000-00000C1D0000}"/>
    <cellStyle name="Normal 8 2 5 2 2" xfId="3195" xr:uid="{00000000-0005-0000-0000-00000D1D0000}"/>
    <cellStyle name="Normal 8 2 5 2 2 2" xfId="7417" xr:uid="{00000000-0005-0000-0000-00000E1D0000}"/>
    <cellStyle name="Normal 8 2 5 2 2 2 2" xfId="26043" xr:uid="{241E2D2B-4816-4E00-8B29-9FBA30A85034}"/>
    <cellStyle name="Normal 8 2 5 2 2 2 3" xfId="34490" xr:uid="{1D28986A-CAD1-4BBE-ACBA-BA1A9D99F2F8}"/>
    <cellStyle name="Normal 8 2 5 2 2 2 4" xfId="42937" xr:uid="{891A985E-9957-4E17-8BB9-D5FC48B3CF67}"/>
    <cellStyle name="Normal 8 2 5 2 2 2 5" xfId="16743" xr:uid="{376C3AE9-269E-42A1-81B2-94C2BE38F84C}"/>
    <cellStyle name="Normal 8 2 5 2 2 3" xfId="21826" xr:uid="{806BA9B4-F66F-433D-8693-B9A6AF8041F1}"/>
    <cellStyle name="Normal 8 2 5 2 2 4" xfId="30273" xr:uid="{D29C91F9-1509-42F7-9C0D-B4397E4095C5}"/>
    <cellStyle name="Normal 8 2 5 2 2 5" xfId="38720" xr:uid="{11FDA30A-C463-47D6-A8BF-70B2321EA86D}"/>
    <cellStyle name="Normal 8 2 5 2 2 6" xfId="12526" xr:uid="{39CBADC6-7CB3-4D26-8D46-9887B7B937F7}"/>
    <cellStyle name="Normal 8 2 5 2 3" xfId="5272" xr:uid="{00000000-0005-0000-0000-00000F1D0000}"/>
    <cellStyle name="Normal 8 2 5 2 3 2" xfId="23898" xr:uid="{94E8085B-6052-4E59-9A82-A243C24AA070}"/>
    <cellStyle name="Normal 8 2 5 2 3 3" xfId="32345" xr:uid="{613F49BE-A1C0-4822-8460-AB99FFC162B0}"/>
    <cellStyle name="Normal 8 2 5 2 3 4" xfId="40792" xr:uid="{2AE7F050-02C9-4D18-901C-EE35FEC6A922}"/>
    <cellStyle name="Normal 8 2 5 2 3 5" xfId="14598" xr:uid="{595AFD9B-9546-4C70-A134-F492561E0F69}"/>
    <cellStyle name="Normal 8 2 5 2 4" xfId="9395" xr:uid="{D5766EF3-6042-484F-B510-7448518CF571}"/>
    <cellStyle name="Normal 8 2 5 2 4 2" xfId="18711" xr:uid="{9F01688D-601A-4668-B092-B5DF6890D837}"/>
    <cellStyle name="Normal 8 2 5 2 5" xfId="19681" xr:uid="{0996E971-4F59-4E54-A2B0-699895B75594}"/>
    <cellStyle name="Normal 8 2 5 2 6" xfId="28128" xr:uid="{A29FC79C-D6C5-4667-85D6-5118B424BC73}"/>
    <cellStyle name="Normal 8 2 5 2 7" xfId="36575" xr:uid="{6D78B107-D9B5-458B-849E-E504210DA0B7}"/>
    <cellStyle name="Normal 8 2 5 2 8" xfId="10381" xr:uid="{513FA060-1761-4CCB-A9E5-87D29B9EEEE8}"/>
    <cellStyle name="Normal 8 2 5 3" xfId="1378" xr:uid="{00000000-0005-0000-0000-0000101D0000}"/>
    <cellStyle name="Normal 8 2 5 3 2" xfId="3608" xr:uid="{00000000-0005-0000-0000-0000111D0000}"/>
    <cellStyle name="Normal 8 2 5 3 2 2" xfId="7830" xr:uid="{00000000-0005-0000-0000-0000121D0000}"/>
    <cellStyle name="Normal 8 2 5 3 2 2 2" xfId="26456" xr:uid="{ABE4F8E4-E241-4ABD-B820-41028E194520}"/>
    <cellStyle name="Normal 8 2 5 3 2 2 3" xfId="34903" xr:uid="{2C6378B8-75A8-4E14-9A46-5BA0AE7EFE5B}"/>
    <cellStyle name="Normal 8 2 5 3 2 2 4" xfId="43350" xr:uid="{EF63F7A5-C709-4FC1-82F1-7240055EB112}"/>
    <cellStyle name="Normal 8 2 5 3 2 2 5" xfId="17156" xr:uid="{5B421614-B69B-472B-BF54-BD0EDBA64AE3}"/>
    <cellStyle name="Normal 8 2 5 3 2 3" xfId="22239" xr:uid="{EBD1791F-2591-4592-A2E3-E9E8857849F7}"/>
    <cellStyle name="Normal 8 2 5 3 2 4" xfId="30686" xr:uid="{D8A78DD9-2F4B-4989-8FF3-EAAE45C47871}"/>
    <cellStyle name="Normal 8 2 5 3 2 5" xfId="39133" xr:uid="{A4681AE8-C4AC-44EE-B4FE-2A77A2BE15ED}"/>
    <cellStyle name="Normal 8 2 5 3 2 6" xfId="12939" xr:uid="{01787E80-956E-464F-9323-9F0D2F1CA911}"/>
    <cellStyle name="Normal 8 2 5 3 3" xfId="5685" xr:uid="{00000000-0005-0000-0000-0000131D0000}"/>
    <cellStyle name="Normal 8 2 5 3 3 2" xfId="24311" xr:uid="{50BAE535-2F46-40DC-8568-01BDBDBA1758}"/>
    <cellStyle name="Normal 8 2 5 3 3 3" xfId="32758" xr:uid="{4B115215-F5F7-4AAD-8AD4-2B210236FEAB}"/>
    <cellStyle name="Normal 8 2 5 3 3 4" xfId="41205" xr:uid="{CF1B175A-3F7D-4367-8AF8-17AE6C90C5EE}"/>
    <cellStyle name="Normal 8 2 5 3 3 5" xfId="15011" xr:uid="{76EC9A17-80D2-4D99-AB55-19C99344082D}"/>
    <cellStyle name="Normal 8 2 5 3 4" xfId="20094" xr:uid="{BF5CF2AB-48A5-4A0A-9FE7-41E25686635D}"/>
    <cellStyle name="Normal 8 2 5 3 5" xfId="28541" xr:uid="{599BBA0F-C156-4BC3-B548-4897EC073D28}"/>
    <cellStyle name="Normal 8 2 5 3 6" xfId="36988" xr:uid="{164B4851-568A-459C-8E83-605AC32B9B9A}"/>
    <cellStyle name="Normal 8 2 5 3 7" xfId="10794" xr:uid="{98FBB2B4-7C57-4575-A2C5-69524338A5FA}"/>
    <cellStyle name="Normal 8 2 5 4" xfId="1791" xr:uid="{00000000-0005-0000-0000-0000141D0000}"/>
    <cellStyle name="Normal 8 2 5 4 2" xfId="4021" xr:uid="{00000000-0005-0000-0000-0000151D0000}"/>
    <cellStyle name="Normal 8 2 5 4 2 2" xfId="8243" xr:uid="{00000000-0005-0000-0000-0000161D0000}"/>
    <cellStyle name="Normal 8 2 5 4 2 2 2" xfId="26869" xr:uid="{D342F731-BF04-464F-B8FE-801BAD1514A6}"/>
    <cellStyle name="Normal 8 2 5 4 2 2 3" xfId="35316" xr:uid="{36C89B88-0469-43C5-8F54-C9116437F51F}"/>
    <cellStyle name="Normal 8 2 5 4 2 2 4" xfId="43763" xr:uid="{8D962D3C-9393-401D-8ABC-815AFCEF526B}"/>
    <cellStyle name="Normal 8 2 5 4 2 2 5" xfId="17569" xr:uid="{0DFD0B65-B5EA-46FF-B619-4239CDFA1E4A}"/>
    <cellStyle name="Normal 8 2 5 4 2 3" xfId="22652" xr:uid="{512966DC-21AC-4704-B7A3-BF87A11E47B4}"/>
    <cellStyle name="Normal 8 2 5 4 2 4" xfId="31099" xr:uid="{B339491F-D98A-4534-BEF8-8CF24EF330B2}"/>
    <cellStyle name="Normal 8 2 5 4 2 5" xfId="39546" xr:uid="{34B2D75E-C479-4488-8F73-D8FB8D3982E5}"/>
    <cellStyle name="Normal 8 2 5 4 2 6" xfId="13352" xr:uid="{A0940945-FFDF-4494-A988-E969FE3E7BD5}"/>
    <cellStyle name="Normal 8 2 5 4 3" xfId="6098" xr:uid="{00000000-0005-0000-0000-0000171D0000}"/>
    <cellStyle name="Normal 8 2 5 4 3 2" xfId="24724" xr:uid="{0F85DFAA-F2C9-4909-ABC1-FCD79D083C4E}"/>
    <cellStyle name="Normal 8 2 5 4 3 3" xfId="33171" xr:uid="{68729FC9-8BB9-4327-9458-34922DB91E89}"/>
    <cellStyle name="Normal 8 2 5 4 3 4" xfId="41618" xr:uid="{42D6E2AA-D5FA-43D4-A4A8-2AF67801D568}"/>
    <cellStyle name="Normal 8 2 5 4 3 5" xfId="15424" xr:uid="{6BCBD53D-85DE-448C-97E5-2E0EF6678A3E}"/>
    <cellStyle name="Normal 8 2 5 4 4" xfId="20507" xr:uid="{13C6BC19-593D-407F-8D27-FB26F68862C4}"/>
    <cellStyle name="Normal 8 2 5 4 5" xfId="28954" xr:uid="{887E1908-600F-4320-B187-A90BC10B340F}"/>
    <cellStyle name="Normal 8 2 5 4 6" xfId="37401" xr:uid="{2AF2E45C-6DCE-4C60-BBCB-0CF513E4DE6A}"/>
    <cellStyle name="Normal 8 2 5 4 7" xfId="11207" xr:uid="{3F02F053-8A75-438E-B11A-3710322C50D4}"/>
    <cellStyle name="Normal 8 2 5 5" xfId="2205" xr:uid="{00000000-0005-0000-0000-0000181D0000}"/>
    <cellStyle name="Normal 8 2 5 5 2" xfId="4434" xr:uid="{00000000-0005-0000-0000-0000191D0000}"/>
    <cellStyle name="Normal 8 2 5 5 2 2" xfId="8656" xr:uid="{00000000-0005-0000-0000-00001A1D0000}"/>
    <cellStyle name="Normal 8 2 5 5 2 2 2" xfId="27282" xr:uid="{BF4FC943-8F75-4EC5-A40C-F047F1A469D6}"/>
    <cellStyle name="Normal 8 2 5 5 2 2 3" xfId="35729" xr:uid="{E37EFD25-8717-489E-95C2-709D48A68847}"/>
    <cellStyle name="Normal 8 2 5 5 2 2 4" xfId="44176" xr:uid="{3D94EDB2-50E1-4A4F-BE1D-BEB53E8F0050}"/>
    <cellStyle name="Normal 8 2 5 5 2 2 5" xfId="17982" xr:uid="{CDE28AC4-5057-40ED-9802-69820D3B82CE}"/>
    <cellStyle name="Normal 8 2 5 5 2 3" xfId="23065" xr:uid="{1DA303F1-C4C8-4226-A035-D8F6F74D7B05}"/>
    <cellStyle name="Normal 8 2 5 5 2 4" xfId="31512" xr:uid="{73A389D3-DF91-476D-A35E-9C2FCBD72D28}"/>
    <cellStyle name="Normal 8 2 5 5 2 5" xfId="39959" xr:uid="{7EF7FEC6-73DA-4D14-B308-51AE8ABE4741}"/>
    <cellStyle name="Normal 8 2 5 5 2 6" xfId="13765" xr:uid="{445A4499-52E9-490C-9615-FC1204F5DF33}"/>
    <cellStyle name="Normal 8 2 5 5 3" xfId="6511" xr:uid="{00000000-0005-0000-0000-00001B1D0000}"/>
    <cellStyle name="Normal 8 2 5 5 3 2" xfId="25137" xr:uid="{69E821D7-DE5E-43E5-8447-A6DA2C7B6317}"/>
    <cellStyle name="Normal 8 2 5 5 3 3" xfId="33584" xr:uid="{5FE5764D-3C07-408F-8A3B-D262EDB92636}"/>
    <cellStyle name="Normal 8 2 5 5 3 4" xfId="42031" xr:uid="{85DF836D-4C43-49C0-A7AA-F081B742BD27}"/>
    <cellStyle name="Normal 8 2 5 5 3 5" xfId="15837" xr:uid="{FC962441-FBC3-4497-85E8-F1F158136919}"/>
    <cellStyle name="Normal 8 2 5 5 4" xfId="20920" xr:uid="{9A8E1041-86CF-462F-A495-E10EBFDE016E}"/>
    <cellStyle name="Normal 8 2 5 5 5" xfId="29367" xr:uid="{2A76B66E-3447-4BA3-A4AE-2DBAA1D877BD}"/>
    <cellStyle name="Normal 8 2 5 5 6" xfId="37814" xr:uid="{1B26F438-6765-45A3-92AE-DC046B2B70E6}"/>
    <cellStyle name="Normal 8 2 5 5 7" xfId="11620" xr:uid="{141505FB-E860-4DF0-9767-B1D67A57CBD5}"/>
    <cellStyle name="Normal 8 2 5 6" xfId="2641" xr:uid="{00000000-0005-0000-0000-00001C1D0000}"/>
    <cellStyle name="Normal 8 2 5 6 2" xfId="6924" xr:uid="{00000000-0005-0000-0000-00001D1D0000}"/>
    <cellStyle name="Normal 8 2 5 6 2 2" xfId="25550" xr:uid="{A1A584FA-3485-4DB4-B8FF-D9921FC8AEBB}"/>
    <cellStyle name="Normal 8 2 5 6 2 3" xfId="33997" xr:uid="{0A629E18-0FF0-4AD8-9D7B-36AC05531E06}"/>
    <cellStyle name="Normal 8 2 5 6 2 4" xfId="42444" xr:uid="{E5617429-188E-48B1-840F-872BC4877FB4}"/>
    <cellStyle name="Normal 8 2 5 6 2 5" xfId="16250" xr:uid="{C491E58D-E41D-4F3A-BF91-8AB7AD162787}"/>
    <cellStyle name="Normal 8 2 5 6 3" xfId="21333" xr:uid="{602F7D0A-5789-49F7-838B-9B0E44E50732}"/>
    <cellStyle name="Normal 8 2 5 6 4" xfId="29780" xr:uid="{2E2C3348-C2C4-47B4-B49D-5F77E24B1550}"/>
    <cellStyle name="Normal 8 2 5 6 5" xfId="38227" xr:uid="{AD11B488-79C1-4BC2-9F18-AEF5E79602F1}"/>
    <cellStyle name="Normal 8 2 5 6 6" xfId="12033" xr:uid="{D72D5825-1311-4FBF-A230-6584ADD1B8CE}"/>
    <cellStyle name="Normal 8 2 5 7" xfId="4859" xr:uid="{00000000-0005-0000-0000-00001E1D0000}"/>
    <cellStyle name="Normal 8 2 5 7 2" xfId="23485" xr:uid="{0D064EC3-B8AD-4724-9125-1B8263ED3A38}"/>
    <cellStyle name="Normal 8 2 5 7 3" xfId="31932" xr:uid="{836AA3B4-3F3A-4FEC-A007-DC5D4162B03E}"/>
    <cellStyle name="Normal 8 2 5 7 4" xfId="40379" xr:uid="{FD5FCB98-FAE5-488C-BF4A-824727FF2BA7}"/>
    <cellStyle name="Normal 8 2 5 7 5" xfId="14185" xr:uid="{AF013BBC-CF99-49F9-90BA-B3925E395865}"/>
    <cellStyle name="Normal 8 2 5 8" xfId="8970" xr:uid="{7E9ACEFF-1680-45D8-BC32-8CA9BA1D63D4}"/>
    <cellStyle name="Normal 8 2 5 8 2" xfId="18294" xr:uid="{8754C525-94D3-429D-804F-709E510619FE}"/>
    <cellStyle name="Normal 8 2 5 9" xfId="19268" xr:uid="{9D77DC07-5379-437F-9C13-70AACFD79A61}"/>
    <cellStyle name="Normal 8 2 6" xfId="946" xr:uid="{00000000-0005-0000-0000-00001F1D0000}"/>
    <cellStyle name="Normal 8 2 6 2" xfId="3180" xr:uid="{00000000-0005-0000-0000-0000201D0000}"/>
    <cellStyle name="Normal 8 2 6 2 2" xfId="7402" xr:uid="{00000000-0005-0000-0000-0000211D0000}"/>
    <cellStyle name="Normal 8 2 6 2 2 2" xfId="26028" xr:uid="{1A5D106E-6F8E-43D0-A44E-E1ED187770B1}"/>
    <cellStyle name="Normal 8 2 6 2 2 3" xfId="34475" xr:uid="{12DD1DC5-2752-4B83-B057-90D8B0D464C8}"/>
    <cellStyle name="Normal 8 2 6 2 2 4" xfId="42922" xr:uid="{4F269111-9314-4505-AA67-F9B4EB124ABE}"/>
    <cellStyle name="Normal 8 2 6 2 2 5" xfId="16728" xr:uid="{2CC1CBB4-D737-43AF-A567-56C60CB633CE}"/>
    <cellStyle name="Normal 8 2 6 2 3" xfId="21811" xr:uid="{F2636FAF-0632-4178-B891-FEC9256D59B1}"/>
    <cellStyle name="Normal 8 2 6 2 4" xfId="30258" xr:uid="{47103E08-D275-446E-BFE5-F02239ADDE30}"/>
    <cellStyle name="Normal 8 2 6 2 5" xfId="38705" xr:uid="{7BE9D4A3-F813-4E1C-A2DD-972A2226A70D}"/>
    <cellStyle name="Normal 8 2 6 2 6" xfId="12511" xr:uid="{B88C5F79-B844-4AFD-98B3-87FBB8DE99FB}"/>
    <cellStyle name="Normal 8 2 6 3" xfId="5257" xr:uid="{00000000-0005-0000-0000-0000221D0000}"/>
    <cellStyle name="Normal 8 2 6 3 2" xfId="23883" xr:uid="{50F5C98F-AE5C-4EB3-BA06-D812F0F9C21A}"/>
    <cellStyle name="Normal 8 2 6 3 3" xfId="32330" xr:uid="{3DDD10B2-ECF3-4110-9543-34B161ECE795}"/>
    <cellStyle name="Normal 8 2 6 3 4" xfId="40777" xr:uid="{07DAF6CF-8E0D-48C4-9720-37033BAEF330}"/>
    <cellStyle name="Normal 8 2 6 3 5" xfId="14583" xr:uid="{4804912A-B2A1-4D1C-8DBF-A06475713244}"/>
    <cellStyle name="Normal 8 2 6 4" xfId="9173" xr:uid="{C36295B3-E6F0-4A6D-AEE5-72C8177C13EE}"/>
    <cellStyle name="Normal 8 2 6 4 2" xfId="18492" xr:uid="{81008A2A-5DEF-4136-929E-CFFE97736552}"/>
    <cellStyle name="Normal 8 2 6 5" xfId="19666" xr:uid="{13A8B368-A4CD-4625-96A0-77B323D200AF}"/>
    <cellStyle name="Normal 8 2 6 6" xfId="28113" xr:uid="{EFD04C90-2F1E-464C-AED6-C9AB563DA91B}"/>
    <cellStyle name="Normal 8 2 6 7" xfId="36560" xr:uid="{FEC3822D-9931-496F-9551-2CBE8E28E7F9}"/>
    <cellStyle name="Normal 8 2 6 8" xfId="10366" xr:uid="{A24ECBAB-1987-429D-B7CD-08E9418AA2A6}"/>
    <cellStyle name="Normal 8 2 7" xfId="1363" xr:uid="{00000000-0005-0000-0000-0000231D0000}"/>
    <cellStyle name="Normal 8 2 7 2" xfId="3593" xr:uid="{00000000-0005-0000-0000-0000241D0000}"/>
    <cellStyle name="Normal 8 2 7 2 2" xfId="7815" xr:uid="{00000000-0005-0000-0000-0000251D0000}"/>
    <cellStyle name="Normal 8 2 7 2 2 2" xfId="26441" xr:uid="{A6914221-60C0-4535-AC77-E39E8A06AE66}"/>
    <cellStyle name="Normal 8 2 7 2 2 3" xfId="34888" xr:uid="{5D3361E4-21E6-465E-BFCC-C364977133A0}"/>
    <cellStyle name="Normal 8 2 7 2 2 4" xfId="43335" xr:uid="{A78173D7-A551-4EB2-A788-C557118268BE}"/>
    <cellStyle name="Normal 8 2 7 2 2 5" xfId="17141" xr:uid="{43D288B4-CBAD-44DF-8FF6-39A915525F18}"/>
    <cellStyle name="Normal 8 2 7 2 3" xfId="22224" xr:uid="{1AA65426-32CA-40A4-80DD-2EC51318005C}"/>
    <cellStyle name="Normal 8 2 7 2 4" xfId="30671" xr:uid="{54D8DCBC-2B12-433B-8A18-BF144D0DE73F}"/>
    <cellStyle name="Normal 8 2 7 2 5" xfId="39118" xr:uid="{6B0AED6D-1D4A-4118-BD32-85B926B7EE29}"/>
    <cellStyle name="Normal 8 2 7 2 6" xfId="12924" xr:uid="{F016B9EF-2BA0-4AFC-9734-2F218CFD7951}"/>
    <cellStyle name="Normal 8 2 7 3" xfId="5670" xr:uid="{00000000-0005-0000-0000-0000261D0000}"/>
    <cellStyle name="Normal 8 2 7 3 2" xfId="24296" xr:uid="{7A6B2AB6-CC22-40F4-A223-6ECEA6048871}"/>
    <cellStyle name="Normal 8 2 7 3 3" xfId="32743" xr:uid="{DF9767A2-8612-41CA-9496-6EBD2FC63E0D}"/>
    <cellStyle name="Normal 8 2 7 3 4" xfId="41190" xr:uid="{2794827B-3430-487D-B23C-D377FC74EAB7}"/>
    <cellStyle name="Normal 8 2 7 3 5" xfId="14996" xr:uid="{988DF8DC-D480-47C4-ABAB-74370CED1D13}"/>
    <cellStyle name="Normal 8 2 7 4" xfId="20079" xr:uid="{D9A738FC-CC2A-49C9-90EF-9DB416B98EC2}"/>
    <cellStyle name="Normal 8 2 7 5" xfId="28526" xr:uid="{05A78944-253B-492D-9471-2946096DF8AB}"/>
    <cellStyle name="Normal 8 2 7 6" xfId="36973" xr:uid="{4A951B39-E13E-4195-93A3-F5EB2530B830}"/>
    <cellStyle name="Normal 8 2 7 7" xfId="10779" xr:uid="{08C7ADBD-3B84-4DD0-9D27-861469978934}"/>
    <cellStyle name="Normal 8 2 8" xfId="1776" xr:uid="{00000000-0005-0000-0000-0000271D0000}"/>
    <cellStyle name="Normal 8 2 8 2" xfId="4006" xr:uid="{00000000-0005-0000-0000-0000281D0000}"/>
    <cellStyle name="Normal 8 2 8 2 2" xfId="8228" xr:uid="{00000000-0005-0000-0000-0000291D0000}"/>
    <cellStyle name="Normal 8 2 8 2 2 2" xfId="26854" xr:uid="{F4A9849D-AC60-4A7A-8D34-068BEFFE25A3}"/>
    <cellStyle name="Normal 8 2 8 2 2 3" xfId="35301" xr:uid="{A75260A7-39D5-4056-87A8-FE8EF7B8EA13}"/>
    <cellStyle name="Normal 8 2 8 2 2 4" xfId="43748" xr:uid="{2D32E157-FE4B-4E31-9132-7BFC0CAA6A4E}"/>
    <cellStyle name="Normal 8 2 8 2 2 5" xfId="17554" xr:uid="{BC455B17-319B-4E83-A6FE-8EFC7ACD85D7}"/>
    <cellStyle name="Normal 8 2 8 2 3" xfId="22637" xr:uid="{685C3337-1E59-427E-9DD7-1A23B560E94D}"/>
    <cellStyle name="Normal 8 2 8 2 4" xfId="31084" xr:uid="{B334C2C2-EEA4-4B28-9244-177CB3EAE488}"/>
    <cellStyle name="Normal 8 2 8 2 5" xfId="39531" xr:uid="{FC8CFFC7-0063-434E-8FFD-91E6B0774615}"/>
    <cellStyle name="Normal 8 2 8 2 6" xfId="13337" xr:uid="{B7DA3E81-3C1D-43F2-9741-BEBC0E8B3792}"/>
    <cellStyle name="Normal 8 2 8 3" xfId="6083" xr:uid="{00000000-0005-0000-0000-00002A1D0000}"/>
    <cellStyle name="Normal 8 2 8 3 2" xfId="24709" xr:uid="{67FB8EA4-5151-4180-A008-6B3DE9ADE017}"/>
    <cellStyle name="Normal 8 2 8 3 3" xfId="33156" xr:uid="{DE283532-8994-4261-973B-CA44E2CA6BD0}"/>
    <cellStyle name="Normal 8 2 8 3 4" xfId="41603" xr:uid="{5B96D989-AD1A-413E-AEAD-BC706E2B57A3}"/>
    <cellStyle name="Normal 8 2 8 3 5" xfId="15409" xr:uid="{6C13A6CA-596D-4D4E-853B-B0E94131626F}"/>
    <cellStyle name="Normal 8 2 8 4" xfId="20492" xr:uid="{1ED8EB53-3B9E-4E45-AD47-C3B14A63AF4A}"/>
    <cellStyle name="Normal 8 2 8 5" xfId="28939" xr:uid="{8C624813-31BD-4C4E-9D94-4F1902396B44}"/>
    <cellStyle name="Normal 8 2 8 6" xfId="37386" xr:uid="{63EE6D66-0A28-4A43-AC4F-619BC507A6FF}"/>
    <cellStyle name="Normal 8 2 8 7" xfId="11192" xr:uid="{7B061FC3-5CA7-4761-BE28-095EB5BEC2E2}"/>
    <cellStyle name="Normal 8 2 9" xfId="2190" xr:uid="{00000000-0005-0000-0000-00002B1D0000}"/>
    <cellStyle name="Normal 8 2 9 2" xfId="4419" xr:uid="{00000000-0005-0000-0000-00002C1D0000}"/>
    <cellStyle name="Normal 8 2 9 2 2" xfId="8641" xr:uid="{00000000-0005-0000-0000-00002D1D0000}"/>
    <cellStyle name="Normal 8 2 9 2 2 2" xfId="27267" xr:uid="{1D71B3A9-4F7E-4ABC-B813-70C2BAF8613D}"/>
    <cellStyle name="Normal 8 2 9 2 2 3" xfId="35714" xr:uid="{46EE7342-E098-4E95-9F17-9007C35354DB}"/>
    <cellStyle name="Normal 8 2 9 2 2 4" xfId="44161" xr:uid="{E607E6A2-ABEA-48BC-A2D1-9294603A8797}"/>
    <cellStyle name="Normal 8 2 9 2 2 5" xfId="17967" xr:uid="{0AA080CA-6020-4183-9BA2-4ACA8A6D2C84}"/>
    <cellStyle name="Normal 8 2 9 2 3" xfId="23050" xr:uid="{75006E24-B3A1-4099-A07B-92835852B910}"/>
    <cellStyle name="Normal 8 2 9 2 4" xfId="31497" xr:uid="{33683483-5245-40BF-9D59-F182EB713386}"/>
    <cellStyle name="Normal 8 2 9 2 5" xfId="39944" xr:uid="{A2CAFFF7-0890-41B7-A9F6-830775C860A7}"/>
    <cellStyle name="Normal 8 2 9 2 6" xfId="13750" xr:uid="{ADB109AF-2DC4-4C00-BED9-0F07957F420F}"/>
    <cellStyle name="Normal 8 2 9 3" xfId="6496" xr:uid="{00000000-0005-0000-0000-00002E1D0000}"/>
    <cellStyle name="Normal 8 2 9 3 2" xfId="25122" xr:uid="{16DBB47F-9FBE-45D3-B4C0-DF012F5FB674}"/>
    <cellStyle name="Normal 8 2 9 3 3" xfId="33569" xr:uid="{21D18E44-B1E3-4833-A871-B5C7145ACFE8}"/>
    <cellStyle name="Normal 8 2 9 3 4" xfId="42016" xr:uid="{7EECC0F3-929E-4600-A50A-86FAD4E5A1D6}"/>
    <cellStyle name="Normal 8 2 9 3 5" xfId="15822" xr:uid="{1677FAAF-31B1-4D73-B58A-7748FD949457}"/>
    <cellStyle name="Normal 8 2 9 4" xfId="20905" xr:uid="{57BB29E2-6F70-4064-B842-2ADD6F8D6E93}"/>
    <cellStyle name="Normal 8 2 9 5" xfId="29352" xr:uid="{24DE0A9F-1D68-4927-87BC-4C2EB09F084F}"/>
    <cellStyle name="Normal 8 2 9 6" xfId="37799" xr:uid="{2668AC06-D709-4F1E-A9CF-251E75B1E0F9}"/>
    <cellStyle name="Normal 8 2 9 7" xfId="11605" xr:uid="{49509C10-9DE4-45B2-BE7D-1D56F7A19A79}"/>
    <cellStyle name="Normal 8 3" xfId="495" xr:uid="{00000000-0005-0000-0000-00002F1D0000}"/>
    <cellStyle name="Normal 8 3 10" xfId="4860" xr:uid="{00000000-0005-0000-0000-0000301D0000}"/>
    <cellStyle name="Normal 8 3 10 2" xfId="23486" xr:uid="{57FFD3B6-EA81-4305-B92A-87736240AD52}"/>
    <cellStyle name="Normal 8 3 10 3" xfId="31933" xr:uid="{363B4136-19BF-4C23-BD1B-B0E1043683EE}"/>
    <cellStyle name="Normal 8 3 10 4" xfId="40380" xr:uid="{EAFD33CB-51BA-49BF-BB3A-EC7C264CA935}"/>
    <cellStyle name="Normal 8 3 10 5" xfId="14186" xr:uid="{6CA509C5-55EE-4326-A273-62EF670BAD50}"/>
    <cellStyle name="Normal 8 3 11" xfId="8774" xr:uid="{81BDDADD-940D-4F3A-BD6C-7E4719C8A3D2}"/>
    <cellStyle name="Normal 8 3 11 2" xfId="18098" xr:uid="{B3854534-1AEA-40EB-A743-1B60CA9B47E5}"/>
    <cellStyle name="Normal 8 3 12" xfId="19269" xr:uid="{0DFB5683-99DC-4A61-ADA7-A65FB0844D67}"/>
    <cellStyle name="Normal 8 3 13" xfId="27716" xr:uid="{AB9706AA-3145-41C0-8F27-4A6D9A205440}"/>
    <cellStyle name="Normal 8 3 14" xfId="36163" xr:uid="{389286F2-037E-44FB-BFF4-8D66A3C3CA44}"/>
    <cellStyle name="Normal 8 3 15" xfId="9969" xr:uid="{E2865D23-8B13-48FE-A2E3-092AA9BA667F}"/>
    <cellStyle name="Normal 8 3 2" xfId="496" xr:uid="{00000000-0005-0000-0000-0000311D0000}"/>
    <cellStyle name="Normal 8 3 2 10" xfId="8837" xr:uid="{392842AA-84B1-4A71-AE94-A1B631487B7E}"/>
    <cellStyle name="Normal 8 3 2 10 2" xfId="18161" xr:uid="{A8FCAF47-89EA-4F27-86EC-DB7C8831E87B}"/>
    <cellStyle name="Normal 8 3 2 11" xfId="19270" xr:uid="{B40F8FFE-474B-41B9-9C2A-ACDCF7DF3EB8}"/>
    <cellStyle name="Normal 8 3 2 12" xfId="27717" xr:uid="{55A2C0CA-2A61-44D6-9875-A40A60625857}"/>
    <cellStyle name="Normal 8 3 2 13" xfId="36164" xr:uid="{6321ED93-7463-4478-A1B6-97EFB94FFFF3}"/>
    <cellStyle name="Normal 8 3 2 14" xfId="9970" xr:uid="{8FB7CE83-3670-4DE5-8214-E510962C6652}"/>
    <cellStyle name="Normal 8 3 2 2" xfId="497" xr:uid="{00000000-0005-0000-0000-0000321D0000}"/>
    <cellStyle name="Normal 8 3 2 2 10" xfId="19271" xr:uid="{C7671AAC-193F-471F-85D4-6CB51BE382B7}"/>
    <cellStyle name="Normal 8 3 2 2 11" xfId="27718" xr:uid="{29EE70DA-0CD2-4AD2-A5BA-F9D5B2D6AD2C}"/>
    <cellStyle name="Normal 8 3 2 2 12" xfId="36165" xr:uid="{512A93CD-F90C-4BA2-A928-B0AB3E6A7D48}"/>
    <cellStyle name="Normal 8 3 2 2 13" xfId="9971" xr:uid="{F458F058-E9E8-40F6-A819-3A4B2AF6FE37}"/>
    <cellStyle name="Normal 8 3 2 2 2" xfId="498" xr:uid="{00000000-0005-0000-0000-0000331D0000}"/>
    <cellStyle name="Normal 8 3 2 2 2 10" xfId="27719" xr:uid="{CFE736C0-27B2-4C9B-9D0B-B67CB404E89F}"/>
    <cellStyle name="Normal 8 3 2 2 2 11" xfId="36166" xr:uid="{D7025703-A41A-4745-9C8E-B7598223AA2C}"/>
    <cellStyle name="Normal 8 3 2 2 2 12" xfId="9972" xr:uid="{783B7B32-CA42-4E15-A19A-9EF4B61A66E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2 2 2" xfId="26047" xr:uid="{52B27A1A-4497-4C96-9119-1DAF6496B434}"/>
    <cellStyle name="Normal 8 3 2 2 2 2 2 2 3" xfId="34494" xr:uid="{4972C728-F36E-4AE9-B84C-46C77C7A02E2}"/>
    <cellStyle name="Normal 8 3 2 2 2 2 2 2 4" xfId="42941" xr:uid="{1A351181-7943-44F5-8CCA-77566675451F}"/>
    <cellStyle name="Normal 8 3 2 2 2 2 2 2 5" xfId="16747" xr:uid="{89830A53-A177-4503-BB46-3AC17072188A}"/>
    <cellStyle name="Normal 8 3 2 2 2 2 2 3" xfId="21830" xr:uid="{D8F884F7-17C1-4F09-95C5-F2D59F4EF042}"/>
    <cellStyle name="Normal 8 3 2 2 2 2 2 4" xfId="30277" xr:uid="{44ABA0B9-B953-4463-9E57-135876E29F12}"/>
    <cellStyle name="Normal 8 3 2 2 2 2 2 5" xfId="38724" xr:uid="{FE5C3625-321C-4853-94A8-4643C92858CD}"/>
    <cellStyle name="Normal 8 3 2 2 2 2 2 6" xfId="12530" xr:uid="{DD226887-0DE1-4689-9093-16150CEBDE13}"/>
    <cellStyle name="Normal 8 3 2 2 2 2 3" xfId="5276" xr:uid="{00000000-0005-0000-0000-0000371D0000}"/>
    <cellStyle name="Normal 8 3 2 2 2 2 3 2" xfId="23902" xr:uid="{6EA563C7-3567-4FBD-97B6-F56AD38980F5}"/>
    <cellStyle name="Normal 8 3 2 2 2 2 3 3" xfId="32349" xr:uid="{9D6F09B0-59AB-4184-84BC-9B8B8CDC9979}"/>
    <cellStyle name="Normal 8 3 2 2 2 2 3 4" xfId="40796" xr:uid="{335B2CAF-E9C9-4E25-BC88-DA18B404DDF9}"/>
    <cellStyle name="Normal 8 3 2 2 2 2 3 5" xfId="14602" xr:uid="{19BC888E-161E-46F0-9725-C31CC9B5BAD2}"/>
    <cellStyle name="Normal 8 3 2 2 2 2 4" xfId="9572" xr:uid="{83269435-2305-4677-BD8B-8CB801DC108A}"/>
    <cellStyle name="Normal 8 3 2 2 2 2 4 2" xfId="18888" xr:uid="{11DA15E8-8110-4864-A8B4-6CAF1802E9A8}"/>
    <cellStyle name="Normal 8 3 2 2 2 2 5" xfId="19685" xr:uid="{6E89E72E-8A79-4C56-B2F2-0555336F27D2}"/>
    <cellStyle name="Normal 8 3 2 2 2 2 6" xfId="28132" xr:uid="{B3357975-6AB3-4290-9070-859B92FF5A04}"/>
    <cellStyle name="Normal 8 3 2 2 2 2 7" xfId="36579" xr:uid="{4C6FA9C0-DA63-45C9-85ED-55550D4DFCAF}"/>
    <cellStyle name="Normal 8 3 2 2 2 2 8" xfId="10385" xr:uid="{58F0513A-80D4-4F45-931C-64FECC166B7F}"/>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2 2 2" xfId="26460" xr:uid="{3C8E53FD-2E4B-4EEC-8439-F308D64FB969}"/>
    <cellStyle name="Normal 8 3 2 2 2 3 2 2 3" xfId="34907" xr:uid="{58A01252-B67B-439F-B26A-CB703EA67927}"/>
    <cellStyle name="Normal 8 3 2 2 2 3 2 2 4" xfId="43354" xr:uid="{258A363C-313F-43CE-9EAE-3C97F531B0D3}"/>
    <cellStyle name="Normal 8 3 2 2 2 3 2 2 5" xfId="17160" xr:uid="{990DBB82-A42F-4A08-B02F-6A133C984364}"/>
    <cellStyle name="Normal 8 3 2 2 2 3 2 3" xfId="22243" xr:uid="{85E06B62-8C00-4352-9694-B2173A5AFDCC}"/>
    <cellStyle name="Normal 8 3 2 2 2 3 2 4" xfId="30690" xr:uid="{952888F7-9229-4606-A860-A03AFB7C7548}"/>
    <cellStyle name="Normal 8 3 2 2 2 3 2 5" xfId="39137" xr:uid="{8843601B-3FE8-4AFB-8EBD-97F9DE1A7E1F}"/>
    <cellStyle name="Normal 8 3 2 2 2 3 2 6" xfId="12943" xr:uid="{8BCF888C-B077-463D-BCC1-CFD4AC9FB55E}"/>
    <cellStyle name="Normal 8 3 2 2 2 3 3" xfId="5689" xr:uid="{00000000-0005-0000-0000-00003B1D0000}"/>
    <cellStyle name="Normal 8 3 2 2 2 3 3 2" xfId="24315" xr:uid="{9EB90826-9205-47F7-9CF1-AD0AA9C814E2}"/>
    <cellStyle name="Normal 8 3 2 2 2 3 3 3" xfId="32762" xr:uid="{AC577959-7AD9-458D-90F4-51BEF35962D4}"/>
    <cellStyle name="Normal 8 3 2 2 2 3 3 4" xfId="41209" xr:uid="{AE82B083-F034-42E6-879F-6C627F4CB72D}"/>
    <cellStyle name="Normal 8 3 2 2 2 3 3 5" xfId="15015" xr:uid="{BA9DDECB-8F5F-495C-8D14-E10AEA9AE7D2}"/>
    <cellStyle name="Normal 8 3 2 2 2 3 4" xfId="20098" xr:uid="{1A3B4DF7-953B-4B75-B998-08010FB56E80}"/>
    <cellStyle name="Normal 8 3 2 2 2 3 5" xfId="28545" xr:uid="{04649DC4-92E4-4557-9639-C7102F870D7A}"/>
    <cellStyle name="Normal 8 3 2 2 2 3 6" xfId="36992" xr:uid="{C2EFED69-2524-425B-93C5-8E7C5E82002E}"/>
    <cellStyle name="Normal 8 3 2 2 2 3 7" xfId="10798" xr:uid="{5DCD8A37-1507-4BE5-B679-8ECA1D72A3A9}"/>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2 2 2" xfId="26873" xr:uid="{2F727E0D-6771-40DE-84BA-ED832AF6159E}"/>
    <cellStyle name="Normal 8 3 2 2 2 4 2 2 3" xfId="35320" xr:uid="{311326EC-D7FD-4FA7-B7F2-57BDA11E26F9}"/>
    <cellStyle name="Normal 8 3 2 2 2 4 2 2 4" xfId="43767" xr:uid="{5EF7D2B6-C036-477F-819A-8CC3457FAC33}"/>
    <cellStyle name="Normal 8 3 2 2 2 4 2 2 5" xfId="17573" xr:uid="{B3CF8671-D704-48D1-B82D-6A494AC45482}"/>
    <cellStyle name="Normal 8 3 2 2 2 4 2 3" xfId="22656" xr:uid="{69A3241B-9E29-4DE0-9BA1-C1009F078AEE}"/>
    <cellStyle name="Normal 8 3 2 2 2 4 2 4" xfId="31103" xr:uid="{9839B763-C37F-4BB8-8963-FD69A18CA879}"/>
    <cellStyle name="Normal 8 3 2 2 2 4 2 5" xfId="39550" xr:uid="{B52D4015-F532-47AF-B0EB-F26AB7175973}"/>
    <cellStyle name="Normal 8 3 2 2 2 4 2 6" xfId="13356" xr:uid="{A7B9D86E-A0BF-46B1-B346-F64148D6D09D}"/>
    <cellStyle name="Normal 8 3 2 2 2 4 3" xfId="6102" xr:uid="{00000000-0005-0000-0000-00003F1D0000}"/>
    <cellStyle name="Normal 8 3 2 2 2 4 3 2" xfId="24728" xr:uid="{AC9F9825-2A8F-4C02-8F33-77E9F7CCA6D2}"/>
    <cellStyle name="Normal 8 3 2 2 2 4 3 3" xfId="33175" xr:uid="{0D0DAB30-FA90-438A-A165-1460FB307F7D}"/>
    <cellStyle name="Normal 8 3 2 2 2 4 3 4" xfId="41622" xr:uid="{93C5E6B2-4D4C-4314-BFB2-8DBF986422FE}"/>
    <cellStyle name="Normal 8 3 2 2 2 4 3 5" xfId="15428" xr:uid="{0274BAB7-1B50-4204-95C3-A33F19C398F5}"/>
    <cellStyle name="Normal 8 3 2 2 2 4 4" xfId="20511" xr:uid="{E5D96312-8806-402B-B4D2-9A5BD5161E11}"/>
    <cellStyle name="Normal 8 3 2 2 2 4 5" xfId="28958" xr:uid="{BD1FC11C-82E0-471B-9F9B-0A3819EA5B06}"/>
    <cellStyle name="Normal 8 3 2 2 2 4 6" xfId="37405" xr:uid="{4D43ADEA-68FF-4AD4-9441-4B0C71EC5D05}"/>
    <cellStyle name="Normal 8 3 2 2 2 4 7" xfId="11211" xr:uid="{67F9748B-E5E3-4013-A042-C0AA451E33F2}"/>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2 2 2" xfId="27286" xr:uid="{40D7E7ED-B542-40C0-8FAE-9DFF136DDD71}"/>
    <cellStyle name="Normal 8 3 2 2 2 5 2 2 3" xfId="35733" xr:uid="{634A71F3-83E0-4D62-85AD-2DB40642CC93}"/>
    <cellStyle name="Normal 8 3 2 2 2 5 2 2 4" xfId="44180" xr:uid="{04D7267A-E14E-4FC5-BAC8-945DBBB02CA9}"/>
    <cellStyle name="Normal 8 3 2 2 2 5 2 2 5" xfId="17986" xr:uid="{2E8A7287-C024-459B-9F34-A9AB52A5DD38}"/>
    <cellStyle name="Normal 8 3 2 2 2 5 2 3" xfId="23069" xr:uid="{4ED4158C-894C-4BCD-92D0-19FAD48F82D9}"/>
    <cellStyle name="Normal 8 3 2 2 2 5 2 4" xfId="31516" xr:uid="{D716AFA1-8F2E-439E-9129-E22E86F0217C}"/>
    <cellStyle name="Normal 8 3 2 2 2 5 2 5" xfId="39963" xr:uid="{2CF19BA4-9439-427D-86BE-C59F1C69C11A}"/>
    <cellStyle name="Normal 8 3 2 2 2 5 2 6" xfId="13769" xr:uid="{8DB1F2D4-04F5-4805-ADA6-E77FC590C055}"/>
    <cellStyle name="Normal 8 3 2 2 2 5 3" xfId="6515" xr:uid="{00000000-0005-0000-0000-0000431D0000}"/>
    <cellStyle name="Normal 8 3 2 2 2 5 3 2" xfId="25141" xr:uid="{EDD75C89-5DFE-46CD-9BE5-3ECA16C08F80}"/>
    <cellStyle name="Normal 8 3 2 2 2 5 3 3" xfId="33588" xr:uid="{1F0DE55C-87FA-4993-9472-29801F55288C}"/>
    <cellStyle name="Normal 8 3 2 2 2 5 3 4" xfId="42035" xr:uid="{EC7D13AF-00C3-4471-82D1-BFA5BE657525}"/>
    <cellStyle name="Normal 8 3 2 2 2 5 3 5" xfId="15841" xr:uid="{803BBE0F-675B-4C8E-B826-2F04A1FDE8A6}"/>
    <cellStyle name="Normal 8 3 2 2 2 5 4" xfId="20924" xr:uid="{28C830AE-3021-450B-B871-C44ADC3B9FD4}"/>
    <cellStyle name="Normal 8 3 2 2 2 5 5" xfId="29371" xr:uid="{AE0C9ECE-C3F9-4189-96FF-CD5E92C9ED60}"/>
    <cellStyle name="Normal 8 3 2 2 2 5 6" xfId="37818" xr:uid="{7486082D-9A3E-4533-B6A8-C376D4C07BE7}"/>
    <cellStyle name="Normal 8 3 2 2 2 5 7" xfId="11624" xr:uid="{817A8EA3-7AA8-49DC-9347-6F966B74E037}"/>
    <cellStyle name="Normal 8 3 2 2 2 6" xfId="2645" xr:uid="{00000000-0005-0000-0000-0000441D0000}"/>
    <cellStyle name="Normal 8 3 2 2 2 6 2" xfId="6928" xr:uid="{00000000-0005-0000-0000-0000451D0000}"/>
    <cellStyle name="Normal 8 3 2 2 2 6 2 2" xfId="25554" xr:uid="{D40949A2-7348-419A-9B68-0868494FA9D8}"/>
    <cellStyle name="Normal 8 3 2 2 2 6 2 3" xfId="34001" xr:uid="{E3C36448-98E7-4C97-A68F-7A087F739568}"/>
    <cellStyle name="Normal 8 3 2 2 2 6 2 4" xfId="42448" xr:uid="{AC7E0EE1-BF0F-45D2-B3BE-B90E0EB5FB08}"/>
    <cellStyle name="Normal 8 3 2 2 2 6 2 5" xfId="16254" xr:uid="{07EE20FB-0D9B-486A-8F9D-FC2F6B34380B}"/>
    <cellStyle name="Normal 8 3 2 2 2 6 3" xfId="21337" xr:uid="{ACA6ECB2-6EED-4435-BDFD-9FC21E2DBF74}"/>
    <cellStyle name="Normal 8 3 2 2 2 6 4" xfId="29784" xr:uid="{E8C04369-B6A0-4373-9F8A-20FDEA43C03C}"/>
    <cellStyle name="Normal 8 3 2 2 2 6 5" xfId="38231" xr:uid="{0882E841-9550-4EBB-B45A-80D199738451}"/>
    <cellStyle name="Normal 8 3 2 2 2 6 6" xfId="12037" xr:uid="{2329A4BA-15BF-497E-AAAC-54F7A8181DE0}"/>
    <cellStyle name="Normal 8 3 2 2 2 7" xfId="4863" xr:uid="{00000000-0005-0000-0000-0000461D0000}"/>
    <cellStyle name="Normal 8 3 2 2 2 7 2" xfId="23489" xr:uid="{C3B7ED3C-4540-4EBC-B827-51EA4DA89053}"/>
    <cellStyle name="Normal 8 3 2 2 2 7 3" xfId="31936" xr:uid="{9018D225-27F2-4C1B-B655-6D829B785383}"/>
    <cellStyle name="Normal 8 3 2 2 2 7 4" xfId="40383" xr:uid="{0C0BD000-4048-4840-B336-34159CD96364}"/>
    <cellStyle name="Normal 8 3 2 2 2 7 5" xfId="14189" xr:uid="{852C900B-04BE-451F-9DA5-3EBDCFE59526}"/>
    <cellStyle name="Normal 8 3 2 2 2 8" xfId="9147" xr:uid="{16780743-13F5-44BF-919B-157B86988913}"/>
    <cellStyle name="Normal 8 3 2 2 2 8 2" xfId="18471" xr:uid="{AB79C75A-7523-4580-BB0C-FB7F98E22173}"/>
    <cellStyle name="Normal 8 3 2 2 2 9" xfId="19272" xr:uid="{9BA0D706-0D45-4C6D-B752-0D59CD4A93E1}"/>
    <cellStyle name="Normal 8 3 2 2 3" xfId="964" xr:uid="{00000000-0005-0000-0000-0000471D0000}"/>
    <cellStyle name="Normal 8 3 2 2 3 2" xfId="3198" xr:uid="{00000000-0005-0000-0000-0000481D0000}"/>
    <cellStyle name="Normal 8 3 2 2 3 2 2" xfId="7420" xr:uid="{00000000-0005-0000-0000-0000491D0000}"/>
    <cellStyle name="Normal 8 3 2 2 3 2 2 2" xfId="26046" xr:uid="{1510CD5E-3521-4D5B-9D48-3C957A1DB3DD}"/>
    <cellStyle name="Normal 8 3 2 2 3 2 2 3" xfId="34493" xr:uid="{D82DFA65-2A9E-4977-BC35-5D94181D203F}"/>
    <cellStyle name="Normal 8 3 2 2 3 2 2 4" xfId="42940" xr:uid="{C06BA84E-8C1B-4202-BA35-BE5C8FDDD6AA}"/>
    <cellStyle name="Normal 8 3 2 2 3 2 2 5" xfId="16746" xr:uid="{B2B43513-E8B2-4DD7-82B0-EBD09462CD9F}"/>
    <cellStyle name="Normal 8 3 2 2 3 2 3" xfId="21829" xr:uid="{3E2BFA8C-A58B-414C-A822-6F26BEE8BFFB}"/>
    <cellStyle name="Normal 8 3 2 2 3 2 4" xfId="30276" xr:uid="{91EB5866-718D-48FF-99A5-81A189BAA6E8}"/>
    <cellStyle name="Normal 8 3 2 2 3 2 5" xfId="38723" xr:uid="{55CC69D9-4C22-42BC-B25D-51BAD2C14CEA}"/>
    <cellStyle name="Normal 8 3 2 2 3 2 6" xfId="12529" xr:uid="{30338AC8-6A65-400F-9DA1-9D13E083C621}"/>
    <cellStyle name="Normal 8 3 2 2 3 3" xfId="5275" xr:uid="{00000000-0005-0000-0000-00004A1D0000}"/>
    <cellStyle name="Normal 8 3 2 2 3 3 2" xfId="23901" xr:uid="{256EA150-6310-4826-9A4D-BF1D9A709383}"/>
    <cellStyle name="Normal 8 3 2 2 3 3 3" xfId="32348" xr:uid="{8C12CB86-E797-4603-B3F0-0022863FD564}"/>
    <cellStyle name="Normal 8 3 2 2 3 3 4" xfId="40795" xr:uid="{5E73DF2C-76BD-4155-A74E-DAE5BB080BDA}"/>
    <cellStyle name="Normal 8 3 2 2 3 3 5" xfId="14601" xr:uid="{D7259A36-8576-4BA2-A3FD-3776C6483B91}"/>
    <cellStyle name="Normal 8 3 2 2 3 4" xfId="9365" xr:uid="{47FF7C14-7484-41B9-856F-11398F7B2C7C}"/>
    <cellStyle name="Normal 8 3 2 2 3 4 2" xfId="18681" xr:uid="{98B1D44E-1121-4556-BA33-63CBD928781A}"/>
    <cellStyle name="Normal 8 3 2 2 3 5" xfId="19684" xr:uid="{7F7F884B-ED60-4F2B-8C10-FFB3C8CDC669}"/>
    <cellStyle name="Normal 8 3 2 2 3 6" xfId="28131" xr:uid="{4A727A5C-B28C-48A9-8AAF-9100231B7FE6}"/>
    <cellStyle name="Normal 8 3 2 2 3 7" xfId="36578" xr:uid="{1A974C94-2EC1-4474-BCBD-703FFC26E59C}"/>
    <cellStyle name="Normal 8 3 2 2 3 8" xfId="10384" xr:uid="{A44D0266-E9A2-4B13-93AB-3A5CE76F41E4}"/>
    <cellStyle name="Normal 8 3 2 2 4" xfId="1381" xr:uid="{00000000-0005-0000-0000-00004B1D0000}"/>
    <cellStyle name="Normal 8 3 2 2 4 2" xfId="3611" xr:uid="{00000000-0005-0000-0000-00004C1D0000}"/>
    <cellStyle name="Normal 8 3 2 2 4 2 2" xfId="7833" xr:uid="{00000000-0005-0000-0000-00004D1D0000}"/>
    <cellStyle name="Normal 8 3 2 2 4 2 2 2" xfId="26459" xr:uid="{362339BC-0C05-45F0-BA09-0678A81EC365}"/>
    <cellStyle name="Normal 8 3 2 2 4 2 2 3" xfId="34906" xr:uid="{50B97D8D-A2FA-4642-87C6-1AAA3BC9111D}"/>
    <cellStyle name="Normal 8 3 2 2 4 2 2 4" xfId="43353" xr:uid="{9615BD39-084A-4B45-B088-879D217A0DF3}"/>
    <cellStyle name="Normal 8 3 2 2 4 2 2 5" xfId="17159" xr:uid="{93565547-C3F3-438D-B94C-F864D001AA84}"/>
    <cellStyle name="Normal 8 3 2 2 4 2 3" xfId="22242" xr:uid="{F1BA29B0-1235-45F3-9571-9647263D05D0}"/>
    <cellStyle name="Normal 8 3 2 2 4 2 4" xfId="30689" xr:uid="{C0B0879E-B931-4883-AC1F-14DD95441EBB}"/>
    <cellStyle name="Normal 8 3 2 2 4 2 5" xfId="39136" xr:uid="{7B59EB84-B0E4-4CD0-8954-E8982FC3E07C}"/>
    <cellStyle name="Normal 8 3 2 2 4 2 6" xfId="12942" xr:uid="{7EA2898D-0213-4218-98DA-0522D2AFF015}"/>
    <cellStyle name="Normal 8 3 2 2 4 3" xfId="5688" xr:uid="{00000000-0005-0000-0000-00004E1D0000}"/>
    <cellStyle name="Normal 8 3 2 2 4 3 2" xfId="24314" xr:uid="{420D4B56-72CE-4D9F-A6D9-9D1FC362EAC6}"/>
    <cellStyle name="Normal 8 3 2 2 4 3 3" xfId="32761" xr:uid="{6A6E9250-516D-45AB-8B43-4E00D1ED4172}"/>
    <cellStyle name="Normal 8 3 2 2 4 3 4" xfId="41208" xr:uid="{D5514DF0-BA23-48F7-A8F2-C54EB38B324F}"/>
    <cellStyle name="Normal 8 3 2 2 4 3 5" xfId="15014" xr:uid="{F7B827D8-BE8E-4915-949B-F6FD9A56F02D}"/>
    <cellStyle name="Normal 8 3 2 2 4 4" xfId="20097" xr:uid="{65D61C82-1F9E-42A4-9D23-209B9A08F172}"/>
    <cellStyle name="Normal 8 3 2 2 4 5" xfId="28544" xr:uid="{FE858FEA-7AAC-4CA2-8020-1FE912933F4B}"/>
    <cellStyle name="Normal 8 3 2 2 4 6" xfId="36991" xr:uid="{201A276F-6CF4-4D50-A5B2-DA463CECAC02}"/>
    <cellStyle name="Normal 8 3 2 2 4 7" xfId="10797" xr:uid="{BFD735E3-9746-4B29-9FA9-C28D2F468AD2}"/>
    <cellStyle name="Normal 8 3 2 2 5" xfId="1794" xr:uid="{00000000-0005-0000-0000-00004F1D0000}"/>
    <cellStyle name="Normal 8 3 2 2 5 2" xfId="4024" xr:uid="{00000000-0005-0000-0000-0000501D0000}"/>
    <cellStyle name="Normal 8 3 2 2 5 2 2" xfId="8246" xr:uid="{00000000-0005-0000-0000-0000511D0000}"/>
    <cellStyle name="Normal 8 3 2 2 5 2 2 2" xfId="26872" xr:uid="{F98C1453-9A57-47D9-9707-2DA444FF8ADE}"/>
    <cellStyle name="Normal 8 3 2 2 5 2 2 3" xfId="35319" xr:uid="{51A62529-B6D0-4B0B-B467-67C21ACA0C95}"/>
    <cellStyle name="Normal 8 3 2 2 5 2 2 4" xfId="43766" xr:uid="{DFAE55AF-F224-4D65-8344-D2F2CAF65925}"/>
    <cellStyle name="Normal 8 3 2 2 5 2 2 5" xfId="17572" xr:uid="{85152372-9561-4746-A469-AA1695992607}"/>
    <cellStyle name="Normal 8 3 2 2 5 2 3" xfId="22655" xr:uid="{C834D076-C331-4FED-8C5F-740B4FDF5545}"/>
    <cellStyle name="Normal 8 3 2 2 5 2 4" xfId="31102" xr:uid="{39EB1903-8861-441A-A5B4-39CDB4E3DA8D}"/>
    <cellStyle name="Normal 8 3 2 2 5 2 5" xfId="39549" xr:uid="{1318F91E-28C2-4EDE-8B6E-C92AD9F42AF8}"/>
    <cellStyle name="Normal 8 3 2 2 5 2 6" xfId="13355" xr:uid="{F71E464B-1B38-4BD8-AA2F-4952454BDBDE}"/>
    <cellStyle name="Normal 8 3 2 2 5 3" xfId="6101" xr:uid="{00000000-0005-0000-0000-0000521D0000}"/>
    <cellStyle name="Normal 8 3 2 2 5 3 2" xfId="24727" xr:uid="{94BBF3EC-BC98-4C8A-898A-C704D6DFF6C9}"/>
    <cellStyle name="Normal 8 3 2 2 5 3 3" xfId="33174" xr:uid="{DB55CD97-27CB-4253-983B-9A4020A0D28F}"/>
    <cellStyle name="Normal 8 3 2 2 5 3 4" xfId="41621" xr:uid="{13E379C6-EF54-4613-A047-145E86423912}"/>
    <cellStyle name="Normal 8 3 2 2 5 3 5" xfId="15427" xr:uid="{FB4C6793-BB40-45C1-A7BF-A41C383862FB}"/>
    <cellStyle name="Normal 8 3 2 2 5 4" xfId="20510" xr:uid="{DF3DCB94-11E3-4545-8556-134254C00866}"/>
    <cellStyle name="Normal 8 3 2 2 5 5" xfId="28957" xr:uid="{3978D142-5DB8-426E-A20F-108068F1E3AE}"/>
    <cellStyle name="Normal 8 3 2 2 5 6" xfId="37404" xr:uid="{11055C88-E230-40A6-BA44-857A94C5024E}"/>
    <cellStyle name="Normal 8 3 2 2 5 7" xfId="11210" xr:uid="{6E8D5782-9DF5-4FD4-AB0D-2F68EC8735C4}"/>
    <cellStyle name="Normal 8 3 2 2 6" xfId="2208" xr:uid="{00000000-0005-0000-0000-0000531D0000}"/>
    <cellStyle name="Normal 8 3 2 2 6 2" xfId="4437" xr:uid="{00000000-0005-0000-0000-0000541D0000}"/>
    <cellStyle name="Normal 8 3 2 2 6 2 2" xfId="8659" xr:uid="{00000000-0005-0000-0000-0000551D0000}"/>
    <cellStyle name="Normal 8 3 2 2 6 2 2 2" xfId="27285" xr:uid="{1B04E3D4-229D-4A27-8789-964DC7E5225F}"/>
    <cellStyle name="Normal 8 3 2 2 6 2 2 3" xfId="35732" xr:uid="{A995A1BC-5CC2-4979-AC6E-7C25B03B63C8}"/>
    <cellStyle name="Normal 8 3 2 2 6 2 2 4" xfId="44179" xr:uid="{2D651E03-D1CA-4FF9-A779-265EF082ADF5}"/>
    <cellStyle name="Normal 8 3 2 2 6 2 2 5" xfId="17985" xr:uid="{BA7CDDCD-BD11-4686-B5F7-F6DC6CF3225E}"/>
    <cellStyle name="Normal 8 3 2 2 6 2 3" xfId="23068" xr:uid="{48FCAA3C-E8D5-4E24-AACD-74B8491CDEC4}"/>
    <cellStyle name="Normal 8 3 2 2 6 2 4" xfId="31515" xr:uid="{F90B0BD0-F6A6-4366-90F3-DA7E2109DFC7}"/>
    <cellStyle name="Normal 8 3 2 2 6 2 5" xfId="39962" xr:uid="{1562F694-E7AB-4842-83A8-54CCF4A02798}"/>
    <cellStyle name="Normal 8 3 2 2 6 2 6" xfId="13768" xr:uid="{35CDAC72-F104-44A9-A1F7-1D08AD8FF4C2}"/>
    <cellStyle name="Normal 8 3 2 2 6 3" xfId="6514" xr:uid="{00000000-0005-0000-0000-0000561D0000}"/>
    <cellStyle name="Normal 8 3 2 2 6 3 2" xfId="25140" xr:uid="{AB4E44D4-3AEE-4121-B41B-6815C9D0D868}"/>
    <cellStyle name="Normal 8 3 2 2 6 3 3" xfId="33587" xr:uid="{1252A82E-7CC0-46CA-9747-C036003D86DA}"/>
    <cellStyle name="Normal 8 3 2 2 6 3 4" xfId="42034" xr:uid="{49AB91A7-E1C2-4580-8D7E-7131D067D350}"/>
    <cellStyle name="Normal 8 3 2 2 6 3 5" xfId="15840" xr:uid="{A53D4FFC-89FF-415A-8434-8BEE82268A2D}"/>
    <cellStyle name="Normal 8 3 2 2 6 4" xfId="20923" xr:uid="{AEFEFD89-BC03-4D46-97B7-C895FB9DC555}"/>
    <cellStyle name="Normal 8 3 2 2 6 5" xfId="29370" xr:uid="{9CBF102C-4580-4ECC-8F8F-C03571C7ED12}"/>
    <cellStyle name="Normal 8 3 2 2 6 6" xfId="37817" xr:uid="{33F1D79A-AACF-4FCD-8E1E-CC6DFBCE3E30}"/>
    <cellStyle name="Normal 8 3 2 2 6 7" xfId="11623" xr:uid="{B557950D-1D0B-4F48-A4C5-ED469DB139F0}"/>
    <cellStyle name="Normal 8 3 2 2 7" xfId="2644" xr:uid="{00000000-0005-0000-0000-0000571D0000}"/>
    <cellStyle name="Normal 8 3 2 2 7 2" xfId="6927" xr:uid="{00000000-0005-0000-0000-0000581D0000}"/>
    <cellStyle name="Normal 8 3 2 2 7 2 2" xfId="25553" xr:uid="{ED2C7244-5FC7-43B0-A5F9-652638E30F01}"/>
    <cellStyle name="Normal 8 3 2 2 7 2 3" xfId="34000" xr:uid="{81F4CC8C-909E-47D2-AFD9-B0293D0B10D1}"/>
    <cellStyle name="Normal 8 3 2 2 7 2 4" xfId="42447" xr:uid="{0BC84864-5650-4FFC-BD91-A35F32102DBB}"/>
    <cellStyle name="Normal 8 3 2 2 7 2 5" xfId="16253" xr:uid="{C097CB65-C3DB-4673-B318-3E31E055E5CF}"/>
    <cellStyle name="Normal 8 3 2 2 7 3" xfId="21336" xr:uid="{1167BEAF-CDD4-4009-92AC-B13D1F819B31}"/>
    <cellStyle name="Normal 8 3 2 2 7 4" xfId="29783" xr:uid="{6210F271-799E-4AF6-B40C-A94A10E6F8A1}"/>
    <cellStyle name="Normal 8 3 2 2 7 5" xfId="38230" xr:uid="{89D2D7E6-E910-4CE6-8D21-068149722074}"/>
    <cellStyle name="Normal 8 3 2 2 7 6" xfId="12036" xr:uid="{6FDE6784-9F0A-417C-A1A1-223FB3D49BFC}"/>
    <cellStyle name="Normal 8 3 2 2 8" xfId="4862" xr:uid="{00000000-0005-0000-0000-0000591D0000}"/>
    <cellStyle name="Normal 8 3 2 2 8 2" xfId="23488" xr:uid="{8E1A9290-A7F8-4967-8B43-0D98353637A0}"/>
    <cellStyle name="Normal 8 3 2 2 8 3" xfId="31935" xr:uid="{CBA2BA20-E097-4665-90EC-FF7B5B3F910C}"/>
    <cellStyle name="Normal 8 3 2 2 8 4" xfId="40382" xr:uid="{DD424F66-77D9-40A6-B2D6-C20A12C3E38C}"/>
    <cellStyle name="Normal 8 3 2 2 8 5" xfId="14188" xr:uid="{0C54AA53-F42B-426C-92A5-490B5767B3A2}"/>
    <cellStyle name="Normal 8 3 2 2 9" xfId="8940" xr:uid="{63944EF0-E10A-4406-A758-3BD135650136}"/>
    <cellStyle name="Normal 8 3 2 2 9 2" xfId="18264" xr:uid="{71EA80FB-37C0-4E8F-BFF2-8A0FD14808BF}"/>
    <cellStyle name="Normal 8 3 2 3" xfId="499" xr:uid="{00000000-0005-0000-0000-00005A1D0000}"/>
    <cellStyle name="Normal 8 3 2 3 10" xfId="27720" xr:uid="{FE8D7B13-885C-4A4E-8E90-5C17E5F0C25B}"/>
    <cellStyle name="Normal 8 3 2 3 11" xfId="36167" xr:uid="{B6E8A256-D958-4BB8-968D-B540C44617B5}"/>
    <cellStyle name="Normal 8 3 2 3 12" xfId="9973" xr:uid="{98C4FD52-4934-4BC7-B49A-87729C84763E}"/>
    <cellStyle name="Normal 8 3 2 3 2" xfId="966" xr:uid="{00000000-0005-0000-0000-00005B1D0000}"/>
    <cellStyle name="Normal 8 3 2 3 2 2" xfId="3200" xr:uid="{00000000-0005-0000-0000-00005C1D0000}"/>
    <cellStyle name="Normal 8 3 2 3 2 2 2" xfId="7422" xr:uid="{00000000-0005-0000-0000-00005D1D0000}"/>
    <cellStyle name="Normal 8 3 2 3 2 2 2 2" xfId="26048" xr:uid="{95E00529-8232-44C2-8EE1-4441A95B5E19}"/>
    <cellStyle name="Normal 8 3 2 3 2 2 2 3" xfId="34495" xr:uid="{5F75D578-7443-4A6F-8BFE-DCF93B4369D1}"/>
    <cellStyle name="Normal 8 3 2 3 2 2 2 4" xfId="42942" xr:uid="{EDB2E7A3-5A45-440B-A7EC-35D343737C39}"/>
    <cellStyle name="Normal 8 3 2 3 2 2 2 5" xfId="16748" xr:uid="{415F146E-1B6C-4B29-91F3-9F06EE7C1C50}"/>
    <cellStyle name="Normal 8 3 2 3 2 2 3" xfId="21831" xr:uid="{D71308B1-4A43-402C-B7DD-C55FA32C4854}"/>
    <cellStyle name="Normal 8 3 2 3 2 2 4" xfId="30278" xr:uid="{B281E1EC-47A5-4D75-9DAF-729B95B36B1B}"/>
    <cellStyle name="Normal 8 3 2 3 2 2 5" xfId="38725" xr:uid="{E5B7DD6F-3FC0-4B58-A241-975B544E818A}"/>
    <cellStyle name="Normal 8 3 2 3 2 2 6" xfId="12531" xr:uid="{8A0A306D-0F8D-415C-85FD-5052ED0B2BB6}"/>
    <cellStyle name="Normal 8 3 2 3 2 3" xfId="5277" xr:uid="{00000000-0005-0000-0000-00005E1D0000}"/>
    <cellStyle name="Normal 8 3 2 3 2 3 2" xfId="23903" xr:uid="{16B618E4-4045-4081-8A2A-BA46080366F5}"/>
    <cellStyle name="Normal 8 3 2 3 2 3 3" xfId="32350" xr:uid="{6419CD36-14C5-47A8-B26B-577900553B55}"/>
    <cellStyle name="Normal 8 3 2 3 2 3 4" xfId="40797" xr:uid="{7883FD0C-212C-467C-A3F9-AF5CD62932FC}"/>
    <cellStyle name="Normal 8 3 2 3 2 3 5" xfId="14603" xr:uid="{1F165E35-193B-4E53-B8A3-B383881EE56F}"/>
    <cellStyle name="Normal 8 3 2 3 2 4" xfId="9469" xr:uid="{7CA6C380-A6E9-4AF4-A29A-E40C8E9B5B5F}"/>
    <cellStyle name="Normal 8 3 2 3 2 4 2" xfId="18785" xr:uid="{1C608832-EA49-4829-A10D-05E46AEA4440}"/>
    <cellStyle name="Normal 8 3 2 3 2 5" xfId="19686" xr:uid="{40A5638E-26C1-4A95-B20B-D98DCF66F080}"/>
    <cellStyle name="Normal 8 3 2 3 2 6" xfId="28133" xr:uid="{9E854AE2-1EFA-4212-A5EC-E131D34B0637}"/>
    <cellStyle name="Normal 8 3 2 3 2 7" xfId="36580" xr:uid="{E526939F-FFED-4BF9-BBAD-B1398ECC5336}"/>
    <cellStyle name="Normal 8 3 2 3 2 8" xfId="10386" xr:uid="{7C5A9BD2-6697-440D-B2AB-507F17896ECB}"/>
    <cellStyle name="Normal 8 3 2 3 3" xfId="1383" xr:uid="{00000000-0005-0000-0000-00005F1D0000}"/>
    <cellStyle name="Normal 8 3 2 3 3 2" xfId="3613" xr:uid="{00000000-0005-0000-0000-0000601D0000}"/>
    <cellStyle name="Normal 8 3 2 3 3 2 2" xfId="7835" xr:uid="{00000000-0005-0000-0000-0000611D0000}"/>
    <cellStyle name="Normal 8 3 2 3 3 2 2 2" xfId="26461" xr:uid="{9C400946-6F93-481E-B9F5-D2646AAD19F6}"/>
    <cellStyle name="Normal 8 3 2 3 3 2 2 3" xfId="34908" xr:uid="{5AEACC53-9CB1-4E0C-B0AE-245D70AC4FEC}"/>
    <cellStyle name="Normal 8 3 2 3 3 2 2 4" xfId="43355" xr:uid="{91B6FA87-3617-4944-8040-D21F99B7FF9C}"/>
    <cellStyle name="Normal 8 3 2 3 3 2 2 5" xfId="17161" xr:uid="{F589E305-5502-42E7-B2CE-C4594F202F97}"/>
    <cellStyle name="Normal 8 3 2 3 3 2 3" xfId="22244" xr:uid="{E657EE32-C385-4D54-B6F8-AF9D28FFF399}"/>
    <cellStyle name="Normal 8 3 2 3 3 2 4" xfId="30691" xr:uid="{CB542C0D-D787-4AA6-A7EC-9C1863991402}"/>
    <cellStyle name="Normal 8 3 2 3 3 2 5" xfId="39138" xr:uid="{989CA27F-49D4-4BEC-9A0A-C2459AF17C94}"/>
    <cellStyle name="Normal 8 3 2 3 3 2 6" xfId="12944" xr:uid="{6388FE8F-E884-4E34-99CD-EC986ED60928}"/>
    <cellStyle name="Normal 8 3 2 3 3 3" xfId="5690" xr:uid="{00000000-0005-0000-0000-0000621D0000}"/>
    <cellStyle name="Normal 8 3 2 3 3 3 2" xfId="24316" xr:uid="{97208A28-651A-4566-A689-D878AA33341D}"/>
    <cellStyle name="Normal 8 3 2 3 3 3 3" xfId="32763" xr:uid="{195A75F4-3A46-491D-9D99-8ED6F3291EBE}"/>
    <cellStyle name="Normal 8 3 2 3 3 3 4" xfId="41210" xr:uid="{8145F5AB-FBD3-4C70-8B05-1D86C9AD7395}"/>
    <cellStyle name="Normal 8 3 2 3 3 3 5" xfId="15016" xr:uid="{78888248-1341-4D8D-BCF8-45A5B502356D}"/>
    <cellStyle name="Normal 8 3 2 3 3 4" xfId="20099" xr:uid="{362AB02D-00F0-45E3-9108-FD64F81C8BEC}"/>
    <cellStyle name="Normal 8 3 2 3 3 5" xfId="28546" xr:uid="{E2F8728D-CF4F-486D-A1E9-DBF1E3A29992}"/>
    <cellStyle name="Normal 8 3 2 3 3 6" xfId="36993" xr:uid="{D1E81017-DAA9-4E3F-8F41-C4DE14380243}"/>
    <cellStyle name="Normal 8 3 2 3 3 7" xfId="10799" xr:uid="{BD2DA603-E126-482F-8F12-6E2658B8378E}"/>
    <cellStyle name="Normal 8 3 2 3 4" xfId="1796" xr:uid="{00000000-0005-0000-0000-0000631D0000}"/>
    <cellStyle name="Normal 8 3 2 3 4 2" xfId="4026" xr:uid="{00000000-0005-0000-0000-0000641D0000}"/>
    <cellStyle name="Normal 8 3 2 3 4 2 2" xfId="8248" xr:uid="{00000000-0005-0000-0000-0000651D0000}"/>
    <cellStyle name="Normal 8 3 2 3 4 2 2 2" xfId="26874" xr:uid="{DF3D42CB-410E-4569-BB31-D003B3BCF64E}"/>
    <cellStyle name="Normal 8 3 2 3 4 2 2 3" xfId="35321" xr:uid="{0E2134F2-FA6F-4586-ACAD-2AE6207D03D4}"/>
    <cellStyle name="Normal 8 3 2 3 4 2 2 4" xfId="43768" xr:uid="{B281A5C7-A9DE-4965-95F9-2ED745E7FB92}"/>
    <cellStyle name="Normal 8 3 2 3 4 2 2 5" xfId="17574" xr:uid="{1674C103-81D7-4A66-AC28-810D42DA68D5}"/>
    <cellStyle name="Normal 8 3 2 3 4 2 3" xfId="22657" xr:uid="{631DBE27-CE64-4DE8-AACD-FEF3F694DBE1}"/>
    <cellStyle name="Normal 8 3 2 3 4 2 4" xfId="31104" xr:uid="{F71FE4AA-080E-4BF4-A7AE-8B81B10C327A}"/>
    <cellStyle name="Normal 8 3 2 3 4 2 5" xfId="39551" xr:uid="{E13575C8-E99C-4730-912B-AD86AF7C0C1B}"/>
    <cellStyle name="Normal 8 3 2 3 4 2 6" xfId="13357" xr:uid="{76DB7FD2-0C21-4609-BB2F-60AFE3FA2167}"/>
    <cellStyle name="Normal 8 3 2 3 4 3" xfId="6103" xr:uid="{00000000-0005-0000-0000-0000661D0000}"/>
    <cellStyle name="Normal 8 3 2 3 4 3 2" xfId="24729" xr:uid="{ED171C2C-F0DC-458E-A879-2A194C6F2725}"/>
    <cellStyle name="Normal 8 3 2 3 4 3 3" xfId="33176" xr:uid="{D4A5677C-9DAA-4DB9-AA40-52C247F44867}"/>
    <cellStyle name="Normal 8 3 2 3 4 3 4" xfId="41623" xr:uid="{1096092D-3F21-4A95-A91D-EAE479981048}"/>
    <cellStyle name="Normal 8 3 2 3 4 3 5" xfId="15429" xr:uid="{0606F075-7294-4460-AA3D-1CE658B7EAD4}"/>
    <cellStyle name="Normal 8 3 2 3 4 4" xfId="20512" xr:uid="{DE8CBE0C-9134-4809-838C-8640486653B0}"/>
    <cellStyle name="Normal 8 3 2 3 4 5" xfId="28959" xr:uid="{3FB8A697-554C-4E28-9AB0-88CFECA8129C}"/>
    <cellStyle name="Normal 8 3 2 3 4 6" xfId="37406" xr:uid="{DB9584E5-01C7-48DC-B5D6-7F8CEDC426D4}"/>
    <cellStyle name="Normal 8 3 2 3 4 7" xfId="11212" xr:uid="{DE836FB2-CFC8-49AD-B9FB-AF8AF59B13C4}"/>
    <cellStyle name="Normal 8 3 2 3 5" xfId="2210" xr:uid="{00000000-0005-0000-0000-0000671D0000}"/>
    <cellStyle name="Normal 8 3 2 3 5 2" xfId="4439" xr:uid="{00000000-0005-0000-0000-0000681D0000}"/>
    <cellStyle name="Normal 8 3 2 3 5 2 2" xfId="8661" xr:uid="{00000000-0005-0000-0000-0000691D0000}"/>
    <cellStyle name="Normal 8 3 2 3 5 2 2 2" xfId="27287" xr:uid="{381A459A-15F0-4C51-B7E4-F24ACAFE3567}"/>
    <cellStyle name="Normal 8 3 2 3 5 2 2 3" xfId="35734" xr:uid="{2B59CB57-C5EB-4F00-AF8F-01ED222B9DAD}"/>
    <cellStyle name="Normal 8 3 2 3 5 2 2 4" xfId="44181" xr:uid="{12359462-93C1-4D79-8E4E-B3BBB54C127B}"/>
    <cellStyle name="Normal 8 3 2 3 5 2 2 5" xfId="17987" xr:uid="{5BF462CA-0AD3-4BC8-ABB4-F59BD14D2BEB}"/>
    <cellStyle name="Normal 8 3 2 3 5 2 3" xfId="23070" xr:uid="{3C58DCF4-A5E0-4A52-BAFF-8A7F7AF7BAC7}"/>
    <cellStyle name="Normal 8 3 2 3 5 2 4" xfId="31517" xr:uid="{BB7F3CA4-418D-45C3-B2D0-4B5546A8C963}"/>
    <cellStyle name="Normal 8 3 2 3 5 2 5" xfId="39964" xr:uid="{D9B83444-AD43-4678-9EB3-0AD16853BFEA}"/>
    <cellStyle name="Normal 8 3 2 3 5 2 6" xfId="13770" xr:uid="{86629014-3F77-47F6-94A6-92F9B41D19D4}"/>
    <cellStyle name="Normal 8 3 2 3 5 3" xfId="6516" xr:uid="{00000000-0005-0000-0000-00006A1D0000}"/>
    <cellStyle name="Normal 8 3 2 3 5 3 2" xfId="25142" xr:uid="{40C386C1-F831-478A-8152-FB409BF5F678}"/>
    <cellStyle name="Normal 8 3 2 3 5 3 3" xfId="33589" xr:uid="{01C33A71-A55D-4134-A8EC-5DD465115407}"/>
    <cellStyle name="Normal 8 3 2 3 5 3 4" xfId="42036" xr:uid="{7B729F77-A299-4AB0-A2BF-ED645721F42D}"/>
    <cellStyle name="Normal 8 3 2 3 5 3 5" xfId="15842" xr:uid="{25E99F94-DFE3-4C47-A1BD-439C4EAAC546}"/>
    <cellStyle name="Normal 8 3 2 3 5 4" xfId="20925" xr:uid="{0007D832-CEDB-485B-96EE-14B90B2FF207}"/>
    <cellStyle name="Normal 8 3 2 3 5 5" xfId="29372" xr:uid="{BD8AC976-A5BE-4AEA-B590-8E72A850F195}"/>
    <cellStyle name="Normal 8 3 2 3 5 6" xfId="37819" xr:uid="{C4C990D8-4A76-4B3D-91D5-E6EBEA43AFA6}"/>
    <cellStyle name="Normal 8 3 2 3 5 7" xfId="11625" xr:uid="{76833B39-6E01-4CAC-A7C6-80B4867D9F67}"/>
    <cellStyle name="Normal 8 3 2 3 6" xfId="2646" xr:uid="{00000000-0005-0000-0000-00006B1D0000}"/>
    <cellStyle name="Normal 8 3 2 3 6 2" xfId="6929" xr:uid="{00000000-0005-0000-0000-00006C1D0000}"/>
    <cellStyle name="Normal 8 3 2 3 6 2 2" xfId="25555" xr:uid="{85A419A2-E9A8-415D-9C16-6BEA02E59E35}"/>
    <cellStyle name="Normal 8 3 2 3 6 2 3" xfId="34002" xr:uid="{A1107A3D-66A4-43D5-B00E-89992337B61E}"/>
    <cellStyle name="Normal 8 3 2 3 6 2 4" xfId="42449" xr:uid="{54E87FBD-7945-4457-97FC-953C1D03FAD5}"/>
    <cellStyle name="Normal 8 3 2 3 6 2 5" xfId="16255" xr:uid="{1194301D-2A82-44AD-B555-CD7698C33B07}"/>
    <cellStyle name="Normal 8 3 2 3 6 3" xfId="21338" xr:uid="{9494DAE2-FFAF-49A2-883B-713AB93D811D}"/>
    <cellStyle name="Normal 8 3 2 3 6 4" xfId="29785" xr:uid="{BF3C332C-1B5A-442C-B884-E7B91C04E00A}"/>
    <cellStyle name="Normal 8 3 2 3 6 5" xfId="38232" xr:uid="{623032A8-4306-43BB-936F-7254392F1FA6}"/>
    <cellStyle name="Normal 8 3 2 3 6 6" xfId="12038" xr:uid="{AF7C45D9-35E3-4755-B2D7-F7580A6BB157}"/>
    <cellStyle name="Normal 8 3 2 3 7" xfId="4864" xr:uid="{00000000-0005-0000-0000-00006D1D0000}"/>
    <cellStyle name="Normal 8 3 2 3 7 2" xfId="23490" xr:uid="{EB7F0DE0-0BE5-4E5F-8958-97AF298A1C50}"/>
    <cellStyle name="Normal 8 3 2 3 7 3" xfId="31937" xr:uid="{1FC19402-E547-45AC-B0C4-B8D165C1088B}"/>
    <cellStyle name="Normal 8 3 2 3 7 4" xfId="40384" xr:uid="{C0B16C6F-1676-4A01-8411-643D46768BEF}"/>
    <cellStyle name="Normal 8 3 2 3 7 5" xfId="14190" xr:uid="{E4927876-32EA-4FFC-BE38-22F5C7029B50}"/>
    <cellStyle name="Normal 8 3 2 3 8" xfId="9044" xr:uid="{5ED49706-9CA9-4EE9-B01D-112CD1DB587C}"/>
    <cellStyle name="Normal 8 3 2 3 8 2" xfId="18368" xr:uid="{7E2830CA-316F-46BD-983B-25D4B7D2DBE3}"/>
    <cellStyle name="Normal 8 3 2 3 9" xfId="19273" xr:uid="{F731DEAA-3133-493A-A062-4D9684DFCBE0}"/>
    <cellStyle name="Normal 8 3 2 4" xfId="963" xr:uid="{00000000-0005-0000-0000-00006E1D0000}"/>
    <cellStyle name="Normal 8 3 2 4 2" xfId="3197" xr:uid="{00000000-0005-0000-0000-00006F1D0000}"/>
    <cellStyle name="Normal 8 3 2 4 2 2" xfId="7419" xr:uid="{00000000-0005-0000-0000-0000701D0000}"/>
    <cellStyle name="Normal 8 3 2 4 2 2 2" xfId="26045" xr:uid="{56A62657-C389-4B12-A328-D37F18E60DF5}"/>
    <cellStyle name="Normal 8 3 2 4 2 2 3" xfId="34492" xr:uid="{737DB4CC-084E-4D65-A132-73823681409D}"/>
    <cellStyle name="Normal 8 3 2 4 2 2 4" xfId="42939" xr:uid="{5C19BCD9-8C41-4AA7-92F6-B391F71C7333}"/>
    <cellStyle name="Normal 8 3 2 4 2 2 5" xfId="16745" xr:uid="{48EDFA74-06E2-473C-8166-35F75BEF4287}"/>
    <cellStyle name="Normal 8 3 2 4 2 3" xfId="21828" xr:uid="{3566A4AB-E5E0-46BE-BAB8-330B685F3442}"/>
    <cellStyle name="Normal 8 3 2 4 2 4" xfId="30275" xr:uid="{1B2613C5-A73D-4A78-9520-48CF9655980F}"/>
    <cellStyle name="Normal 8 3 2 4 2 5" xfId="38722" xr:uid="{5C808FE7-8FFF-4339-9A78-E9A6EED9D6FF}"/>
    <cellStyle name="Normal 8 3 2 4 2 6" xfId="12528" xr:uid="{BCD6C9C7-AF06-4DBD-AFC1-93DBBF5A5B64}"/>
    <cellStyle name="Normal 8 3 2 4 3" xfId="5274" xr:uid="{00000000-0005-0000-0000-0000711D0000}"/>
    <cellStyle name="Normal 8 3 2 4 3 2" xfId="23900" xr:uid="{A6FB4F6F-4AF5-4B8E-9100-1FD80BD341E1}"/>
    <cellStyle name="Normal 8 3 2 4 3 3" xfId="32347" xr:uid="{F9B52A2E-522C-45B1-868B-89D65532E0AB}"/>
    <cellStyle name="Normal 8 3 2 4 3 4" xfId="40794" xr:uid="{79CC0333-EE7A-480E-AE2A-3D492FADCBD7}"/>
    <cellStyle name="Normal 8 3 2 4 3 5" xfId="14600" xr:uid="{AA99091B-44E8-4628-A323-3B154F2943DD}"/>
    <cellStyle name="Normal 8 3 2 4 4" xfId="9262" xr:uid="{8842595C-CD28-4B10-9BE6-37883B4C2AA9}"/>
    <cellStyle name="Normal 8 3 2 4 4 2" xfId="18578" xr:uid="{50C6A8C1-54E9-4786-8247-631799AC03E9}"/>
    <cellStyle name="Normal 8 3 2 4 5" xfId="19683" xr:uid="{E2BBD787-30DC-4CB5-8627-EA195341F9F6}"/>
    <cellStyle name="Normal 8 3 2 4 6" xfId="28130" xr:uid="{82FA6BEC-4F06-43DF-A658-8CD1FD939DEF}"/>
    <cellStyle name="Normal 8 3 2 4 7" xfId="36577" xr:uid="{296E03C9-7666-416A-9567-8A2B7D60636E}"/>
    <cellStyle name="Normal 8 3 2 4 8" xfId="10383" xr:uid="{D3838FED-723A-40C9-B5E5-03C0D7261FCE}"/>
    <cellStyle name="Normal 8 3 2 5" xfId="1380" xr:uid="{00000000-0005-0000-0000-0000721D0000}"/>
    <cellStyle name="Normal 8 3 2 5 2" xfId="3610" xr:uid="{00000000-0005-0000-0000-0000731D0000}"/>
    <cellStyle name="Normal 8 3 2 5 2 2" xfId="7832" xr:uid="{00000000-0005-0000-0000-0000741D0000}"/>
    <cellStyle name="Normal 8 3 2 5 2 2 2" xfId="26458" xr:uid="{C77F8245-0771-49A9-A18A-36A0BC4DF860}"/>
    <cellStyle name="Normal 8 3 2 5 2 2 3" xfId="34905" xr:uid="{5AA853A0-765F-40CA-BE49-1678BF106A35}"/>
    <cellStyle name="Normal 8 3 2 5 2 2 4" xfId="43352" xr:uid="{73321AEC-DA61-4A2E-A05B-B3BAA1A9B1BD}"/>
    <cellStyle name="Normal 8 3 2 5 2 2 5" xfId="17158" xr:uid="{DB446C28-D0BC-4A40-BEDD-59017E8942B9}"/>
    <cellStyle name="Normal 8 3 2 5 2 3" xfId="22241" xr:uid="{375FE8EB-31B6-4806-8F5A-EA03665D78D0}"/>
    <cellStyle name="Normal 8 3 2 5 2 4" xfId="30688" xr:uid="{26A619CD-A0E6-405B-A2A4-FD0CB294D072}"/>
    <cellStyle name="Normal 8 3 2 5 2 5" xfId="39135" xr:uid="{767F86A4-D379-4EC8-88C2-705A0099A3D0}"/>
    <cellStyle name="Normal 8 3 2 5 2 6" xfId="12941" xr:uid="{C92E6E8D-D428-42CD-8F74-7FA75D2DC826}"/>
    <cellStyle name="Normal 8 3 2 5 3" xfId="5687" xr:uid="{00000000-0005-0000-0000-0000751D0000}"/>
    <cellStyle name="Normal 8 3 2 5 3 2" xfId="24313" xr:uid="{D9E95EDE-AC50-493E-AFC1-BBBE24DA7663}"/>
    <cellStyle name="Normal 8 3 2 5 3 3" xfId="32760" xr:uid="{D35E06BB-6DE5-4FDB-A2B4-1683507991C6}"/>
    <cellStyle name="Normal 8 3 2 5 3 4" xfId="41207" xr:uid="{2A624C52-730C-4F41-B8A1-B2EAAC7193D7}"/>
    <cellStyle name="Normal 8 3 2 5 3 5" xfId="15013" xr:uid="{19903B46-FA3D-43B2-B2C9-98EECC571D31}"/>
    <cellStyle name="Normal 8 3 2 5 4" xfId="20096" xr:uid="{0AD853AF-EF05-401F-96B3-BBB36C385EE3}"/>
    <cellStyle name="Normal 8 3 2 5 5" xfId="28543" xr:uid="{13EC29BB-05E7-4552-92D2-898ECB03AF72}"/>
    <cellStyle name="Normal 8 3 2 5 6" xfId="36990" xr:uid="{4DDE4662-A2CF-4EE9-BF64-FC87E859542A}"/>
    <cellStyle name="Normal 8 3 2 5 7" xfId="10796" xr:uid="{D91F6741-F7D9-4DD4-84D9-4E4422247468}"/>
    <cellStyle name="Normal 8 3 2 6" xfId="1793" xr:uid="{00000000-0005-0000-0000-0000761D0000}"/>
    <cellStyle name="Normal 8 3 2 6 2" xfId="4023" xr:uid="{00000000-0005-0000-0000-0000771D0000}"/>
    <cellStyle name="Normal 8 3 2 6 2 2" xfId="8245" xr:uid="{00000000-0005-0000-0000-0000781D0000}"/>
    <cellStyle name="Normal 8 3 2 6 2 2 2" xfId="26871" xr:uid="{9B2E25C4-03F7-47FC-8A7D-626C279B5008}"/>
    <cellStyle name="Normal 8 3 2 6 2 2 3" xfId="35318" xr:uid="{F018F4D3-04DE-4128-9AB5-F74EF04C3B3C}"/>
    <cellStyle name="Normal 8 3 2 6 2 2 4" xfId="43765" xr:uid="{E6B4D115-DF7E-471A-8EDB-315B73F557C3}"/>
    <cellStyle name="Normal 8 3 2 6 2 2 5" xfId="17571" xr:uid="{F7A76EC9-AA99-4A7F-8CDF-FB1563DD37B9}"/>
    <cellStyle name="Normal 8 3 2 6 2 3" xfId="22654" xr:uid="{F721A5EB-CE8C-4ACB-9423-E1B0675A8F71}"/>
    <cellStyle name="Normal 8 3 2 6 2 4" xfId="31101" xr:uid="{0E5100D0-717B-47C7-BFC5-3395209A39D8}"/>
    <cellStyle name="Normal 8 3 2 6 2 5" xfId="39548" xr:uid="{C43A495D-DAA8-4B8C-98BA-7E18E96C140E}"/>
    <cellStyle name="Normal 8 3 2 6 2 6" xfId="13354" xr:uid="{5FA69799-C262-4BD3-B128-D4DC3473FCF7}"/>
    <cellStyle name="Normal 8 3 2 6 3" xfId="6100" xr:uid="{00000000-0005-0000-0000-0000791D0000}"/>
    <cellStyle name="Normal 8 3 2 6 3 2" xfId="24726" xr:uid="{89122860-2E95-4810-8F68-E09898954D0C}"/>
    <cellStyle name="Normal 8 3 2 6 3 3" xfId="33173" xr:uid="{B4670DCA-B4E2-4B41-BB5F-CCE7DDAB7BCC}"/>
    <cellStyle name="Normal 8 3 2 6 3 4" xfId="41620" xr:uid="{4F806AAA-BA0F-47F0-BC94-CE63C52D5869}"/>
    <cellStyle name="Normal 8 3 2 6 3 5" xfId="15426" xr:uid="{B3CF1442-B14A-4923-97E0-3E3B16323487}"/>
    <cellStyle name="Normal 8 3 2 6 4" xfId="20509" xr:uid="{A6E5E135-914C-43C9-A49D-CC0243E76FBD}"/>
    <cellStyle name="Normal 8 3 2 6 5" xfId="28956" xr:uid="{36078BA7-AF0A-4A28-AA3F-EB2C8CBBA9D9}"/>
    <cellStyle name="Normal 8 3 2 6 6" xfId="37403" xr:uid="{A8890B6D-14D6-4F08-9F40-FDAA4077C431}"/>
    <cellStyle name="Normal 8 3 2 6 7" xfId="11209" xr:uid="{BF0A79F9-C118-45A1-9CD2-754DF23F0128}"/>
    <cellStyle name="Normal 8 3 2 7" xfId="2207" xr:uid="{00000000-0005-0000-0000-00007A1D0000}"/>
    <cellStyle name="Normal 8 3 2 7 2" xfId="4436" xr:uid="{00000000-0005-0000-0000-00007B1D0000}"/>
    <cellStyle name="Normal 8 3 2 7 2 2" xfId="8658" xr:uid="{00000000-0005-0000-0000-00007C1D0000}"/>
    <cellStyle name="Normal 8 3 2 7 2 2 2" xfId="27284" xr:uid="{D7BD44D6-6DB4-4B49-A8FE-FBF99D6F8E3C}"/>
    <cellStyle name="Normal 8 3 2 7 2 2 3" xfId="35731" xr:uid="{5AD99BBB-CC5B-4017-9388-1DA6E6B018DC}"/>
    <cellStyle name="Normal 8 3 2 7 2 2 4" xfId="44178" xr:uid="{3C1015F6-7412-4840-94C1-65B354B15981}"/>
    <cellStyle name="Normal 8 3 2 7 2 2 5" xfId="17984" xr:uid="{BE466817-F39C-4503-BC27-8BFBCEF0B2B5}"/>
    <cellStyle name="Normal 8 3 2 7 2 3" xfId="23067" xr:uid="{3673A214-6E36-451F-BB2B-F5E94B0350CD}"/>
    <cellStyle name="Normal 8 3 2 7 2 4" xfId="31514" xr:uid="{3CD0576D-AE3E-4F4A-B823-E3B49A8A3A12}"/>
    <cellStyle name="Normal 8 3 2 7 2 5" xfId="39961" xr:uid="{DD3ABAC0-681C-430C-8424-09BD4743177E}"/>
    <cellStyle name="Normal 8 3 2 7 2 6" xfId="13767" xr:uid="{67C09E98-A8D8-4A56-8450-9AE44E390F49}"/>
    <cellStyle name="Normal 8 3 2 7 3" xfId="6513" xr:uid="{00000000-0005-0000-0000-00007D1D0000}"/>
    <cellStyle name="Normal 8 3 2 7 3 2" xfId="25139" xr:uid="{A7D7AEA6-60EE-4399-A783-5FB8F70A9B3C}"/>
    <cellStyle name="Normal 8 3 2 7 3 3" xfId="33586" xr:uid="{86D8023B-825E-4E94-AE91-CE953F9D3F1E}"/>
    <cellStyle name="Normal 8 3 2 7 3 4" xfId="42033" xr:uid="{6322C1B4-0E78-4105-8100-9E231E18B57A}"/>
    <cellStyle name="Normal 8 3 2 7 3 5" xfId="15839" xr:uid="{BD605B53-D1B9-4F58-93E9-1619AE51193F}"/>
    <cellStyle name="Normal 8 3 2 7 4" xfId="20922" xr:uid="{11D553A9-3151-450C-930A-F35F70C565F7}"/>
    <cellStyle name="Normal 8 3 2 7 5" xfId="29369" xr:uid="{BB310203-16D6-46F1-85B5-617A96057CB8}"/>
    <cellStyle name="Normal 8 3 2 7 6" xfId="37816" xr:uid="{2FBC6322-D7C9-4E03-A2B3-15D9BF61176C}"/>
    <cellStyle name="Normal 8 3 2 7 7" xfId="11622" xr:uid="{5423BFE1-0F5F-4855-A7AF-7C06F145503D}"/>
    <cellStyle name="Normal 8 3 2 8" xfId="2643" xr:uid="{00000000-0005-0000-0000-00007E1D0000}"/>
    <cellStyle name="Normal 8 3 2 8 2" xfId="6926" xr:uid="{00000000-0005-0000-0000-00007F1D0000}"/>
    <cellStyle name="Normal 8 3 2 8 2 2" xfId="25552" xr:uid="{6CE43FB1-4110-4876-B0EA-42D9C7B40D60}"/>
    <cellStyle name="Normal 8 3 2 8 2 3" xfId="33999" xr:uid="{A1CA9431-2163-4A1A-AF3B-86641523732C}"/>
    <cellStyle name="Normal 8 3 2 8 2 4" xfId="42446" xr:uid="{7C9666A8-4D04-4ACB-A65B-640313AC0804}"/>
    <cellStyle name="Normal 8 3 2 8 2 5" xfId="16252" xr:uid="{E2793A1E-4513-42F5-B110-777D9DDF1460}"/>
    <cellStyle name="Normal 8 3 2 8 3" xfId="21335" xr:uid="{2354E2A9-675B-4B1B-A3E7-A8E2B69801A2}"/>
    <cellStyle name="Normal 8 3 2 8 4" xfId="29782" xr:uid="{81B32C91-5170-4622-9E1A-EB7463CAEC34}"/>
    <cellStyle name="Normal 8 3 2 8 5" xfId="38229" xr:uid="{9C70D19A-41B7-49F0-9C7B-7BF68BAE8D07}"/>
    <cellStyle name="Normal 8 3 2 8 6" xfId="12035" xr:uid="{1591E48E-8146-4AC2-8A85-3E7F280440C2}"/>
    <cellStyle name="Normal 8 3 2 9" xfId="4861" xr:uid="{00000000-0005-0000-0000-0000801D0000}"/>
    <cellStyle name="Normal 8 3 2 9 2" xfId="23487" xr:uid="{AD237CAA-4971-4351-B78D-2C418D9F6887}"/>
    <cellStyle name="Normal 8 3 2 9 3" xfId="31934" xr:uid="{82E3BF12-AD63-4EB4-86A9-2385DFEA5A53}"/>
    <cellStyle name="Normal 8 3 2 9 4" xfId="40381" xr:uid="{86306322-60CD-493A-8D07-872D40429587}"/>
    <cellStyle name="Normal 8 3 2 9 5" xfId="14187" xr:uid="{20625EBD-9DBF-4788-A547-0A2F354750E5}"/>
    <cellStyle name="Normal 8 3 3" xfId="500" xr:uid="{00000000-0005-0000-0000-0000811D0000}"/>
    <cellStyle name="Normal 8 3 3 10" xfId="19274" xr:uid="{FA6F5789-9BAF-479F-90BD-0506D8C828A7}"/>
    <cellStyle name="Normal 8 3 3 11" xfId="27721" xr:uid="{022B5A2B-BDB0-47EE-BAF1-78C9CE413893}"/>
    <cellStyle name="Normal 8 3 3 12" xfId="36168" xr:uid="{83B37E70-B4E6-4A0A-B70A-59571C918448}"/>
    <cellStyle name="Normal 8 3 3 13" xfId="9974" xr:uid="{00B348B3-7E7C-4F57-96AE-DF12A2F5F011}"/>
    <cellStyle name="Normal 8 3 3 2" xfId="501" xr:uid="{00000000-0005-0000-0000-0000821D0000}"/>
    <cellStyle name="Normal 8 3 3 2 10" xfId="27722" xr:uid="{B3694101-7665-4105-BCA3-DED22401BD82}"/>
    <cellStyle name="Normal 8 3 3 2 11" xfId="36169" xr:uid="{02D4D349-91C1-4613-AB41-BDE7FF6A9EE9}"/>
    <cellStyle name="Normal 8 3 3 2 12" xfId="9975" xr:uid="{9E0BA42E-60D0-4A91-B83F-4533F36F7F2D}"/>
    <cellStyle name="Normal 8 3 3 2 2" xfId="968" xr:uid="{00000000-0005-0000-0000-0000831D0000}"/>
    <cellStyle name="Normal 8 3 3 2 2 2" xfId="3202" xr:uid="{00000000-0005-0000-0000-0000841D0000}"/>
    <cellStyle name="Normal 8 3 3 2 2 2 2" xfId="7424" xr:uid="{00000000-0005-0000-0000-0000851D0000}"/>
    <cellStyle name="Normal 8 3 3 2 2 2 2 2" xfId="26050" xr:uid="{F2C4356F-FA16-4643-B851-0B3A342B75E7}"/>
    <cellStyle name="Normal 8 3 3 2 2 2 2 3" xfId="34497" xr:uid="{AC2F677B-C754-4F36-9EB9-7BC10575C772}"/>
    <cellStyle name="Normal 8 3 3 2 2 2 2 4" xfId="42944" xr:uid="{FD0FFDAF-1BF0-4CB2-BFB5-3CB5309A6ACA}"/>
    <cellStyle name="Normal 8 3 3 2 2 2 2 5" xfId="16750" xr:uid="{4A923870-5DA5-4F0D-A394-085635BD9F1B}"/>
    <cellStyle name="Normal 8 3 3 2 2 2 3" xfId="21833" xr:uid="{79B9790E-CDDB-4CBF-9785-5687242D11EC}"/>
    <cellStyle name="Normal 8 3 3 2 2 2 4" xfId="30280" xr:uid="{26690482-EC51-445C-B85D-2571360C0308}"/>
    <cellStyle name="Normal 8 3 3 2 2 2 5" xfId="38727" xr:uid="{468DED0F-DA02-4662-9590-DBAEADBB2EBD}"/>
    <cellStyle name="Normal 8 3 3 2 2 2 6" xfId="12533" xr:uid="{932CEE00-F0AF-4796-994E-629F766B15BA}"/>
    <cellStyle name="Normal 8 3 3 2 2 3" xfId="5279" xr:uid="{00000000-0005-0000-0000-0000861D0000}"/>
    <cellStyle name="Normal 8 3 3 2 2 3 2" xfId="23905" xr:uid="{BCFA58B8-F739-4A19-8469-8D536BC95D7E}"/>
    <cellStyle name="Normal 8 3 3 2 2 3 3" xfId="32352" xr:uid="{224D2F81-B197-4C37-8E9D-010DA97F71CB}"/>
    <cellStyle name="Normal 8 3 3 2 2 3 4" xfId="40799" xr:uid="{970776F2-C4A7-43CD-81CF-8853B550355A}"/>
    <cellStyle name="Normal 8 3 3 2 2 3 5" xfId="14605" xr:uid="{E8F247F7-8205-4329-96E8-79782635BA45}"/>
    <cellStyle name="Normal 8 3 3 2 2 4" xfId="9509" xr:uid="{3B4378D3-7C51-4B91-822B-758528BFF352}"/>
    <cellStyle name="Normal 8 3 3 2 2 4 2" xfId="18825" xr:uid="{FA80E8DA-EBBD-4119-A2F8-02460CE5ABA8}"/>
    <cellStyle name="Normal 8 3 3 2 2 5" xfId="19688" xr:uid="{411D5CEC-E494-467E-98AE-6E4D74102156}"/>
    <cellStyle name="Normal 8 3 3 2 2 6" xfId="28135" xr:uid="{864995ED-ADD7-4CD4-AB85-D79C447CDBCD}"/>
    <cellStyle name="Normal 8 3 3 2 2 7" xfId="36582" xr:uid="{E3A2C7EA-1163-4E03-AAF9-0747C0E8B48F}"/>
    <cellStyle name="Normal 8 3 3 2 2 8" xfId="10388" xr:uid="{FC8E811C-C0D3-4884-91B4-716353E195A3}"/>
    <cellStyle name="Normal 8 3 3 2 3" xfId="1385" xr:uid="{00000000-0005-0000-0000-0000871D0000}"/>
    <cellStyle name="Normal 8 3 3 2 3 2" xfId="3615" xr:uid="{00000000-0005-0000-0000-0000881D0000}"/>
    <cellStyle name="Normal 8 3 3 2 3 2 2" xfId="7837" xr:uid="{00000000-0005-0000-0000-0000891D0000}"/>
    <cellStyle name="Normal 8 3 3 2 3 2 2 2" xfId="26463" xr:uid="{9E6E753A-9DE4-49FF-9D16-DEE6B1125498}"/>
    <cellStyle name="Normal 8 3 3 2 3 2 2 3" xfId="34910" xr:uid="{CE3C9C8D-80A9-496A-85A2-585ADA3D323A}"/>
    <cellStyle name="Normal 8 3 3 2 3 2 2 4" xfId="43357" xr:uid="{3C7570BB-4604-4422-8462-6B1131F5060E}"/>
    <cellStyle name="Normal 8 3 3 2 3 2 2 5" xfId="17163" xr:uid="{5AFA644D-833C-42C1-864A-18BECE12E9EA}"/>
    <cellStyle name="Normal 8 3 3 2 3 2 3" xfId="22246" xr:uid="{EE9A2B9F-335D-47AD-9998-EC22ABCF45A0}"/>
    <cellStyle name="Normal 8 3 3 2 3 2 4" xfId="30693" xr:uid="{85CC10D9-3D56-464C-92E6-FFF6589B5FE7}"/>
    <cellStyle name="Normal 8 3 3 2 3 2 5" xfId="39140" xr:uid="{377E9818-14C2-4614-8A11-1D46F1620E18}"/>
    <cellStyle name="Normal 8 3 3 2 3 2 6" xfId="12946" xr:uid="{255708CA-9ABF-48A5-A4FB-F8220617DA4B}"/>
    <cellStyle name="Normal 8 3 3 2 3 3" xfId="5692" xr:uid="{00000000-0005-0000-0000-00008A1D0000}"/>
    <cellStyle name="Normal 8 3 3 2 3 3 2" xfId="24318" xr:uid="{EFC82395-F40F-48A8-913F-CCD85FA78DFC}"/>
    <cellStyle name="Normal 8 3 3 2 3 3 3" xfId="32765" xr:uid="{0229567B-4799-44E8-BE90-F9EB50A2862A}"/>
    <cellStyle name="Normal 8 3 3 2 3 3 4" xfId="41212" xr:uid="{90F9BEBA-DD0F-4A2B-8C82-B867CD9E30D8}"/>
    <cellStyle name="Normal 8 3 3 2 3 3 5" xfId="15018" xr:uid="{ADEBFBC7-62B0-46F8-B031-8EAF571004FC}"/>
    <cellStyle name="Normal 8 3 3 2 3 4" xfId="20101" xr:uid="{88727C50-6EE2-45DB-B5A4-1DEA26470091}"/>
    <cellStyle name="Normal 8 3 3 2 3 5" xfId="28548" xr:uid="{6D290309-6573-475E-BDBD-F9FAF351B746}"/>
    <cellStyle name="Normal 8 3 3 2 3 6" xfId="36995" xr:uid="{E032C04F-0563-4F03-A62E-8B90F5AC2B10}"/>
    <cellStyle name="Normal 8 3 3 2 3 7" xfId="10801" xr:uid="{C2ABCAAB-B871-4903-87DB-F9521D13F017}"/>
    <cellStyle name="Normal 8 3 3 2 4" xfId="1798" xr:uid="{00000000-0005-0000-0000-00008B1D0000}"/>
    <cellStyle name="Normal 8 3 3 2 4 2" xfId="4028" xr:uid="{00000000-0005-0000-0000-00008C1D0000}"/>
    <cellStyle name="Normal 8 3 3 2 4 2 2" xfId="8250" xr:uid="{00000000-0005-0000-0000-00008D1D0000}"/>
    <cellStyle name="Normal 8 3 3 2 4 2 2 2" xfId="26876" xr:uid="{7250EEE7-5C87-4CC5-8131-5D634F7565CC}"/>
    <cellStyle name="Normal 8 3 3 2 4 2 2 3" xfId="35323" xr:uid="{D162E886-BC54-44F8-93C0-201FB068636B}"/>
    <cellStyle name="Normal 8 3 3 2 4 2 2 4" xfId="43770" xr:uid="{B1E93A59-31BD-4821-95F8-6F99DEA7C6BC}"/>
    <cellStyle name="Normal 8 3 3 2 4 2 2 5" xfId="17576" xr:uid="{43CE8B48-03E2-4B07-B34A-15F3265C6C43}"/>
    <cellStyle name="Normal 8 3 3 2 4 2 3" xfId="22659" xr:uid="{6B9F151C-EBF6-4729-A708-9561B2087735}"/>
    <cellStyle name="Normal 8 3 3 2 4 2 4" xfId="31106" xr:uid="{9073368D-5E10-4AD3-9CB0-496CE59E7C59}"/>
    <cellStyle name="Normal 8 3 3 2 4 2 5" xfId="39553" xr:uid="{36F6D6A4-D5B2-470D-AE20-9A0A536B8921}"/>
    <cellStyle name="Normal 8 3 3 2 4 2 6" xfId="13359" xr:uid="{195C674D-8189-43B2-9D40-BBF1CFB26673}"/>
    <cellStyle name="Normal 8 3 3 2 4 3" xfId="6105" xr:uid="{00000000-0005-0000-0000-00008E1D0000}"/>
    <cellStyle name="Normal 8 3 3 2 4 3 2" xfId="24731" xr:uid="{C4BE70E7-D2C5-47CB-837E-135462DA1C92}"/>
    <cellStyle name="Normal 8 3 3 2 4 3 3" xfId="33178" xr:uid="{D1D482CB-02C2-45AA-9B57-E9DB9CD33551}"/>
    <cellStyle name="Normal 8 3 3 2 4 3 4" xfId="41625" xr:uid="{47BF84AC-A64E-4D6B-9B8B-BAE27CEB3E0B}"/>
    <cellStyle name="Normal 8 3 3 2 4 3 5" xfId="15431" xr:uid="{CAB0C355-D3D8-4627-B1D8-F6E550ABB607}"/>
    <cellStyle name="Normal 8 3 3 2 4 4" xfId="20514" xr:uid="{1FB9CC44-C727-4861-98E2-B07E7D59BAE1}"/>
    <cellStyle name="Normal 8 3 3 2 4 5" xfId="28961" xr:uid="{2F661558-757E-4DA8-A045-6CBC0864336F}"/>
    <cellStyle name="Normal 8 3 3 2 4 6" xfId="37408" xr:uid="{79727774-FD1B-4781-8B93-32CF710FD076}"/>
    <cellStyle name="Normal 8 3 3 2 4 7" xfId="11214" xr:uid="{B19F1B4D-E3BE-4B53-A0CB-DD7D2D53E7EC}"/>
    <cellStyle name="Normal 8 3 3 2 5" xfId="2212" xr:uid="{00000000-0005-0000-0000-00008F1D0000}"/>
    <cellStyle name="Normal 8 3 3 2 5 2" xfId="4441" xr:uid="{00000000-0005-0000-0000-0000901D0000}"/>
    <cellStyle name="Normal 8 3 3 2 5 2 2" xfId="8663" xr:uid="{00000000-0005-0000-0000-0000911D0000}"/>
    <cellStyle name="Normal 8 3 3 2 5 2 2 2" xfId="27289" xr:uid="{C558C1D0-7622-4708-AB87-74AD25D872CE}"/>
    <cellStyle name="Normal 8 3 3 2 5 2 2 3" xfId="35736" xr:uid="{B2F9742F-7B6E-4669-80EC-4F6899CE0D9F}"/>
    <cellStyle name="Normal 8 3 3 2 5 2 2 4" xfId="44183" xr:uid="{816A0AC4-12C7-4BFF-A438-446A5DA70CCB}"/>
    <cellStyle name="Normal 8 3 3 2 5 2 2 5" xfId="17989" xr:uid="{C16355E5-627A-44AD-9409-0692709928DA}"/>
    <cellStyle name="Normal 8 3 3 2 5 2 3" xfId="23072" xr:uid="{2140BFCA-8EC9-45E4-9AD1-0F0FD9F4053A}"/>
    <cellStyle name="Normal 8 3 3 2 5 2 4" xfId="31519" xr:uid="{04EDDA59-C2E2-4690-AD11-D0D7C719A8C7}"/>
    <cellStyle name="Normal 8 3 3 2 5 2 5" xfId="39966" xr:uid="{2165753D-E327-4E08-BFFA-DF3E97E1BB7A}"/>
    <cellStyle name="Normal 8 3 3 2 5 2 6" xfId="13772" xr:uid="{C668B7B1-DC51-4660-9C0E-90B9B510D2DB}"/>
    <cellStyle name="Normal 8 3 3 2 5 3" xfId="6518" xr:uid="{00000000-0005-0000-0000-0000921D0000}"/>
    <cellStyle name="Normal 8 3 3 2 5 3 2" xfId="25144" xr:uid="{FE8255BD-2EEB-4FDC-8AFA-B36044434899}"/>
    <cellStyle name="Normal 8 3 3 2 5 3 3" xfId="33591" xr:uid="{ED4D2838-4EF4-4831-8B7B-6A39E6BB5FE6}"/>
    <cellStyle name="Normal 8 3 3 2 5 3 4" xfId="42038" xr:uid="{F8627E66-DE7A-4B52-AE62-4ED1CFEDC125}"/>
    <cellStyle name="Normal 8 3 3 2 5 3 5" xfId="15844" xr:uid="{011C4180-5222-4187-A54D-12F634D6BE82}"/>
    <cellStyle name="Normal 8 3 3 2 5 4" xfId="20927" xr:uid="{29D0AA77-4C56-4F9B-85AB-95E51C365CA3}"/>
    <cellStyle name="Normal 8 3 3 2 5 5" xfId="29374" xr:uid="{5BE18E9F-B1B4-481F-8907-BFBEBC040D18}"/>
    <cellStyle name="Normal 8 3 3 2 5 6" xfId="37821" xr:uid="{1DEE2004-D24D-4051-B9D5-095A5931FB91}"/>
    <cellStyle name="Normal 8 3 3 2 5 7" xfId="11627" xr:uid="{669E3D19-8391-4272-9EA0-84384AD84042}"/>
    <cellStyle name="Normal 8 3 3 2 6" xfId="2648" xr:uid="{00000000-0005-0000-0000-0000931D0000}"/>
    <cellStyle name="Normal 8 3 3 2 6 2" xfId="6931" xr:uid="{00000000-0005-0000-0000-0000941D0000}"/>
    <cellStyle name="Normal 8 3 3 2 6 2 2" xfId="25557" xr:uid="{C70C74F8-273E-48EC-B29C-A5B04BE1E89C}"/>
    <cellStyle name="Normal 8 3 3 2 6 2 3" xfId="34004" xr:uid="{D7E7B7A1-0C01-4BED-B83D-10221E69764C}"/>
    <cellStyle name="Normal 8 3 3 2 6 2 4" xfId="42451" xr:uid="{2CF7DBB9-7F58-4D9B-9A44-67BA62F05B77}"/>
    <cellStyle name="Normal 8 3 3 2 6 2 5" xfId="16257" xr:uid="{CDB8C3E9-3388-444D-87B5-2E9CBCE33D34}"/>
    <cellStyle name="Normal 8 3 3 2 6 3" xfId="21340" xr:uid="{3FBFABAF-956D-4CF8-9AD7-F1E94AF95D8F}"/>
    <cellStyle name="Normal 8 3 3 2 6 4" xfId="29787" xr:uid="{44CA25AA-AA27-4ACC-B1B5-94463DFE8A4F}"/>
    <cellStyle name="Normal 8 3 3 2 6 5" xfId="38234" xr:uid="{68C36BFC-593E-476C-BE46-1733F2972E4A}"/>
    <cellStyle name="Normal 8 3 3 2 6 6" xfId="12040" xr:uid="{D097150B-D31A-4C67-8B70-40A112D7EE7B}"/>
    <cellStyle name="Normal 8 3 3 2 7" xfId="4866" xr:uid="{00000000-0005-0000-0000-0000951D0000}"/>
    <cellStyle name="Normal 8 3 3 2 7 2" xfId="23492" xr:uid="{95EBBBE2-E620-4E9B-8156-E4C2E56DD1D4}"/>
    <cellStyle name="Normal 8 3 3 2 7 3" xfId="31939" xr:uid="{1225DB38-7DD7-4159-8F45-0D4DD1FBF9A3}"/>
    <cellStyle name="Normal 8 3 3 2 7 4" xfId="40386" xr:uid="{6EB44BDC-3282-48FC-A2BA-99025BF5DB80}"/>
    <cellStyle name="Normal 8 3 3 2 7 5" xfId="14192" xr:uid="{290542AA-D402-4932-8C1E-132CA74AE3AC}"/>
    <cellStyle name="Normal 8 3 3 2 8" xfId="9084" xr:uid="{94243AB7-0454-4C95-8E94-054E46718167}"/>
    <cellStyle name="Normal 8 3 3 2 8 2" xfId="18408" xr:uid="{5FA613C7-19A4-457F-987B-BE6746D5F79F}"/>
    <cellStyle name="Normal 8 3 3 2 9" xfId="19275" xr:uid="{73AF6517-39A1-4E7D-8FB3-9CF3FD0B22E5}"/>
    <cellStyle name="Normal 8 3 3 3" xfId="967" xr:uid="{00000000-0005-0000-0000-0000961D0000}"/>
    <cellStyle name="Normal 8 3 3 3 2" xfId="3201" xr:uid="{00000000-0005-0000-0000-0000971D0000}"/>
    <cellStyle name="Normal 8 3 3 3 2 2" xfId="7423" xr:uid="{00000000-0005-0000-0000-0000981D0000}"/>
    <cellStyle name="Normal 8 3 3 3 2 2 2" xfId="26049" xr:uid="{387DBC57-E5F2-42BE-B1CC-CA1132CBC6B6}"/>
    <cellStyle name="Normal 8 3 3 3 2 2 3" xfId="34496" xr:uid="{55A13278-4144-40F9-8FC9-5F34E3A30CC9}"/>
    <cellStyle name="Normal 8 3 3 3 2 2 4" xfId="42943" xr:uid="{4EA10EDE-82DA-493B-8255-0B87A2E007D0}"/>
    <cellStyle name="Normal 8 3 3 3 2 2 5" xfId="16749" xr:uid="{D9308D33-9BC5-482B-BA29-51C4F6DC6AF0}"/>
    <cellStyle name="Normal 8 3 3 3 2 3" xfId="21832" xr:uid="{ACCFACAF-EE7B-4962-941F-E3638E7A3379}"/>
    <cellStyle name="Normal 8 3 3 3 2 4" xfId="30279" xr:uid="{6678FC26-94B6-4FB3-AC43-B78FA13F0049}"/>
    <cellStyle name="Normal 8 3 3 3 2 5" xfId="38726" xr:uid="{0C0E1E7D-3CDC-4154-A0F2-5D110AD70AAA}"/>
    <cellStyle name="Normal 8 3 3 3 2 6" xfId="12532" xr:uid="{E8C59EA1-06BF-4A61-9F9F-12F298F1226E}"/>
    <cellStyle name="Normal 8 3 3 3 3" xfId="5278" xr:uid="{00000000-0005-0000-0000-0000991D0000}"/>
    <cellStyle name="Normal 8 3 3 3 3 2" xfId="23904" xr:uid="{A5D736B7-F089-4ED8-8DEB-4F5321D4EDE4}"/>
    <cellStyle name="Normal 8 3 3 3 3 3" xfId="32351" xr:uid="{09F9A35F-5A4F-4D1E-B321-329EFCBE1400}"/>
    <cellStyle name="Normal 8 3 3 3 3 4" xfId="40798" xr:uid="{9B461118-326F-4D7C-8BA7-BCB24240B344}"/>
    <cellStyle name="Normal 8 3 3 3 3 5" xfId="14604" xr:uid="{0E747212-71A8-4D0D-A6B6-684113E76E35}"/>
    <cellStyle name="Normal 8 3 3 3 4" xfId="9302" xr:uid="{3985B908-2B56-4F9B-BEA3-8962926FD004}"/>
    <cellStyle name="Normal 8 3 3 3 4 2" xfId="18618" xr:uid="{56C7840D-F8A6-4660-8C72-0740AB0B6116}"/>
    <cellStyle name="Normal 8 3 3 3 5" xfId="19687" xr:uid="{70891EB6-B09E-4875-8E4E-3F2DFA52D7D5}"/>
    <cellStyle name="Normal 8 3 3 3 6" xfId="28134" xr:uid="{CC85C7DC-CB49-480C-A907-43B9964CA597}"/>
    <cellStyle name="Normal 8 3 3 3 7" xfId="36581" xr:uid="{7163267C-51F0-40F2-95D6-E662796C5C61}"/>
    <cellStyle name="Normal 8 3 3 3 8" xfId="10387" xr:uid="{3BDE1F57-8E0F-4CC1-A863-8AF6195FC414}"/>
    <cellStyle name="Normal 8 3 3 4" xfId="1384" xr:uid="{00000000-0005-0000-0000-00009A1D0000}"/>
    <cellStyle name="Normal 8 3 3 4 2" xfId="3614" xr:uid="{00000000-0005-0000-0000-00009B1D0000}"/>
    <cellStyle name="Normal 8 3 3 4 2 2" xfId="7836" xr:uid="{00000000-0005-0000-0000-00009C1D0000}"/>
    <cellStyle name="Normal 8 3 3 4 2 2 2" xfId="26462" xr:uid="{A5655B76-D3B8-4DB8-B0CE-0084E4273C44}"/>
    <cellStyle name="Normal 8 3 3 4 2 2 3" xfId="34909" xr:uid="{21732593-B2AD-4F85-9A7E-49139847CFBD}"/>
    <cellStyle name="Normal 8 3 3 4 2 2 4" xfId="43356" xr:uid="{F056A0E5-09CA-4A15-995A-4D5361EEB7AE}"/>
    <cellStyle name="Normal 8 3 3 4 2 2 5" xfId="17162" xr:uid="{73C5C749-B136-4DC2-BF0A-BEC47797B4A0}"/>
    <cellStyle name="Normal 8 3 3 4 2 3" xfId="22245" xr:uid="{A392F5FD-82CE-4379-B4F0-EA4A29CFCEAC}"/>
    <cellStyle name="Normal 8 3 3 4 2 4" xfId="30692" xr:uid="{FF6BB09E-3E2C-4D05-8E5A-8BA2CD4785D5}"/>
    <cellStyle name="Normal 8 3 3 4 2 5" xfId="39139" xr:uid="{1429DA51-197F-40C7-83A5-3FC0BCF3835C}"/>
    <cellStyle name="Normal 8 3 3 4 2 6" xfId="12945" xr:uid="{3CB0DB91-5573-4448-A3B7-6E771FB2A3CE}"/>
    <cellStyle name="Normal 8 3 3 4 3" xfId="5691" xr:uid="{00000000-0005-0000-0000-00009D1D0000}"/>
    <cellStyle name="Normal 8 3 3 4 3 2" xfId="24317" xr:uid="{FCC4A248-0740-4DD7-A1F9-4A34AEF8EEAA}"/>
    <cellStyle name="Normal 8 3 3 4 3 3" xfId="32764" xr:uid="{44B07597-E546-4479-B204-F46C8EC55A3E}"/>
    <cellStyle name="Normal 8 3 3 4 3 4" xfId="41211" xr:uid="{C78AC2C2-599E-4A38-B9CD-0C93F7918B13}"/>
    <cellStyle name="Normal 8 3 3 4 3 5" xfId="15017" xr:uid="{F46F9BDC-5DB4-493E-AA2F-1737D54926ED}"/>
    <cellStyle name="Normal 8 3 3 4 4" xfId="20100" xr:uid="{2EC1DD0C-AB5A-46DC-835A-6181BE9008DA}"/>
    <cellStyle name="Normal 8 3 3 4 5" xfId="28547" xr:uid="{962A0781-05C4-49F8-B9A4-60B66F37FF65}"/>
    <cellStyle name="Normal 8 3 3 4 6" xfId="36994" xr:uid="{8D38CEE7-E9FC-4612-9141-749C83056150}"/>
    <cellStyle name="Normal 8 3 3 4 7" xfId="10800" xr:uid="{62904AB9-1E7A-463F-8F5C-4A7C11E39200}"/>
    <cellStyle name="Normal 8 3 3 5" xfId="1797" xr:uid="{00000000-0005-0000-0000-00009E1D0000}"/>
    <cellStyle name="Normal 8 3 3 5 2" xfId="4027" xr:uid="{00000000-0005-0000-0000-00009F1D0000}"/>
    <cellStyle name="Normal 8 3 3 5 2 2" xfId="8249" xr:uid="{00000000-0005-0000-0000-0000A01D0000}"/>
    <cellStyle name="Normal 8 3 3 5 2 2 2" xfId="26875" xr:uid="{DC83241E-DB50-467D-B293-C19506FD6BE9}"/>
    <cellStyle name="Normal 8 3 3 5 2 2 3" xfId="35322" xr:uid="{C2D13A37-7466-450B-929E-A40F20FAF1D5}"/>
    <cellStyle name="Normal 8 3 3 5 2 2 4" xfId="43769" xr:uid="{643C251B-6A00-4B46-B384-F99D804B9228}"/>
    <cellStyle name="Normal 8 3 3 5 2 2 5" xfId="17575" xr:uid="{361703EF-E1EB-44EA-9CAA-2CA51E7EF4D3}"/>
    <cellStyle name="Normal 8 3 3 5 2 3" xfId="22658" xr:uid="{53A80493-2882-497D-AE7E-B22E6B4DEAE1}"/>
    <cellStyle name="Normal 8 3 3 5 2 4" xfId="31105" xr:uid="{4D88A9E7-D9C5-4246-98AC-31208581CA9A}"/>
    <cellStyle name="Normal 8 3 3 5 2 5" xfId="39552" xr:uid="{EB0AF600-E60C-42CD-B768-054D5B24C53F}"/>
    <cellStyle name="Normal 8 3 3 5 2 6" xfId="13358" xr:uid="{4B8876D9-1D4E-4A24-B026-6CEF8DBB602B}"/>
    <cellStyle name="Normal 8 3 3 5 3" xfId="6104" xr:uid="{00000000-0005-0000-0000-0000A11D0000}"/>
    <cellStyle name="Normal 8 3 3 5 3 2" xfId="24730" xr:uid="{F5D6DE5A-F879-4651-AEEE-E3B9376F64C6}"/>
    <cellStyle name="Normal 8 3 3 5 3 3" xfId="33177" xr:uid="{B4357A2C-692D-400E-8C85-9D3FA3BCB4B5}"/>
    <cellStyle name="Normal 8 3 3 5 3 4" xfId="41624" xr:uid="{59711EEB-6B65-455B-A70F-E5757E66A985}"/>
    <cellStyle name="Normal 8 3 3 5 3 5" xfId="15430" xr:uid="{E92112C9-FC14-4641-AACF-F12A1AFA7036}"/>
    <cellStyle name="Normal 8 3 3 5 4" xfId="20513" xr:uid="{41FDF038-201F-421C-AF06-E39257ED78B1}"/>
    <cellStyle name="Normal 8 3 3 5 5" xfId="28960" xr:uid="{67AD8B6C-A7B9-454D-82CE-0824E8F96C68}"/>
    <cellStyle name="Normal 8 3 3 5 6" xfId="37407" xr:uid="{42EB67FB-AAF0-4A27-B68B-6C7B01A1381C}"/>
    <cellStyle name="Normal 8 3 3 5 7" xfId="11213" xr:uid="{C9564B09-AFE6-46AE-A338-DDB1574EF7C4}"/>
    <cellStyle name="Normal 8 3 3 6" xfId="2211" xr:uid="{00000000-0005-0000-0000-0000A21D0000}"/>
    <cellStyle name="Normal 8 3 3 6 2" xfId="4440" xr:uid="{00000000-0005-0000-0000-0000A31D0000}"/>
    <cellStyle name="Normal 8 3 3 6 2 2" xfId="8662" xr:uid="{00000000-0005-0000-0000-0000A41D0000}"/>
    <cellStyle name="Normal 8 3 3 6 2 2 2" xfId="27288" xr:uid="{C0E70A15-65CD-4825-B06D-09CB13D53A20}"/>
    <cellStyle name="Normal 8 3 3 6 2 2 3" xfId="35735" xr:uid="{3E393F39-3A38-4268-BC00-183C5B3A673E}"/>
    <cellStyle name="Normal 8 3 3 6 2 2 4" xfId="44182" xr:uid="{0B350951-7AE7-4A0F-BE1C-BE115A83D9D1}"/>
    <cellStyle name="Normal 8 3 3 6 2 2 5" xfId="17988" xr:uid="{8B7118B8-AAA3-40A4-9C17-FE98E9D68968}"/>
    <cellStyle name="Normal 8 3 3 6 2 3" xfId="23071" xr:uid="{2AA1B517-89C4-49BF-BD2C-9725B15BCB5F}"/>
    <cellStyle name="Normal 8 3 3 6 2 4" xfId="31518" xr:uid="{97769471-4A2D-4086-BF00-475C8AFA72B2}"/>
    <cellStyle name="Normal 8 3 3 6 2 5" xfId="39965" xr:uid="{76316777-4B54-41FB-BA59-5B7945018738}"/>
    <cellStyle name="Normal 8 3 3 6 2 6" xfId="13771" xr:uid="{A2738BDF-88A8-4EB2-934E-E49CF2E44CAA}"/>
    <cellStyle name="Normal 8 3 3 6 3" xfId="6517" xr:uid="{00000000-0005-0000-0000-0000A51D0000}"/>
    <cellStyle name="Normal 8 3 3 6 3 2" xfId="25143" xr:uid="{7542E493-DA40-4878-9B5C-C6F5E25CA3B9}"/>
    <cellStyle name="Normal 8 3 3 6 3 3" xfId="33590" xr:uid="{062AE0B4-B75E-46DA-908C-FAE67B6BCEFC}"/>
    <cellStyle name="Normal 8 3 3 6 3 4" xfId="42037" xr:uid="{4235DD83-8939-403F-9E68-5E5D12DD35B0}"/>
    <cellStyle name="Normal 8 3 3 6 3 5" xfId="15843" xr:uid="{DECC2DF4-211E-4E0A-AAE8-F6F17FFE7389}"/>
    <cellStyle name="Normal 8 3 3 6 4" xfId="20926" xr:uid="{67CACBA7-BA2E-4B3C-BBE0-16EFEC853540}"/>
    <cellStyle name="Normal 8 3 3 6 5" xfId="29373" xr:uid="{653F0200-2400-4BC7-B5A1-7D94E5BCC638}"/>
    <cellStyle name="Normal 8 3 3 6 6" xfId="37820" xr:uid="{C04341B0-7E5C-4FC1-BB1E-88BA59D7AB4D}"/>
    <cellStyle name="Normal 8 3 3 6 7" xfId="11626" xr:uid="{4C25149D-625A-4C07-9A3A-041D1BF6D24F}"/>
    <cellStyle name="Normal 8 3 3 7" xfId="2647" xr:uid="{00000000-0005-0000-0000-0000A61D0000}"/>
    <cellStyle name="Normal 8 3 3 7 2" xfId="6930" xr:uid="{00000000-0005-0000-0000-0000A71D0000}"/>
    <cellStyle name="Normal 8 3 3 7 2 2" xfId="25556" xr:uid="{80971A87-8E8A-42C7-8C9E-B8B565FAD3B0}"/>
    <cellStyle name="Normal 8 3 3 7 2 3" xfId="34003" xr:uid="{A54A909F-55E0-4DEB-9996-917F90F4CE20}"/>
    <cellStyle name="Normal 8 3 3 7 2 4" xfId="42450" xr:uid="{449430EA-66BD-4716-B441-F370B9452FD3}"/>
    <cellStyle name="Normal 8 3 3 7 2 5" xfId="16256" xr:uid="{65D4B801-1002-44F4-B1C1-28C4302F35FC}"/>
    <cellStyle name="Normal 8 3 3 7 3" xfId="21339" xr:uid="{B1892EFC-CB27-4C3A-9A53-200CA2DFDF4D}"/>
    <cellStyle name="Normal 8 3 3 7 4" xfId="29786" xr:uid="{23E625A8-9B8C-49DF-BAC3-957837AB8843}"/>
    <cellStyle name="Normal 8 3 3 7 5" xfId="38233" xr:uid="{D51AE381-B456-44D4-89C5-82F545A33B20}"/>
    <cellStyle name="Normal 8 3 3 7 6" xfId="12039" xr:uid="{1A4056D7-FFCD-4101-B8D3-6A564F0A21B9}"/>
    <cellStyle name="Normal 8 3 3 8" xfId="4865" xr:uid="{00000000-0005-0000-0000-0000A81D0000}"/>
    <cellStyle name="Normal 8 3 3 8 2" xfId="23491" xr:uid="{E90D44AF-9AE8-43C7-8442-28E85486AE3F}"/>
    <cellStyle name="Normal 8 3 3 8 3" xfId="31938" xr:uid="{655EDA32-B815-4EF1-8E8E-68FAE422F483}"/>
    <cellStyle name="Normal 8 3 3 8 4" xfId="40385" xr:uid="{BC62A02F-EE0C-45A2-9B16-3097C442D549}"/>
    <cellStyle name="Normal 8 3 3 8 5" xfId="14191" xr:uid="{DE6DA94D-9EDC-4FAD-BBBA-25038C434C7C}"/>
    <cellStyle name="Normal 8 3 3 9" xfId="8877" xr:uid="{4F8231E3-800E-43E7-B1B6-9633EBFFFFE1}"/>
    <cellStyle name="Normal 8 3 3 9 2" xfId="18201" xr:uid="{C09E68C0-1FB5-4C8E-9E4A-4C58F3B2F8F4}"/>
    <cellStyle name="Normal 8 3 4" xfId="502" xr:uid="{00000000-0005-0000-0000-0000A91D0000}"/>
    <cellStyle name="Normal 8 3 4 10" xfId="27723" xr:uid="{498001F7-2F8D-4E53-A682-BD8D6F418A17}"/>
    <cellStyle name="Normal 8 3 4 11" xfId="36170" xr:uid="{E3E2FE73-703B-43BF-A857-DE194DA2EDE1}"/>
    <cellStyle name="Normal 8 3 4 12" xfId="9976" xr:uid="{DEF78F94-1FEA-4265-A960-9391162CE71A}"/>
    <cellStyle name="Normal 8 3 4 2" xfId="969" xr:uid="{00000000-0005-0000-0000-0000AA1D0000}"/>
    <cellStyle name="Normal 8 3 4 2 2" xfId="3203" xr:uid="{00000000-0005-0000-0000-0000AB1D0000}"/>
    <cellStyle name="Normal 8 3 4 2 2 2" xfId="7425" xr:uid="{00000000-0005-0000-0000-0000AC1D0000}"/>
    <cellStyle name="Normal 8 3 4 2 2 2 2" xfId="26051" xr:uid="{DFFB413E-B7F9-4608-9FA4-82D8C12CB4C1}"/>
    <cellStyle name="Normal 8 3 4 2 2 2 3" xfId="34498" xr:uid="{A8EC9265-E414-4F8C-8F57-60F067DAF0C7}"/>
    <cellStyle name="Normal 8 3 4 2 2 2 4" xfId="42945" xr:uid="{B3E096DB-4543-4A41-BAEE-79D9730BCE2D}"/>
    <cellStyle name="Normal 8 3 4 2 2 2 5" xfId="16751" xr:uid="{F1FD84F0-9EC9-4E44-B4EF-B7A6F5ED4998}"/>
    <cellStyle name="Normal 8 3 4 2 2 3" xfId="21834" xr:uid="{D08C55C5-EDEE-4DA9-A306-87BD37F8A92F}"/>
    <cellStyle name="Normal 8 3 4 2 2 4" xfId="30281" xr:uid="{468FBB1B-B3FB-4261-BFB5-063AA51FA0AE}"/>
    <cellStyle name="Normal 8 3 4 2 2 5" xfId="38728" xr:uid="{0B84FE93-F65D-44F3-A8F0-8929FCD67CEA}"/>
    <cellStyle name="Normal 8 3 4 2 2 6" xfId="12534" xr:uid="{06C9991C-6D00-40DE-9D99-330038E03140}"/>
    <cellStyle name="Normal 8 3 4 2 3" xfId="5280" xr:uid="{00000000-0005-0000-0000-0000AD1D0000}"/>
    <cellStyle name="Normal 8 3 4 2 3 2" xfId="23906" xr:uid="{BAF10CC2-0E5B-47CD-A620-C7F1260363AF}"/>
    <cellStyle name="Normal 8 3 4 2 3 3" xfId="32353" xr:uid="{8ADF390D-447F-4424-8D28-4638F6FD80D7}"/>
    <cellStyle name="Normal 8 3 4 2 3 4" xfId="40800" xr:uid="{DC6D34D7-7B7E-4C68-A86F-447557CCFED0}"/>
    <cellStyle name="Normal 8 3 4 2 3 5" xfId="14606" xr:uid="{36800D6B-6B5B-4F8A-BED8-397DEAC2CB58}"/>
    <cellStyle name="Normal 8 3 4 2 4" xfId="9406" xr:uid="{8751BE45-E47B-4A0A-B0DE-04C14FAEA88D}"/>
    <cellStyle name="Normal 8 3 4 2 4 2" xfId="18722" xr:uid="{E7CDAA7B-71E9-45A6-98EE-5FB486A68F83}"/>
    <cellStyle name="Normal 8 3 4 2 5" xfId="19689" xr:uid="{4EB3CCB7-46E1-4FA8-AB66-59786C577394}"/>
    <cellStyle name="Normal 8 3 4 2 6" xfId="28136" xr:uid="{F4507719-8BA3-4429-A170-1BBDAC16D351}"/>
    <cellStyle name="Normal 8 3 4 2 7" xfId="36583" xr:uid="{C0FC94CA-4F9A-46B8-BDAF-D81A2D36F643}"/>
    <cellStyle name="Normal 8 3 4 2 8" xfId="10389" xr:uid="{BCC1C2D2-F75E-40EB-9919-7B55B3253D3C}"/>
    <cellStyle name="Normal 8 3 4 3" xfId="1386" xr:uid="{00000000-0005-0000-0000-0000AE1D0000}"/>
    <cellStyle name="Normal 8 3 4 3 2" xfId="3616" xr:uid="{00000000-0005-0000-0000-0000AF1D0000}"/>
    <cellStyle name="Normal 8 3 4 3 2 2" xfId="7838" xr:uid="{00000000-0005-0000-0000-0000B01D0000}"/>
    <cellStyle name="Normal 8 3 4 3 2 2 2" xfId="26464" xr:uid="{D3224D18-2F58-4788-BDBD-EB27A3355607}"/>
    <cellStyle name="Normal 8 3 4 3 2 2 3" xfId="34911" xr:uid="{2ED4893F-D7F1-4C34-B5EC-5116C768E734}"/>
    <cellStyle name="Normal 8 3 4 3 2 2 4" xfId="43358" xr:uid="{7CAF6F78-397B-40A6-8915-074561042E4E}"/>
    <cellStyle name="Normal 8 3 4 3 2 2 5" xfId="17164" xr:uid="{021188BE-99D9-4BA3-8F89-021DCE8E23D8}"/>
    <cellStyle name="Normal 8 3 4 3 2 3" xfId="22247" xr:uid="{D3AD339A-8C71-4640-A2CC-CCCC37092355}"/>
    <cellStyle name="Normal 8 3 4 3 2 4" xfId="30694" xr:uid="{2BB2C1BF-EF57-477F-A352-191292421D6C}"/>
    <cellStyle name="Normal 8 3 4 3 2 5" xfId="39141" xr:uid="{1FEB7FEB-ED46-4F0A-999A-874155D1E287}"/>
    <cellStyle name="Normal 8 3 4 3 2 6" xfId="12947" xr:uid="{89CBCA34-544D-4D73-ACBE-1FE42A07BB7E}"/>
    <cellStyle name="Normal 8 3 4 3 3" xfId="5693" xr:uid="{00000000-0005-0000-0000-0000B11D0000}"/>
    <cellStyle name="Normal 8 3 4 3 3 2" xfId="24319" xr:uid="{A617C906-785F-441E-8CD4-E20A821C05B7}"/>
    <cellStyle name="Normal 8 3 4 3 3 3" xfId="32766" xr:uid="{0145B1BB-E1D8-47AD-B93C-483F74147216}"/>
    <cellStyle name="Normal 8 3 4 3 3 4" xfId="41213" xr:uid="{8EABC77A-EFF6-4F37-A27D-803CE53E93A8}"/>
    <cellStyle name="Normal 8 3 4 3 3 5" xfId="15019" xr:uid="{613B84FE-EED8-484C-81D5-F8E66C8972B1}"/>
    <cellStyle name="Normal 8 3 4 3 4" xfId="20102" xr:uid="{8CB06115-CED7-40C5-8381-E7D4D3EB6573}"/>
    <cellStyle name="Normal 8 3 4 3 5" xfId="28549" xr:uid="{82FE9B3D-FFA6-4A50-880D-5CF064F66C56}"/>
    <cellStyle name="Normal 8 3 4 3 6" xfId="36996" xr:uid="{89B6BFB2-903E-4688-85A5-55BAEAD7ACE5}"/>
    <cellStyle name="Normal 8 3 4 3 7" xfId="10802" xr:uid="{4407EF4A-2CAA-47E4-9835-7116001F7A13}"/>
    <cellStyle name="Normal 8 3 4 4" xfId="1799" xr:uid="{00000000-0005-0000-0000-0000B21D0000}"/>
    <cellStyle name="Normal 8 3 4 4 2" xfId="4029" xr:uid="{00000000-0005-0000-0000-0000B31D0000}"/>
    <cellStyle name="Normal 8 3 4 4 2 2" xfId="8251" xr:uid="{00000000-0005-0000-0000-0000B41D0000}"/>
    <cellStyle name="Normal 8 3 4 4 2 2 2" xfId="26877" xr:uid="{53B11CE8-F42D-4A21-B5D9-B336B0D9BCA0}"/>
    <cellStyle name="Normal 8 3 4 4 2 2 3" xfId="35324" xr:uid="{31B259BA-5D47-4F08-83D6-E09944B59DE6}"/>
    <cellStyle name="Normal 8 3 4 4 2 2 4" xfId="43771" xr:uid="{15817896-917C-47E2-AD44-73BBC1E83811}"/>
    <cellStyle name="Normal 8 3 4 4 2 2 5" xfId="17577" xr:uid="{A732EB78-4CCF-4FA6-BBC5-E9181FF2B49C}"/>
    <cellStyle name="Normal 8 3 4 4 2 3" xfId="22660" xr:uid="{2C8B7C05-1A91-4876-A390-27C54022D7E5}"/>
    <cellStyle name="Normal 8 3 4 4 2 4" xfId="31107" xr:uid="{91E48719-8D60-4CFF-9DFF-0F5E1A8A8295}"/>
    <cellStyle name="Normal 8 3 4 4 2 5" xfId="39554" xr:uid="{7021C5BF-9663-40CD-8AD5-E5F7F9218CB4}"/>
    <cellStyle name="Normal 8 3 4 4 2 6" xfId="13360" xr:uid="{20D6CC86-3FFE-41D4-9788-49CB4B5DDDEE}"/>
    <cellStyle name="Normal 8 3 4 4 3" xfId="6106" xr:uid="{00000000-0005-0000-0000-0000B51D0000}"/>
    <cellStyle name="Normal 8 3 4 4 3 2" xfId="24732" xr:uid="{337C0569-32AF-488F-BCBA-DD6341351D74}"/>
    <cellStyle name="Normal 8 3 4 4 3 3" xfId="33179" xr:uid="{6E3BB296-4A69-4804-BB60-A10F3BD536A7}"/>
    <cellStyle name="Normal 8 3 4 4 3 4" xfId="41626" xr:uid="{7E89AE13-EED3-4AF3-A231-BC00491DDC0A}"/>
    <cellStyle name="Normal 8 3 4 4 3 5" xfId="15432" xr:uid="{D2689FC9-C399-4FFA-9A9B-45BED6E9F04B}"/>
    <cellStyle name="Normal 8 3 4 4 4" xfId="20515" xr:uid="{B0F4F568-3D28-4511-B121-33F48A1E9E47}"/>
    <cellStyle name="Normal 8 3 4 4 5" xfId="28962" xr:uid="{8F742C4B-0F17-49D3-92A3-2E23ADEAA725}"/>
    <cellStyle name="Normal 8 3 4 4 6" xfId="37409" xr:uid="{B77E19C0-8900-4F73-99FB-BCA86694A076}"/>
    <cellStyle name="Normal 8 3 4 4 7" xfId="11215" xr:uid="{EF947B84-FBFF-4F56-9929-566C68A4E0B7}"/>
    <cellStyle name="Normal 8 3 4 5" xfId="2213" xr:uid="{00000000-0005-0000-0000-0000B61D0000}"/>
    <cellStyle name="Normal 8 3 4 5 2" xfId="4442" xr:uid="{00000000-0005-0000-0000-0000B71D0000}"/>
    <cellStyle name="Normal 8 3 4 5 2 2" xfId="8664" xr:uid="{00000000-0005-0000-0000-0000B81D0000}"/>
    <cellStyle name="Normal 8 3 4 5 2 2 2" xfId="27290" xr:uid="{C7C5308A-7948-4A1A-A7E8-35C7B2109D24}"/>
    <cellStyle name="Normal 8 3 4 5 2 2 3" xfId="35737" xr:uid="{2C368CC6-11F0-4968-8392-C365CB867526}"/>
    <cellStyle name="Normal 8 3 4 5 2 2 4" xfId="44184" xr:uid="{BBC54B6F-8909-4473-8E1A-23421DF8ABC4}"/>
    <cellStyle name="Normal 8 3 4 5 2 2 5" xfId="17990" xr:uid="{2CD99AE3-794A-4D33-BB93-EAC9A5834219}"/>
    <cellStyle name="Normal 8 3 4 5 2 3" xfId="23073" xr:uid="{AC1D6075-B64A-4D0D-87CD-A1C9FB5A69F0}"/>
    <cellStyle name="Normal 8 3 4 5 2 4" xfId="31520" xr:uid="{5E0549A0-21D6-4D8A-9D62-B285AC7B6471}"/>
    <cellStyle name="Normal 8 3 4 5 2 5" xfId="39967" xr:uid="{8C88E231-DB24-4D45-97F9-ABB6E857D702}"/>
    <cellStyle name="Normal 8 3 4 5 2 6" xfId="13773" xr:uid="{6E624A61-23C1-4F8C-8D2F-A051D21158CE}"/>
    <cellStyle name="Normal 8 3 4 5 3" xfId="6519" xr:uid="{00000000-0005-0000-0000-0000B91D0000}"/>
    <cellStyle name="Normal 8 3 4 5 3 2" xfId="25145" xr:uid="{25AA1470-B559-488C-A747-4A855228D35B}"/>
    <cellStyle name="Normal 8 3 4 5 3 3" xfId="33592" xr:uid="{4DB1CAE7-3CD6-45D7-8FD9-775742C1C7B8}"/>
    <cellStyle name="Normal 8 3 4 5 3 4" xfId="42039" xr:uid="{83B5B34C-E889-43F0-99E0-E35354434CA0}"/>
    <cellStyle name="Normal 8 3 4 5 3 5" xfId="15845" xr:uid="{DBF02D58-D977-4469-8540-08EC128C1566}"/>
    <cellStyle name="Normal 8 3 4 5 4" xfId="20928" xr:uid="{F70D8835-D58E-4E33-9D08-E8AC9B4F31A8}"/>
    <cellStyle name="Normal 8 3 4 5 5" xfId="29375" xr:uid="{E97D59D6-200F-4768-BB12-2AC18BCA6DC9}"/>
    <cellStyle name="Normal 8 3 4 5 6" xfId="37822" xr:uid="{5CDF4837-0C57-4F0C-A1E7-EF0FA9CC61E7}"/>
    <cellStyle name="Normal 8 3 4 5 7" xfId="11628" xr:uid="{A245C364-9E12-4303-A395-AFC04D2D745B}"/>
    <cellStyle name="Normal 8 3 4 6" xfId="2649" xr:uid="{00000000-0005-0000-0000-0000BA1D0000}"/>
    <cellStyle name="Normal 8 3 4 6 2" xfId="6932" xr:uid="{00000000-0005-0000-0000-0000BB1D0000}"/>
    <cellStyle name="Normal 8 3 4 6 2 2" xfId="25558" xr:uid="{111EEA15-D12B-448A-9A60-135BE03E1FA2}"/>
    <cellStyle name="Normal 8 3 4 6 2 3" xfId="34005" xr:uid="{44F0E37D-9BF6-418D-BFDA-2849A469B5E5}"/>
    <cellStyle name="Normal 8 3 4 6 2 4" xfId="42452" xr:uid="{1783FCC2-0A35-4017-ACE2-B2955AC3D1BC}"/>
    <cellStyle name="Normal 8 3 4 6 2 5" xfId="16258" xr:uid="{9FD2F57E-2480-4FE7-BD45-CC71188E2E89}"/>
    <cellStyle name="Normal 8 3 4 6 3" xfId="21341" xr:uid="{8E344F93-AD82-4995-A179-C6B71991E4A8}"/>
    <cellStyle name="Normal 8 3 4 6 4" xfId="29788" xr:uid="{5A3F7FAA-37F9-48B8-A653-67BD6714487B}"/>
    <cellStyle name="Normal 8 3 4 6 5" xfId="38235" xr:uid="{7E9C851E-BB0A-42FB-AB00-56D501272A3A}"/>
    <cellStyle name="Normal 8 3 4 6 6" xfId="12041" xr:uid="{1F1A9416-D569-43ED-B2AA-CC3823FC7868}"/>
    <cellStyle name="Normal 8 3 4 7" xfId="4867" xr:uid="{00000000-0005-0000-0000-0000BC1D0000}"/>
    <cellStyle name="Normal 8 3 4 7 2" xfId="23493" xr:uid="{927F4CD0-2544-4187-AB10-631FBC3C6BA8}"/>
    <cellStyle name="Normal 8 3 4 7 3" xfId="31940" xr:uid="{0C74B628-0B0A-423C-804C-41ED330DA1CA}"/>
    <cellStyle name="Normal 8 3 4 7 4" xfId="40387" xr:uid="{0B9DAE5C-5B93-4955-985C-43B7A6EC6C4A}"/>
    <cellStyle name="Normal 8 3 4 7 5" xfId="14193" xr:uid="{B7A27B20-8249-4D92-9554-9DD64D747564}"/>
    <cellStyle name="Normal 8 3 4 8" xfId="8981" xr:uid="{BEE184E9-ECE6-4107-B29A-CC8BC7F28FA3}"/>
    <cellStyle name="Normal 8 3 4 8 2" xfId="18305" xr:uid="{26950AA7-5B26-4225-B0FB-8E38EACE9378}"/>
    <cellStyle name="Normal 8 3 4 9" xfId="19276" xr:uid="{C39CB9C8-E322-4E44-A233-3BF28BCA1BB9}"/>
    <cellStyle name="Normal 8 3 5" xfId="962" xr:uid="{00000000-0005-0000-0000-0000BD1D0000}"/>
    <cellStyle name="Normal 8 3 5 2" xfId="3196" xr:uid="{00000000-0005-0000-0000-0000BE1D0000}"/>
    <cellStyle name="Normal 8 3 5 2 2" xfId="7418" xr:uid="{00000000-0005-0000-0000-0000BF1D0000}"/>
    <cellStyle name="Normal 8 3 5 2 2 2" xfId="26044" xr:uid="{9E1E15FB-E337-4273-BB93-A5AB6AD38A02}"/>
    <cellStyle name="Normal 8 3 5 2 2 3" xfId="34491" xr:uid="{F8CAE97A-FA71-4856-8E13-79532095844F}"/>
    <cellStyle name="Normal 8 3 5 2 2 4" xfId="42938" xr:uid="{4F136BDA-86D7-47FF-B2B7-2D0C72C7E350}"/>
    <cellStyle name="Normal 8 3 5 2 2 5" xfId="16744" xr:uid="{36D5C4AC-2DB8-48D7-ABCA-72D2A42AB335}"/>
    <cellStyle name="Normal 8 3 5 2 3" xfId="21827" xr:uid="{8F05490A-CEA8-47D2-A491-BE72C172C294}"/>
    <cellStyle name="Normal 8 3 5 2 4" xfId="30274" xr:uid="{7ACDBF6F-BE1F-4FE4-ACEE-A02C6F7F503B}"/>
    <cellStyle name="Normal 8 3 5 2 5" xfId="38721" xr:uid="{606BD44D-CFAA-47F5-A1B5-254898342DA3}"/>
    <cellStyle name="Normal 8 3 5 2 6" xfId="12527" xr:uid="{48632C29-3721-4728-A7E9-5194CFACA19E}"/>
    <cellStyle name="Normal 8 3 5 3" xfId="5273" xr:uid="{00000000-0005-0000-0000-0000C01D0000}"/>
    <cellStyle name="Normal 8 3 5 3 2" xfId="23899" xr:uid="{FF1E1ACE-31D0-42A4-B465-C7871D3033CD}"/>
    <cellStyle name="Normal 8 3 5 3 3" xfId="32346" xr:uid="{E7DEB293-E46D-4C8C-AAA4-C0A1569637F3}"/>
    <cellStyle name="Normal 8 3 5 3 4" xfId="40793" xr:uid="{0B7C559A-4DBA-490A-B800-04D3BDC3E0C4}"/>
    <cellStyle name="Normal 8 3 5 3 5" xfId="14599" xr:uid="{41100078-BFB7-43B0-93C1-F8CBC789F4A2}"/>
    <cellStyle name="Normal 8 3 5 4" xfId="9198" xr:uid="{FA5A5C79-C3AC-4E17-9344-90C4E411EE0B}"/>
    <cellStyle name="Normal 8 3 5 4 2" xfId="18515" xr:uid="{6E5DB377-FEEB-445F-9D73-297AACED8D3F}"/>
    <cellStyle name="Normal 8 3 5 5" xfId="19682" xr:uid="{B2B8FFC2-D9FD-4BF0-8EA8-6781914C795D}"/>
    <cellStyle name="Normal 8 3 5 6" xfId="28129" xr:uid="{359AC9C2-B614-4B07-9C5B-E58225465A43}"/>
    <cellStyle name="Normal 8 3 5 7" xfId="36576" xr:uid="{3D685485-41E3-4E75-BE12-56B1480E6361}"/>
    <cellStyle name="Normal 8 3 5 8" xfId="10382" xr:uid="{C8ADFA30-8E7C-4D41-B399-031CA8747B01}"/>
    <cellStyle name="Normal 8 3 6" xfId="1379" xr:uid="{00000000-0005-0000-0000-0000C11D0000}"/>
    <cellStyle name="Normal 8 3 6 2" xfId="3609" xr:uid="{00000000-0005-0000-0000-0000C21D0000}"/>
    <cellStyle name="Normal 8 3 6 2 2" xfId="7831" xr:uid="{00000000-0005-0000-0000-0000C31D0000}"/>
    <cellStyle name="Normal 8 3 6 2 2 2" xfId="26457" xr:uid="{C3A2B135-8194-4263-9BC8-B92F29FADDBD}"/>
    <cellStyle name="Normal 8 3 6 2 2 3" xfId="34904" xr:uid="{4CC0C28E-785C-4B92-A5F3-7F872D0E45FD}"/>
    <cellStyle name="Normal 8 3 6 2 2 4" xfId="43351" xr:uid="{3888C6E0-E703-45C3-B16C-0EFD6D24295B}"/>
    <cellStyle name="Normal 8 3 6 2 2 5" xfId="17157" xr:uid="{ADA7E963-BE7E-4EE4-8B53-B5F1C5B53A31}"/>
    <cellStyle name="Normal 8 3 6 2 3" xfId="22240" xr:uid="{6AA50438-143F-47AB-9382-E8B23C5DA162}"/>
    <cellStyle name="Normal 8 3 6 2 4" xfId="30687" xr:uid="{B3ED1374-4B71-4396-A15D-3648BDF82A5C}"/>
    <cellStyle name="Normal 8 3 6 2 5" xfId="39134" xr:uid="{A0D688BC-117F-478D-83DC-2B6B69710BF1}"/>
    <cellStyle name="Normal 8 3 6 2 6" xfId="12940" xr:uid="{DCC3F6DF-29F2-4780-B0C3-06BEE3CB98D1}"/>
    <cellStyle name="Normal 8 3 6 3" xfId="5686" xr:uid="{00000000-0005-0000-0000-0000C41D0000}"/>
    <cellStyle name="Normal 8 3 6 3 2" xfId="24312" xr:uid="{A4B261E4-DA5C-4792-9FE5-04624F6502F3}"/>
    <cellStyle name="Normal 8 3 6 3 3" xfId="32759" xr:uid="{889558F4-9D14-43A5-BCAF-638326DE1CCC}"/>
    <cellStyle name="Normal 8 3 6 3 4" xfId="41206" xr:uid="{4FD4A411-6609-409D-B63C-AC96BBE887C5}"/>
    <cellStyle name="Normal 8 3 6 3 5" xfId="15012" xr:uid="{6429D443-4CC7-46F6-B60C-A892061B504B}"/>
    <cellStyle name="Normal 8 3 6 4" xfId="20095" xr:uid="{747AD590-64BC-4EF4-8D2F-9D3B24DDA3FA}"/>
    <cellStyle name="Normal 8 3 6 5" xfId="28542" xr:uid="{7F4778D8-AD62-42E2-B945-ED4AAF5AA2F3}"/>
    <cellStyle name="Normal 8 3 6 6" xfId="36989" xr:uid="{1AFFAEEB-3780-4120-8E66-5B077D09FCA1}"/>
    <cellStyle name="Normal 8 3 6 7" xfId="10795" xr:uid="{9AF0EC35-52E0-4B66-BA75-CBE1614D60EF}"/>
    <cellStyle name="Normal 8 3 7" xfId="1792" xr:uid="{00000000-0005-0000-0000-0000C51D0000}"/>
    <cellStyle name="Normal 8 3 7 2" xfId="4022" xr:uid="{00000000-0005-0000-0000-0000C61D0000}"/>
    <cellStyle name="Normal 8 3 7 2 2" xfId="8244" xr:uid="{00000000-0005-0000-0000-0000C71D0000}"/>
    <cellStyle name="Normal 8 3 7 2 2 2" xfId="26870" xr:uid="{09E3A98F-3883-4E07-AFAA-080DC4A8ED89}"/>
    <cellStyle name="Normal 8 3 7 2 2 3" xfId="35317" xr:uid="{6AC5EC78-0C28-4E73-82A1-10A08C5E2A49}"/>
    <cellStyle name="Normal 8 3 7 2 2 4" xfId="43764" xr:uid="{748C848F-BBDD-44A8-A368-F6DDEFB8E4E2}"/>
    <cellStyle name="Normal 8 3 7 2 2 5" xfId="17570" xr:uid="{DA02475B-C982-41A7-94EE-AF199BA3FCD5}"/>
    <cellStyle name="Normal 8 3 7 2 3" xfId="22653" xr:uid="{094C0303-D0C5-491D-B65B-C5F8371B3915}"/>
    <cellStyle name="Normal 8 3 7 2 4" xfId="31100" xr:uid="{39FA8C4C-B73A-4494-877D-880ED1FC365B}"/>
    <cellStyle name="Normal 8 3 7 2 5" xfId="39547" xr:uid="{1C2D84D8-B30B-41F1-B5AC-C509816D2CE0}"/>
    <cellStyle name="Normal 8 3 7 2 6" xfId="13353" xr:uid="{9E107A52-93F8-40CA-A415-854D4F35DA9B}"/>
    <cellStyle name="Normal 8 3 7 3" xfId="6099" xr:uid="{00000000-0005-0000-0000-0000C81D0000}"/>
    <cellStyle name="Normal 8 3 7 3 2" xfId="24725" xr:uid="{50DEE30D-62A3-4DDF-ABC5-9F6782191FE3}"/>
    <cellStyle name="Normal 8 3 7 3 3" xfId="33172" xr:uid="{0D8FB1A0-8AC8-4024-A745-E165388D6798}"/>
    <cellStyle name="Normal 8 3 7 3 4" xfId="41619" xr:uid="{6AD97890-D486-4997-8BBE-FC6FB1F634B0}"/>
    <cellStyle name="Normal 8 3 7 3 5" xfId="15425" xr:uid="{566538F6-97A0-45A1-AB4A-0B884A6E5480}"/>
    <cellStyle name="Normal 8 3 7 4" xfId="20508" xr:uid="{5569A342-52CD-4145-90A7-AF4C38C070C4}"/>
    <cellStyle name="Normal 8 3 7 5" xfId="28955" xr:uid="{8BB730E7-3048-4BDE-B533-092F35AD9E1D}"/>
    <cellStyle name="Normal 8 3 7 6" xfId="37402" xr:uid="{4DC27C0A-CCB8-4C4A-912A-0611D2B78BB1}"/>
    <cellStyle name="Normal 8 3 7 7" xfId="11208" xr:uid="{9E3C1C99-D0F2-418F-ABE3-447A91AF4BEA}"/>
    <cellStyle name="Normal 8 3 8" xfId="2206" xr:uid="{00000000-0005-0000-0000-0000C91D0000}"/>
    <cellStyle name="Normal 8 3 8 2" xfId="4435" xr:uid="{00000000-0005-0000-0000-0000CA1D0000}"/>
    <cellStyle name="Normal 8 3 8 2 2" xfId="8657" xr:uid="{00000000-0005-0000-0000-0000CB1D0000}"/>
    <cellStyle name="Normal 8 3 8 2 2 2" xfId="27283" xr:uid="{7A894A86-6E74-4CA7-9451-ECEE27CA3130}"/>
    <cellStyle name="Normal 8 3 8 2 2 3" xfId="35730" xr:uid="{DBCC607E-3461-4470-AB6E-B6A173DCA347}"/>
    <cellStyle name="Normal 8 3 8 2 2 4" xfId="44177" xr:uid="{014C11AC-5737-43C9-95D7-F9355A7D4176}"/>
    <cellStyle name="Normal 8 3 8 2 2 5" xfId="17983" xr:uid="{ABF194C8-133A-4342-9D8E-937F676B4597}"/>
    <cellStyle name="Normal 8 3 8 2 3" xfId="23066" xr:uid="{D031C05F-AD9C-4976-A879-413751719D0F}"/>
    <cellStyle name="Normal 8 3 8 2 4" xfId="31513" xr:uid="{3B7D23FC-6DF0-40A9-9526-A0A6A8E49E93}"/>
    <cellStyle name="Normal 8 3 8 2 5" xfId="39960" xr:uid="{8C4579AF-4E3E-45F9-A09E-537E1892D2E0}"/>
    <cellStyle name="Normal 8 3 8 2 6" xfId="13766" xr:uid="{CCE6A334-0D55-4C4D-ABCA-236C077782EA}"/>
    <cellStyle name="Normal 8 3 8 3" xfId="6512" xr:uid="{00000000-0005-0000-0000-0000CC1D0000}"/>
    <cellStyle name="Normal 8 3 8 3 2" xfId="25138" xr:uid="{6B6114A9-9C3A-4567-B9D9-19FD162B542D}"/>
    <cellStyle name="Normal 8 3 8 3 3" xfId="33585" xr:uid="{1DA10E9A-C4B2-4F54-B846-01D1B8F5E187}"/>
    <cellStyle name="Normal 8 3 8 3 4" xfId="42032" xr:uid="{58852B8A-1395-47F6-9A16-CF5FE8B2F526}"/>
    <cellStyle name="Normal 8 3 8 3 5" xfId="15838" xr:uid="{252A3EE8-904D-42A6-AB21-1C358920FDE4}"/>
    <cellStyle name="Normal 8 3 8 4" xfId="20921" xr:uid="{679967DE-CE42-4D95-8723-D4B3D103711D}"/>
    <cellStyle name="Normal 8 3 8 5" xfId="29368" xr:uid="{C3498896-A2BA-4B24-8AED-A3757F820166}"/>
    <cellStyle name="Normal 8 3 8 6" xfId="37815" xr:uid="{5CA0B4E0-5CC5-40AA-9E9F-E63768B48BA6}"/>
    <cellStyle name="Normal 8 3 8 7" xfId="11621" xr:uid="{897FF179-0CDB-4F7A-A4F5-A99F04EA43C1}"/>
    <cellStyle name="Normal 8 3 9" xfId="2642" xr:uid="{00000000-0005-0000-0000-0000CD1D0000}"/>
    <cellStyle name="Normal 8 3 9 2" xfId="6925" xr:uid="{00000000-0005-0000-0000-0000CE1D0000}"/>
    <cellStyle name="Normal 8 3 9 2 2" xfId="25551" xr:uid="{662FEDE0-20F6-449C-97C3-A445E7ABC063}"/>
    <cellStyle name="Normal 8 3 9 2 3" xfId="33998" xr:uid="{C71422E1-C568-447B-BCA6-3C4C874364F4}"/>
    <cellStyle name="Normal 8 3 9 2 4" xfId="42445" xr:uid="{47A4920D-62F0-4E3E-B22F-9837E1521C2E}"/>
    <cellStyle name="Normal 8 3 9 2 5" xfId="16251" xr:uid="{B2D9009D-18AB-48AC-A6CA-E70990116A06}"/>
    <cellStyle name="Normal 8 3 9 3" xfId="21334" xr:uid="{F6FABE8E-024B-42D4-9BE4-248092FBE420}"/>
    <cellStyle name="Normal 8 3 9 4" xfId="29781" xr:uid="{6883CFED-B02C-4F12-A077-53D060913948}"/>
    <cellStyle name="Normal 8 3 9 5" xfId="38228" xr:uid="{E8D5C34F-8677-476F-B998-396A1FB28635}"/>
    <cellStyle name="Normal 8 3 9 6" xfId="12034" xr:uid="{9AB378DC-5275-40A1-891B-D592ECD669B1}"/>
    <cellStyle name="Normal 8 4" xfId="503" xr:uid="{00000000-0005-0000-0000-0000CF1D0000}"/>
    <cellStyle name="Normal 8 4 10" xfId="8834" xr:uid="{78848A4E-06FA-4050-B553-A3A7DEA1B047}"/>
    <cellStyle name="Normal 8 4 10 2" xfId="18158" xr:uid="{7F1FDF44-7522-4190-82EF-FCA376F1D9EB}"/>
    <cellStyle name="Normal 8 4 11" xfId="19277" xr:uid="{EED554B2-59CC-4AC0-9CC9-46091076D79F}"/>
    <cellStyle name="Normal 8 4 12" xfId="27724" xr:uid="{8622E7F9-A605-4E2A-9F7C-91D9485D4A18}"/>
    <cellStyle name="Normal 8 4 13" xfId="36171" xr:uid="{95A94F12-D309-463B-9650-56A028BDDE99}"/>
    <cellStyle name="Normal 8 4 14" xfId="9977" xr:uid="{8163C5E0-A705-4A21-B1F7-064F3B54C66D}"/>
    <cellStyle name="Normal 8 4 2" xfId="504" xr:uid="{00000000-0005-0000-0000-0000D01D0000}"/>
    <cellStyle name="Normal 8 4 2 10" xfId="19278" xr:uid="{44F576D6-A5B5-40A6-BAF5-3CA26F3B8A1C}"/>
    <cellStyle name="Normal 8 4 2 11" xfId="27725" xr:uid="{1E8F0E36-D24A-4D2C-91EE-6AFC49436BE3}"/>
    <cellStyle name="Normal 8 4 2 12" xfId="36172" xr:uid="{A11E6D4D-79B0-4E5B-939F-B9BE0409611F}"/>
    <cellStyle name="Normal 8 4 2 13" xfId="9978" xr:uid="{C3F31BCB-C5DA-4400-A50E-E24E86692531}"/>
    <cellStyle name="Normal 8 4 2 2" xfId="505" xr:uid="{00000000-0005-0000-0000-0000D11D0000}"/>
    <cellStyle name="Normal 8 4 2 2 10" xfId="27726" xr:uid="{4F08711E-74EF-4E25-B392-1C78B3A9E287}"/>
    <cellStyle name="Normal 8 4 2 2 11" xfId="36173" xr:uid="{E12AC27E-36BC-41CB-A124-C26C066A732A}"/>
    <cellStyle name="Normal 8 4 2 2 12" xfId="9979" xr:uid="{476DE343-253D-4F57-9A3D-B5B906BB989D}"/>
    <cellStyle name="Normal 8 4 2 2 2" xfId="972" xr:uid="{00000000-0005-0000-0000-0000D21D0000}"/>
    <cellStyle name="Normal 8 4 2 2 2 2" xfId="3206" xr:uid="{00000000-0005-0000-0000-0000D31D0000}"/>
    <cellStyle name="Normal 8 4 2 2 2 2 2" xfId="7428" xr:uid="{00000000-0005-0000-0000-0000D41D0000}"/>
    <cellStyle name="Normal 8 4 2 2 2 2 2 2" xfId="26054" xr:uid="{812F74B8-E719-495D-9CED-A1C6B7B88BD2}"/>
    <cellStyle name="Normal 8 4 2 2 2 2 2 3" xfId="34501" xr:uid="{1D486525-E5C6-48BD-8407-FCFDA7E67194}"/>
    <cellStyle name="Normal 8 4 2 2 2 2 2 4" xfId="42948" xr:uid="{C6BE4AF5-0A8A-4175-B6CF-7E1672B0F4E7}"/>
    <cellStyle name="Normal 8 4 2 2 2 2 2 5" xfId="16754" xr:uid="{6C8D78C5-DFC9-4B38-990F-64FFB06ED4E8}"/>
    <cellStyle name="Normal 8 4 2 2 2 2 3" xfId="21837" xr:uid="{2E72738E-C88A-4E6D-B88E-71F9A0249CAE}"/>
    <cellStyle name="Normal 8 4 2 2 2 2 4" xfId="30284" xr:uid="{1316547B-BAC6-4A08-8768-FA3A9F0B56CF}"/>
    <cellStyle name="Normal 8 4 2 2 2 2 5" xfId="38731" xr:uid="{922744DE-807B-4FCF-AFC7-0C95E61D4327}"/>
    <cellStyle name="Normal 8 4 2 2 2 2 6" xfId="12537" xr:uid="{BAF7C02D-F799-4C24-960C-FF8CBD80CF58}"/>
    <cellStyle name="Normal 8 4 2 2 2 3" xfId="5283" xr:uid="{00000000-0005-0000-0000-0000D51D0000}"/>
    <cellStyle name="Normal 8 4 2 2 2 3 2" xfId="23909" xr:uid="{1461169B-6420-42F6-9B24-159F2C2110B3}"/>
    <cellStyle name="Normal 8 4 2 2 2 3 3" xfId="32356" xr:uid="{8CCD305F-4191-45F0-957E-208B5C373ADC}"/>
    <cellStyle name="Normal 8 4 2 2 2 3 4" xfId="40803" xr:uid="{E8B90B6A-5305-4E05-9BEC-E3B4A00C26BC}"/>
    <cellStyle name="Normal 8 4 2 2 2 3 5" xfId="14609" xr:uid="{0DEDAAF4-5D88-4A07-9A38-B55B93B450CA}"/>
    <cellStyle name="Normal 8 4 2 2 2 4" xfId="9569" xr:uid="{F21122F8-27BB-4D46-891E-281F736F5353}"/>
    <cellStyle name="Normal 8 4 2 2 2 4 2" xfId="18885" xr:uid="{432C94A4-88E5-466A-AF36-07B42F6AE603}"/>
    <cellStyle name="Normal 8 4 2 2 2 5" xfId="19692" xr:uid="{CDBABE43-C847-478E-9E3F-E78FDA6EE3F4}"/>
    <cellStyle name="Normal 8 4 2 2 2 6" xfId="28139" xr:uid="{BFE9AD80-A138-4E30-A82C-8F09419318F3}"/>
    <cellStyle name="Normal 8 4 2 2 2 7" xfId="36586" xr:uid="{921EF3AC-00AF-498E-8A62-1C591A7F256E}"/>
    <cellStyle name="Normal 8 4 2 2 2 8" xfId="10392" xr:uid="{4741BFC0-70A1-4B23-AC07-37F0A8473FD8}"/>
    <cellStyle name="Normal 8 4 2 2 3" xfId="1389" xr:uid="{00000000-0005-0000-0000-0000D61D0000}"/>
    <cellStyle name="Normal 8 4 2 2 3 2" xfId="3619" xr:uid="{00000000-0005-0000-0000-0000D71D0000}"/>
    <cellStyle name="Normal 8 4 2 2 3 2 2" xfId="7841" xr:uid="{00000000-0005-0000-0000-0000D81D0000}"/>
    <cellStyle name="Normal 8 4 2 2 3 2 2 2" xfId="26467" xr:uid="{2B93CF7C-87E6-4BFD-8FE4-D2B7D87B3745}"/>
    <cellStyle name="Normal 8 4 2 2 3 2 2 3" xfId="34914" xr:uid="{7A324E1F-B5E7-4CC9-AB2B-247F47DD7D97}"/>
    <cellStyle name="Normal 8 4 2 2 3 2 2 4" xfId="43361" xr:uid="{5FD95487-08EC-4A9B-9EC3-F94F9500D9A6}"/>
    <cellStyle name="Normal 8 4 2 2 3 2 2 5" xfId="17167" xr:uid="{31C508D4-4436-49FE-A0F2-E320CA03BCAB}"/>
    <cellStyle name="Normal 8 4 2 2 3 2 3" xfId="22250" xr:uid="{CB8D92A5-7919-4C6D-8C81-80DC98ACBA2F}"/>
    <cellStyle name="Normal 8 4 2 2 3 2 4" xfId="30697" xr:uid="{7B40411B-9B95-4708-9D12-2304A4D20143}"/>
    <cellStyle name="Normal 8 4 2 2 3 2 5" xfId="39144" xr:uid="{04040E01-79CB-4D13-AC4E-5CC0E7606013}"/>
    <cellStyle name="Normal 8 4 2 2 3 2 6" xfId="12950" xr:uid="{2DB6EB7C-B461-4BBC-92F4-F15C0FAEB7DD}"/>
    <cellStyle name="Normal 8 4 2 2 3 3" xfId="5696" xr:uid="{00000000-0005-0000-0000-0000D91D0000}"/>
    <cellStyle name="Normal 8 4 2 2 3 3 2" xfId="24322" xr:uid="{DCCB73EC-BFAE-46FE-8FD0-C9447F163EAB}"/>
    <cellStyle name="Normal 8 4 2 2 3 3 3" xfId="32769" xr:uid="{0077145F-12EA-470C-87DF-AD5068155E87}"/>
    <cellStyle name="Normal 8 4 2 2 3 3 4" xfId="41216" xr:uid="{C9ABD3CE-F9B9-4AA4-85B6-84D46890296C}"/>
    <cellStyle name="Normal 8 4 2 2 3 3 5" xfId="15022" xr:uid="{7A80DDCA-10B3-4E19-B7D3-EBF1202129F9}"/>
    <cellStyle name="Normal 8 4 2 2 3 4" xfId="20105" xr:uid="{64F1C8D8-BF4F-4657-86CF-F218C55D3EE6}"/>
    <cellStyle name="Normal 8 4 2 2 3 5" xfId="28552" xr:uid="{70BA5777-90EB-4498-80E1-8F1AA98A033D}"/>
    <cellStyle name="Normal 8 4 2 2 3 6" xfId="36999" xr:uid="{54233399-A31E-4D59-809B-F4BD311D4DB5}"/>
    <cellStyle name="Normal 8 4 2 2 3 7" xfId="10805" xr:uid="{352E6C06-491F-4373-B57B-DC15A43AD340}"/>
    <cellStyle name="Normal 8 4 2 2 4" xfId="1802" xr:uid="{00000000-0005-0000-0000-0000DA1D0000}"/>
    <cellStyle name="Normal 8 4 2 2 4 2" xfId="4032" xr:uid="{00000000-0005-0000-0000-0000DB1D0000}"/>
    <cellStyle name="Normal 8 4 2 2 4 2 2" xfId="8254" xr:uid="{00000000-0005-0000-0000-0000DC1D0000}"/>
    <cellStyle name="Normal 8 4 2 2 4 2 2 2" xfId="26880" xr:uid="{44AB0DB3-A2A2-4E71-94D0-CFBB18D883DC}"/>
    <cellStyle name="Normal 8 4 2 2 4 2 2 3" xfId="35327" xr:uid="{55C1CBB0-4F29-4885-A566-60BF3489ACDE}"/>
    <cellStyle name="Normal 8 4 2 2 4 2 2 4" xfId="43774" xr:uid="{BF359AE5-D427-4E8A-B74D-910BECC0DF1E}"/>
    <cellStyle name="Normal 8 4 2 2 4 2 2 5" xfId="17580" xr:uid="{F999BB5E-607D-4E92-A407-85983D4DF7E9}"/>
    <cellStyle name="Normal 8 4 2 2 4 2 3" xfId="22663" xr:uid="{F40055CA-A853-4057-B41B-1FA5ADEE3251}"/>
    <cellStyle name="Normal 8 4 2 2 4 2 4" xfId="31110" xr:uid="{A384A883-080A-422C-BFE8-4E97D46E6938}"/>
    <cellStyle name="Normal 8 4 2 2 4 2 5" xfId="39557" xr:uid="{FA1C8EA3-B75F-43F8-B7FD-10FE66BFE730}"/>
    <cellStyle name="Normal 8 4 2 2 4 2 6" xfId="13363" xr:uid="{F2661BF9-CE6C-4A13-B460-DCD4873F7B0C}"/>
    <cellStyle name="Normal 8 4 2 2 4 3" xfId="6109" xr:uid="{00000000-0005-0000-0000-0000DD1D0000}"/>
    <cellStyle name="Normal 8 4 2 2 4 3 2" xfId="24735" xr:uid="{8AB97579-7210-4781-9A40-B4200EC15D57}"/>
    <cellStyle name="Normal 8 4 2 2 4 3 3" xfId="33182" xr:uid="{B7769AE6-16EA-4BFA-83D9-344E83A72751}"/>
    <cellStyle name="Normal 8 4 2 2 4 3 4" xfId="41629" xr:uid="{883946B2-4E55-450C-A24F-76833F6B2586}"/>
    <cellStyle name="Normal 8 4 2 2 4 3 5" xfId="15435" xr:uid="{67696FF1-71FE-4402-B16B-B386ED3BD70B}"/>
    <cellStyle name="Normal 8 4 2 2 4 4" xfId="20518" xr:uid="{F951D373-3A44-4716-9EE1-E8AC6607FDF9}"/>
    <cellStyle name="Normal 8 4 2 2 4 5" xfId="28965" xr:uid="{4306A729-4B61-4D4E-B8C6-2C496CAB9455}"/>
    <cellStyle name="Normal 8 4 2 2 4 6" xfId="37412" xr:uid="{5A03E979-26A5-43FF-97EA-A1525CDFD50A}"/>
    <cellStyle name="Normal 8 4 2 2 4 7" xfId="11218" xr:uid="{6DA031FC-F7F5-4F50-905C-20F5801353A3}"/>
    <cellStyle name="Normal 8 4 2 2 5" xfId="2216" xr:uid="{00000000-0005-0000-0000-0000DE1D0000}"/>
    <cellStyle name="Normal 8 4 2 2 5 2" xfId="4445" xr:uid="{00000000-0005-0000-0000-0000DF1D0000}"/>
    <cellStyle name="Normal 8 4 2 2 5 2 2" xfId="8667" xr:uid="{00000000-0005-0000-0000-0000E01D0000}"/>
    <cellStyle name="Normal 8 4 2 2 5 2 2 2" xfId="27293" xr:uid="{5BD51412-C812-410A-8867-98CDB2F8E695}"/>
    <cellStyle name="Normal 8 4 2 2 5 2 2 3" xfId="35740" xr:uid="{5F7E7F22-E857-43AE-80C5-258BF66A1CA3}"/>
    <cellStyle name="Normal 8 4 2 2 5 2 2 4" xfId="44187" xr:uid="{69015EF8-0107-4554-ACB3-8095D45009C5}"/>
    <cellStyle name="Normal 8 4 2 2 5 2 2 5" xfId="17993" xr:uid="{8B01E610-5318-4074-A594-E235CE86B42C}"/>
    <cellStyle name="Normal 8 4 2 2 5 2 3" xfId="23076" xr:uid="{4CEA90CA-DC94-49C9-B966-E9A3543682F0}"/>
    <cellStyle name="Normal 8 4 2 2 5 2 4" xfId="31523" xr:uid="{F91F79AE-6AC4-4778-881D-583FAA23BCB9}"/>
    <cellStyle name="Normal 8 4 2 2 5 2 5" xfId="39970" xr:uid="{62C0E085-5D09-4727-9083-7383DA7B7810}"/>
    <cellStyle name="Normal 8 4 2 2 5 2 6" xfId="13776" xr:uid="{9998F37E-D4DF-4EF5-B051-9B59EB725B40}"/>
    <cellStyle name="Normal 8 4 2 2 5 3" xfId="6522" xr:uid="{00000000-0005-0000-0000-0000E11D0000}"/>
    <cellStyle name="Normal 8 4 2 2 5 3 2" xfId="25148" xr:uid="{7937B377-C686-4990-86ED-E0F7A00CFEAB}"/>
    <cellStyle name="Normal 8 4 2 2 5 3 3" xfId="33595" xr:uid="{0017DAD8-4DF9-416E-8258-E78E1E56A424}"/>
    <cellStyle name="Normal 8 4 2 2 5 3 4" xfId="42042" xr:uid="{187E4B49-54C9-4C79-B6D1-13550F6ADA12}"/>
    <cellStyle name="Normal 8 4 2 2 5 3 5" xfId="15848" xr:uid="{42CB35EE-0E71-4EE2-8BEC-B634A7B54750}"/>
    <cellStyle name="Normal 8 4 2 2 5 4" xfId="20931" xr:uid="{87756F2C-D9B2-4CD2-92C6-B218984D6194}"/>
    <cellStyle name="Normal 8 4 2 2 5 5" xfId="29378" xr:uid="{EF8D467F-7A69-447A-837B-307B29099D85}"/>
    <cellStyle name="Normal 8 4 2 2 5 6" xfId="37825" xr:uid="{8893A9ED-EF58-48B1-A4CF-770F662AF569}"/>
    <cellStyle name="Normal 8 4 2 2 5 7" xfId="11631" xr:uid="{2EDDE9F5-C696-4D31-9381-B65924E7FEE6}"/>
    <cellStyle name="Normal 8 4 2 2 6" xfId="2652" xr:uid="{00000000-0005-0000-0000-0000E21D0000}"/>
    <cellStyle name="Normal 8 4 2 2 6 2" xfId="6935" xr:uid="{00000000-0005-0000-0000-0000E31D0000}"/>
    <cellStyle name="Normal 8 4 2 2 6 2 2" xfId="25561" xr:uid="{8BF77112-96C5-40E7-BE69-FD28E07940C2}"/>
    <cellStyle name="Normal 8 4 2 2 6 2 3" xfId="34008" xr:uid="{46E19DC4-E689-47BC-A4AC-B75DB3407E73}"/>
    <cellStyle name="Normal 8 4 2 2 6 2 4" xfId="42455" xr:uid="{EE653203-CA89-4D2C-B31D-BF95A1274E5D}"/>
    <cellStyle name="Normal 8 4 2 2 6 2 5" xfId="16261" xr:uid="{FBA821A8-80E8-4071-A359-552494DD4F67}"/>
    <cellStyle name="Normal 8 4 2 2 6 3" xfId="21344" xr:uid="{B90E1B4E-0F95-436B-9E9B-26EDADFE0ACF}"/>
    <cellStyle name="Normal 8 4 2 2 6 4" xfId="29791" xr:uid="{559F35FC-6069-4BA7-8BDD-86DDA1AC16A6}"/>
    <cellStyle name="Normal 8 4 2 2 6 5" xfId="38238" xr:uid="{9B2E58A8-8799-4E5D-B88A-E7D7F4597322}"/>
    <cellStyle name="Normal 8 4 2 2 6 6" xfId="12044" xr:uid="{8FDE23A9-6A60-4390-8BC2-90174EFD3103}"/>
    <cellStyle name="Normal 8 4 2 2 7" xfId="4870" xr:uid="{00000000-0005-0000-0000-0000E41D0000}"/>
    <cellStyle name="Normal 8 4 2 2 7 2" xfId="23496" xr:uid="{145ADA7A-AB72-46D0-9ABD-E651D972C071}"/>
    <cellStyle name="Normal 8 4 2 2 7 3" xfId="31943" xr:uid="{2EDFBB50-A4A3-4F84-AF13-A60BDAAD51B7}"/>
    <cellStyle name="Normal 8 4 2 2 7 4" xfId="40390" xr:uid="{7C648FFC-17E5-411C-9158-47CA86F8F4D0}"/>
    <cellStyle name="Normal 8 4 2 2 7 5" xfId="14196" xr:uid="{69E0639E-E490-40CB-8435-CC3E425B8A53}"/>
    <cellStyle name="Normal 8 4 2 2 8" xfId="9144" xr:uid="{EF6B0978-3DE8-47DC-990C-0B47AAC8F1DC}"/>
    <cellStyle name="Normal 8 4 2 2 8 2" xfId="18468" xr:uid="{5BDA71DF-10C3-4BC9-A220-817D2AEDA9DA}"/>
    <cellStyle name="Normal 8 4 2 2 9" xfId="19279" xr:uid="{C748598C-FAB6-416C-B004-1BD90062FE51}"/>
    <cellStyle name="Normal 8 4 2 3" xfId="971" xr:uid="{00000000-0005-0000-0000-0000E51D0000}"/>
    <cellStyle name="Normal 8 4 2 3 2" xfId="3205" xr:uid="{00000000-0005-0000-0000-0000E61D0000}"/>
    <cellStyle name="Normal 8 4 2 3 2 2" xfId="7427" xr:uid="{00000000-0005-0000-0000-0000E71D0000}"/>
    <cellStyle name="Normal 8 4 2 3 2 2 2" xfId="26053" xr:uid="{9AE1D073-A56E-4466-872A-AD813A30F21C}"/>
    <cellStyle name="Normal 8 4 2 3 2 2 3" xfId="34500" xr:uid="{F9A5601E-A4AA-4811-837C-A4862B144DF0}"/>
    <cellStyle name="Normal 8 4 2 3 2 2 4" xfId="42947" xr:uid="{974D5674-C796-46AF-B555-FDBF6D56F4ED}"/>
    <cellStyle name="Normal 8 4 2 3 2 2 5" xfId="16753" xr:uid="{839D258B-AA87-497D-9CA9-E5CE94FF0515}"/>
    <cellStyle name="Normal 8 4 2 3 2 3" xfId="21836" xr:uid="{C9B2442A-F061-4725-90AB-EB6F332C4951}"/>
    <cellStyle name="Normal 8 4 2 3 2 4" xfId="30283" xr:uid="{34FA421D-227D-4BD7-AB8B-68D412B09C6A}"/>
    <cellStyle name="Normal 8 4 2 3 2 5" xfId="38730" xr:uid="{5FB965B8-DF4D-4A69-ACFB-C9DF0CDDCABF}"/>
    <cellStyle name="Normal 8 4 2 3 2 6" xfId="12536" xr:uid="{C5B73FF8-8ADC-4D4E-891C-198357D7C0C8}"/>
    <cellStyle name="Normal 8 4 2 3 3" xfId="5282" xr:uid="{00000000-0005-0000-0000-0000E81D0000}"/>
    <cellStyle name="Normal 8 4 2 3 3 2" xfId="23908" xr:uid="{75D64004-D8CF-4636-96AB-EB17DFE2FA58}"/>
    <cellStyle name="Normal 8 4 2 3 3 3" xfId="32355" xr:uid="{B6B2C023-9A31-4A16-9D3D-E7DD0B2E7729}"/>
    <cellStyle name="Normal 8 4 2 3 3 4" xfId="40802" xr:uid="{00EC2278-3854-42BE-9FBC-F6B61A56E2F1}"/>
    <cellStyle name="Normal 8 4 2 3 3 5" xfId="14608" xr:uid="{89ED802C-FDC4-4B21-907C-C8BF756ABF6B}"/>
    <cellStyle name="Normal 8 4 2 3 4" xfId="9362" xr:uid="{206856BB-FDDB-4012-ABFE-5E991E477A14}"/>
    <cellStyle name="Normal 8 4 2 3 4 2" xfId="18678" xr:uid="{FAFA2F77-5E44-4715-A929-D06130A09EE5}"/>
    <cellStyle name="Normal 8 4 2 3 5" xfId="19691" xr:uid="{5E915F23-A869-49B8-A6B9-961149FA807F}"/>
    <cellStyle name="Normal 8 4 2 3 6" xfId="28138" xr:uid="{1BE29A85-639C-4C1E-BC7C-3EEB99197AEA}"/>
    <cellStyle name="Normal 8 4 2 3 7" xfId="36585" xr:uid="{BCE75724-DF40-4E53-BD86-F94B9A48D71A}"/>
    <cellStyle name="Normal 8 4 2 3 8" xfId="10391" xr:uid="{D2795BDE-F631-4244-9D69-CCCAAD330E68}"/>
    <cellStyle name="Normal 8 4 2 4" xfId="1388" xr:uid="{00000000-0005-0000-0000-0000E91D0000}"/>
    <cellStyle name="Normal 8 4 2 4 2" xfId="3618" xr:uid="{00000000-0005-0000-0000-0000EA1D0000}"/>
    <cellStyle name="Normal 8 4 2 4 2 2" xfId="7840" xr:uid="{00000000-0005-0000-0000-0000EB1D0000}"/>
    <cellStyle name="Normal 8 4 2 4 2 2 2" xfId="26466" xr:uid="{D73183E9-17D5-4021-AF48-595BD760AEBF}"/>
    <cellStyle name="Normal 8 4 2 4 2 2 3" xfId="34913" xr:uid="{CD88CCFA-AD26-4190-B375-520C39F966F3}"/>
    <cellStyle name="Normal 8 4 2 4 2 2 4" xfId="43360" xr:uid="{8345C1FE-B1C1-46DE-A505-C47670DFE22C}"/>
    <cellStyle name="Normal 8 4 2 4 2 2 5" xfId="17166" xr:uid="{F9A2DD43-2422-4ADA-81BB-578342CC3165}"/>
    <cellStyle name="Normal 8 4 2 4 2 3" xfId="22249" xr:uid="{B9FA0565-2336-4EB9-85D0-63118E53D190}"/>
    <cellStyle name="Normal 8 4 2 4 2 4" xfId="30696" xr:uid="{64F64390-DF7E-4DFA-B71F-763339223F8A}"/>
    <cellStyle name="Normal 8 4 2 4 2 5" xfId="39143" xr:uid="{DF2ADC24-238F-4496-AA84-1FD3BAE8E03A}"/>
    <cellStyle name="Normal 8 4 2 4 2 6" xfId="12949" xr:uid="{E0561599-7D64-4986-ABAC-8081F7A79213}"/>
    <cellStyle name="Normal 8 4 2 4 3" xfId="5695" xr:uid="{00000000-0005-0000-0000-0000EC1D0000}"/>
    <cellStyle name="Normal 8 4 2 4 3 2" xfId="24321" xr:uid="{53FDA986-81C9-41CE-8D1E-230D1D8063BE}"/>
    <cellStyle name="Normal 8 4 2 4 3 3" xfId="32768" xr:uid="{6911BBBC-1107-4CF0-A73C-576CA428ED7B}"/>
    <cellStyle name="Normal 8 4 2 4 3 4" xfId="41215" xr:uid="{CCA7288E-CD0F-40C8-8392-864E01666956}"/>
    <cellStyle name="Normal 8 4 2 4 3 5" xfId="15021" xr:uid="{B032959E-9217-4CBA-A9B2-72EF63B6C432}"/>
    <cellStyle name="Normal 8 4 2 4 4" xfId="20104" xr:uid="{3317DA43-E13A-48CA-BF9F-9726E9DB5096}"/>
    <cellStyle name="Normal 8 4 2 4 5" xfId="28551" xr:uid="{C4CFE79A-F415-4939-97DC-57048503D221}"/>
    <cellStyle name="Normal 8 4 2 4 6" xfId="36998" xr:uid="{025BFBCA-BE13-4186-A47A-DDFB54DFBC27}"/>
    <cellStyle name="Normal 8 4 2 4 7" xfId="10804" xr:uid="{12903248-8E29-42EF-BAC8-E5487BF43D71}"/>
    <cellStyle name="Normal 8 4 2 5" xfId="1801" xr:uid="{00000000-0005-0000-0000-0000ED1D0000}"/>
    <cellStyle name="Normal 8 4 2 5 2" xfId="4031" xr:uid="{00000000-0005-0000-0000-0000EE1D0000}"/>
    <cellStyle name="Normal 8 4 2 5 2 2" xfId="8253" xr:uid="{00000000-0005-0000-0000-0000EF1D0000}"/>
    <cellStyle name="Normal 8 4 2 5 2 2 2" xfId="26879" xr:uid="{2AFD0731-DF5E-4A5A-9940-3E60651DEDB7}"/>
    <cellStyle name="Normal 8 4 2 5 2 2 3" xfId="35326" xr:uid="{77D1C41C-E540-405C-862F-28CA2F1E9CB7}"/>
    <cellStyle name="Normal 8 4 2 5 2 2 4" xfId="43773" xr:uid="{FF3535D5-BEC6-4D2B-9D9C-8CFA53BB8C9F}"/>
    <cellStyle name="Normal 8 4 2 5 2 2 5" xfId="17579" xr:uid="{AF7A9EE1-C063-4310-A194-C8A132805BB6}"/>
    <cellStyle name="Normal 8 4 2 5 2 3" xfId="22662" xr:uid="{05E0D0EC-9F03-430B-B2F1-1D67B9EC0EB2}"/>
    <cellStyle name="Normal 8 4 2 5 2 4" xfId="31109" xr:uid="{6F10E041-1A7D-46A7-9B2F-D39FFE0B2307}"/>
    <cellStyle name="Normal 8 4 2 5 2 5" xfId="39556" xr:uid="{C9C8DC9E-09E1-4472-8012-B5E7BD62EFAB}"/>
    <cellStyle name="Normal 8 4 2 5 2 6" xfId="13362" xr:uid="{7201EA2C-5EE2-45AD-ADF9-B49CCC35C5BF}"/>
    <cellStyle name="Normal 8 4 2 5 3" xfId="6108" xr:uid="{00000000-0005-0000-0000-0000F01D0000}"/>
    <cellStyle name="Normal 8 4 2 5 3 2" xfId="24734" xr:uid="{8521F9B4-6241-41B4-BC04-1E03C3E064EE}"/>
    <cellStyle name="Normal 8 4 2 5 3 3" xfId="33181" xr:uid="{F62F1A52-2577-4139-9DF4-45D6F07719EC}"/>
    <cellStyle name="Normal 8 4 2 5 3 4" xfId="41628" xr:uid="{DFF83FDC-488B-4E3D-B00B-33C144B790FA}"/>
    <cellStyle name="Normal 8 4 2 5 3 5" xfId="15434" xr:uid="{D9EEAF2F-EB9D-4122-877C-ACE655C5C63B}"/>
    <cellStyle name="Normal 8 4 2 5 4" xfId="20517" xr:uid="{72689992-C492-432E-848E-C2037F5C0885}"/>
    <cellStyle name="Normal 8 4 2 5 5" xfId="28964" xr:uid="{2A5D7A88-68E6-44D2-B6E4-BA0F336BAEDA}"/>
    <cellStyle name="Normal 8 4 2 5 6" xfId="37411" xr:uid="{F4CEE51C-A63D-4F0A-9FC5-F547F6F6B5BA}"/>
    <cellStyle name="Normal 8 4 2 5 7" xfId="11217" xr:uid="{59F8BE48-866A-4B43-A63D-D2931D6FD7C4}"/>
    <cellStyle name="Normal 8 4 2 6" xfId="2215" xr:uid="{00000000-0005-0000-0000-0000F11D0000}"/>
    <cellStyle name="Normal 8 4 2 6 2" xfId="4444" xr:uid="{00000000-0005-0000-0000-0000F21D0000}"/>
    <cellStyle name="Normal 8 4 2 6 2 2" xfId="8666" xr:uid="{00000000-0005-0000-0000-0000F31D0000}"/>
    <cellStyle name="Normal 8 4 2 6 2 2 2" xfId="27292" xr:uid="{EA3B17DB-6435-42D3-9BFA-A618C17F6269}"/>
    <cellStyle name="Normal 8 4 2 6 2 2 3" xfId="35739" xr:uid="{723DFC85-F820-46CD-9E0F-6E11E8CEF257}"/>
    <cellStyle name="Normal 8 4 2 6 2 2 4" xfId="44186" xr:uid="{057ECDAB-9B71-44EC-B099-45B8B9755F7E}"/>
    <cellStyle name="Normal 8 4 2 6 2 2 5" xfId="17992" xr:uid="{45CD7BA7-5FA2-4256-9D84-EEE8FD20AC29}"/>
    <cellStyle name="Normal 8 4 2 6 2 3" xfId="23075" xr:uid="{19A6754A-85FA-411E-B5A4-5619A765C243}"/>
    <cellStyle name="Normal 8 4 2 6 2 4" xfId="31522" xr:uid="{E3F19A81-6335-4B79-8DE8-1AC8B053CCB3}"/>
    <cellStyle name="Normal 8 4 2 6 2 5" xfId="39969" xr:uid="{E6964DA2-09FA-4229-BC4A-3F513F26273E}"/>
    <cellStyle name="Normal 8 4 2 6 2 6" xfId="13775" xr:uid="{5960403C-A07E-4B96-92D9-FBE591BF36CD}"/>
    <cellStyle name="Normal 8 4 2 6 3" xfId="6521" xr:uid="{00000000-0005-0000-0000-0000F41D0000}"/>
    <cellStyle name="Normal 8 4 2 6 3 2" xfId="25147" xr:uid="{C03C4CCC-8D43-46DE-96C1-A0A97872FDA8}"/>
    <cellStyle name="Normal 8 4 2 6 3 3" xfId="33594" xr:uid="{B4CE725C-3D42-4AE0-9793-13EAFE1DEE23}"/>
    <cellStyle name="Normal 8 4 2 6 3 4" xfId="42041" xr:uid="{6341DA0F-D66C-4453-B323-70D2366F74FF}"/>
    <cellStyle name="Normal 8 4 2 6 3 5" xfId="15847" xr:uid="{4CC82C56-00A8-45E9-9AD2-6C68478BA00A}"/>
    <cellStyle name="Normal 8 4 2 6 4" xfId="20930" xr:uid="{15E85794-B877-49E8-A40E-B7F6E4130083}"/>
    <cellStyle name="Normal 8 4 2 6 5" xfId="29377" xr:uid="{75F5F60F-0157-465A-9126-9E9BDF08C30E}"/>
    <cellStyle name="Normal 8 4 2 6 6" xfId="37824" xr:uid="{C7BEA27C-7B48-4758-A7FD-A48D669EE72D}"/>
    <cellStyle name="Normal 8 4 2 6 7" xfId="11630" xr:uid="{A779070A-2280-473E-AD15-B4F0C4C0491B}"/>
    <cellStyle name="Normal 8 4 2 7" xfId="2651" xr:uid="{00000000-0005-0000-0000-0000F51D0000}"/>
    <cellStyle name="Normal 8 4 2 7 2" xfId="6934" xr:uid="{00000000-0005-0000-0000-0000F61D0000}"/>
    <cellStyle name="Normal 8 4 2 7 2 2" xfId="25560" xr:uid="{7B3C0070-69E4-42CC-8775-7F34566BB2BA}"/>
    <cellStyle name="Normal 8 4 2 7 2 3" xfId="34007" xr:uid="{E112CF5C-05CB-4AF5-BF04-5EDCAD1D2B42}"/>
    <cellStyle name="Normal 8 4 2 7 2 4" xfId="42454" xr:uid="{ABA97600-B978-49E7-85E0-DF14E7082977}"/>
    <cellStyle name="Normal 8 4 2 7 2 5" xfId="16260" xr:uid="{AA8D2FF4-7F6F-477F-9003-FBA4611380C1}"/>
    <cellStyle name="Normal 8 4 2 7 3" xfId="21343" xr:uid="{893A30EA-5CE9-4681-B900-96FB07F38469}"/>
    <cellStyle name="Normal 8 4 2 7 4" xfId="29790" xr:uid="{7F379DE1-3F53-4F11-8FE5-085C14D60C38}"/>
    <cellStyle name="Normal 8 4 2 7 5" xfId="38237" xr:uid="{3115D12C-3140-45C4-8CF5-4906F4AA1C76}"/>
    <cellStyle name="Normal 8 4 2 7 6" xfId="12043" xr:uid="{4C445FD0-1641-4ABA-B407-87EF1F8098F9}"/>
    <cellStyle name="Normal 8 4 2 8" xfId="4869" xr:uid="{00000000-0005-0000-0000-0000F71D0000}"/>
    <cellStyle name="Normal 8 4 2 8 2" xfId="23495" xr:uid="{6F7B7E69-1510-4D1C-B51D-939CAC1E5C27}"/>
    <cellStyle name="Normal 8 4 2 8 3" xfId="31942" xr:uid="{E52B937F-81AE-4212-A79B-1C060D479F89}"/>
    <cellStyle name="Normal 8 4 2 8 4" xfId="40389" xr:uid="{015D4C16-40D3-45A1-80A5-DB39E9712C93}"/>
    <cellStyle name="Normal 8 4 2 8 5" xfId="14195" xr:uid="{558BEE8F-8231-48A8-89AB-5A49481BBD84}"/>
    <cellStyle name="Normal 8 4 2 9" xfId="8937" xr:uid="{B425CDA4-C1C1-4A6C-AB85-CE28E324A88F}"/>
    <cellStyle name="Normal 8 4 2 9 2" xfId="18261" xr:uid="{B7FEE310-0B77-4621-941C-CB6E6030D61C}"/>
    <cellStyle name="Normal 8 4 3" xfId="506" xr:uid="{00000000-0005-0000-0000-0000F81D0000}"/>
    <cellStyle name="Normal 8 4 3 10" xfId="27727" xr:uid="{02F91F99-75D4-4E34-B3C7-666B0DF897F7}"/>
    <cellStyle name="Normal 8 4 3 11" xfId="36174" xr:uid="{38FFBC85-7CA0-47D2-800B-2D346A1D1395}"/>
    <cellStyle name="Normal 8 4 3 12" xfId="9980" xr:uid="{C5C7AA73-D8E9-4E07-A23A-EB5FAE46A306}"/>
    <cellStyle name="Normal 8 4 3 2" xfId="973" xr:uid="{00000000-0005-0000-0000-0000F91D0000}"/>
    <cellStyle name="Normal 8 4 3 2 2" xfId="3207" xr:uid="{00000000-0005-0000-0000-0000FA1D0000}"/>
    <cellStyle name="Normal 8 4 3 2 2 2" xfId="7429" xr:uid="{00000000-0005-0000-0000-0000FB1D0000}"/>
    <cellStyle name="Normal 8 4 3 2 2 2 2" xfId="26055" xr:uid="{D5BE5928-0FD1-43CB-B51F-84F55E761B90}"/>
    <cellStyle name="Normal 8 4 3 2 2 2 3" xfId="34502" xr:uid="{C61856FE-B472-4FA8-9065-DEB918CCB9CA}"/>
    <cellStyle name="Normal 8 4 3 2 2 2 4" xfId="42949" xr:uid="{99404028-660B-427B-8F6B-0FE5FED2BB19}"/>
    <cellStyle name="Normal 8 4 3 2 2 2 5" xfId="16755" xr:uid="{789C558F-FDF1-4A0F-BFB0-C0352A59B101}"/>
    <cellStyle name="Normal 8 4 3 2 2 3" xfId="21838" xr:uid="{4073A803-E86C-43E0-BD3F-3AC37B7BAFFF}"/>
    <cellStyle name="Normal 8 4 3 2 2 4" xfId="30285" xr:uid="{33D61C5D-AD87-46C9-8914-A81252E17B6C}"/>
    <cellStyle name="Normal 8 4 3 2 2 5" xfId="38732" xr:uid="{42A804FE-6FFE-4CCF-A4F6-5EB9F9ADC706}"/>
    <cellStyle name="Normal 8 4 3 2 2 6" xfId="12538" xr:uid="{8F8C06B6-E166-4E00-BDEF-9CF33096578E}"/>
    <cellStyle name="Normal 8 4 3 2 3" xfId="5284" xr:uid="{00000000-0005-0000-0000-0000FC1D0000}"/>
    <cellStyle name="Normal 8 4 3 2 3 2" xfId="23910" xr:uid="{2DACD7C6-F57B-4E60-A2A0-7481A65C4AF5}"/>
    <cellStyle name="Normal 8 4 3 2 3 3" xfId="32357" xr:uid="{A5881055-25BB-4710-B2D6-1819C5A304BA}"/>
    <cellStyle name="Normal 8 4 3 2 3 4" xfId="40804" xr:uid="{3E63D57D-F81B-45DB-A4EE-A02DEF4DCC70}"/>
    <cellStyle name="Normal 8 4 3 2 3 5" xfId="14610" xr:uid="{5679159B-CF0F-4F0C-A153-EBEF9F6D5871}"/>
    <cellStyle name="Normal 8 4 3 2 4" xfId="9466" xr:uid="{4C42748F-6D34-4D0D-8AE2-FFD5C0CBE26F}"/>
    <cellStyle name="Normal 8 4 3 2 4 2" xfId="18782" xr:uid="{9D62EBFD-19BC-44EA-B1FF-73974E757894}"/>
    <cellStyle name="Normal 8 4 3 2 5" xfId="19693" xr:uid="{5F6AA47A-8C23-40EC-914C-3F64DD2EBEFF}"/>
    <cellStyle name="Normal 8 4 3 2 6" xfId="28140" xr:uid="{51F38510-7516-4C7C-960B-BCF21AAB30A5}"/>
    <cellStyle name="Normal 8 4 3 2 7" xfId="36587" xr:uid="{906514CA-40A5-464C-BE8E-B665D8D30453}"/>
    <cellStyle name="Normal 8 4 3 2 8" xfId="10393" xr:uid="{5499A756-C35B-470D-9965-9919AB382150}"/>
    <cellStyle name="Normal 8 4 3 3" xfId="1390" xr:uid="{00000000-0005-0000-0000-0000FD1D0000}"/>
    <cellStyle name="Normal 8 4 3 3 2" xfId="3620" xr:uid="{00000000-0005-0000-0000-0000FE1D0000}"/>
    <cellStyle name="Normal 8 4 3 3 2 2" xfId="7842" xr:uid="{00000000-0005-0000-0000-0000FF1D0000}"/>
    <cellStyle name="Normal 8 4 3 3 2 2 2" xfId="26468" xr:uid="{8E4176B4-4F54-4071-B56C-E6B669E67C94}"/>
    <cellStyle name="Normal 8 4 3 3 2 2 3" xfId="34915" xr:uid="{30AF4C29-FA1B-45F1-89F3-0DCD07DED7B8}"/>
    <cellStyle name="Normal 8 4 3 3 2 2 4" xfId="43362" xr:uid="{55153D34-67F8-4FD9-84A1-7C0EDACFE24E}"/>
    <cellStyle name="Normal 8 4 3 3 2 2 5" xfId="17168" xr:uid="{6792A94A-8AD5-4212-A3E4-6C7AD525B93B}"/>
    <cellStyle name="Normal 8 4 3 3 2 3" xfId="22251" xr:uid="{4A464ACF-2B88-47AD-BCF9-4A3C83671546}"/>
    <cellStyle name="Normal 8 4 3 3 2 4" xfId="30698" xr:uid="{54F97EA6-EC0E-469A-B7E9-874AC22CEC8D}"/>
    <cellStyle name="Normal 8 4 3 3 2 5" xfId="39145" xr:uid="{CBD7CC50-48CD-4162-A80F-9A60A2F7D990}"/>
    <cellStyle name="Normal 8 4 3 3 2 6" xfId="12951" xr:uid="{9FF9D758-7C2F-41EA-B797-36F0C9BB1EB1}"/>
    <cellStyle name="Normal 8 4 3 3 3" xfId="5697" xr:uid="{00000000-0005-0000-0000-0000001E0000}"/>
    <cellStyle name="Normal 8 4 3 3 3 2" xfId="24323" xr:uid="{58145182-2280-455F-A995-8F1887DE31FA}"/>
    <cellStyle name="Normal 8 4 3 3 3 3" xfId="32770" xr:uid="{72144BF2-924A-4745-9359-1568B88EE880}"/>
    <cellStyle name="Normal 8 4 3 3 3 4" xfId="41217" xr:uid="{FD777AF0-39A8-44BA-BC63-70986FDCB67B}"/>
    <cellStyle name="Normal 8 4 3 3 3 5" xfId="15023" xr:uid="{DD23E0B0-74BE-4CF4-9F10-A9CE4CEBDDF6}"/>
    <cellStyle name="Normal 8 4 3 3 4" xfId="20106" xr:uid="{44298D7A-7237-41F6-A292-65453A82DC93}"/>
    <cellStyle name="Normal 8 4 3 3 5" xfId="28553" xr:uid="{6BE517CE-C190-4DE9-A8DB-595CB0590352}"/>
    <cellStyle name="Normal 8 4 3 3 6" xfId="37000" xr:uid="{F8FE20EA-A40A-4CE1-B259-30673F1AA2EC}"/>
    <cellStyle name="Normal 8 4 3 3 7" xfId="10806" xr:uid="{29535771-916A-4774-9C6F-0E5A9801E7C2}"/>
    <cellStyle name="Normal 8 4 3 4" xfId="1803" xr:uid="{00000000-0005-0000-0000-0000011E0000}"/>
    <cellStyle name="Normal 8 4 3 4 2" xfId="4033" xr:uid="{00000000-0005-0000-0000-0000021E0000}"/>
    <cellStyle name="Normal 8 4 3 4 2 2" xfId="8255" xr:uid="{00000000-0005-0000-0000-0000031E0000}"/>
    <cellStyle name="Normal 8 4 3 4 2 2 2" xfId="26881" xr:uid="{5F5024B1-3668-4C6F-B142-A927BDA26255}"/>
    <cellStyle name="Normal 8 4 3 4 2 2 3" xfId="35328" xr:uid="{F14E5EDF-36F4-4870-AB0C-02E7ACEEA034}"/>
    <cellStyle name="Normal 8 4 3 4 2 2 4" xfId="43775" xr:uid="{E3E96BD5-2D46-41CD-865A-7EC88DCD74CA}"/>
    <cellStyle name="Normal 8 4 3 4 2 2 5" xfId="17581" xr:uid="{7809E17A-AA37-4213-A8D2-8D9C9C3755B2}"/>
    <cellStyle name="Normal 8 4 3 4 2 3" xfId="22664" xr:uid="{FAC2DB10-CF0C-4A55-9CBE-E7705E93FD7F}"/>
    <cellStyle name="Normal 8 4 3 4 2 4" xfId="31111" xr:uid="{8842D1C2-6C81-4690-97FB-CBFA756FEB16}"/>
    <cellStyle name="Normal 8 4 3 4 2 5" xfId="39558" xr:uid="{AD2F1A7D-5BCC-44E9-8121-A5847F498143}"/>
    <cellStyle name="Normal 8 4 3 4 2 6" xfId="13364" xr:uid="{AC8A6F87-55D5-4ED1-AE91-C693025BCF43}"/>
    <cellStyle name="Normal 8 4 3 4 3" xfId="6110" xr:uid="{00000000-0005-0000-0000-0000041E0000}"/>
    <cellStyle name="Normal 8 4 3 4 3 2" xfId="24736" xr:uid="{6338136E-20B1-479E-B984-F1E635DF11B3}"/>
    <cellStyle name="Normal 8 4 3 4 3 3" xfId="33183" xr:uid="{47D12A2A-5E9C-4BDB-82D7-70616E8E4CC3}"/>
    <cellStyle name="Normal 8 4 3 4 3 4" xfId="41630" xr:uid="{0142527C-9D61-45F1-9EA3-B1C6D590EEAA}"/>
    <cellStyle name="Normal 8 4 3 4 3 5" xfId="15436" xr:uid="{A7E89275-7BAD-4EC7-B516-CAACD1B61CEA}"/>
    <cellStyle name="Normal 8 4 3 4 4" xfId="20519" xr:uid="{BB37AD10-4A15-46B1-97FF-BD14CB508F8E}"/>
    <cellStyle name="Normal 8 4 3 4 5" xfId="28966" xr:uid="{11E4FFC1-7506-43CE-B904-7A0FF9877B17}"/>
    <cellStyle name="Normal 8 4 3 4 6" xfId="37413" xr:uid="{B80C40FF-33F6-4189-BE04-CECF5E11BFAD}"/>
    <cellStyle name="Normal 8 4 3 4 7" xfId="11219" xr:uid="{8FA1A71C-05AA-4796-AA7D-E533119BE308}"/>
    <cellStyle name="Normal 8 4 3 5" xfId="2217" xr:uid="{00000000-0005-0000-0000-0000051E0000}"/>
    <cellStyle name="Normal 8 4 3 5 2" xfId="4446" xr:uid="{00000000-0005-0000-0000-0000061E0000}"/>
    <cellStyle name="Normal 8 4 3 5 2 2" xfId="8668" xr:uid="{00000000-0005-0000-0000-0000071E0000}"/>
    <cellStyle name="Normal 8 4 3 5 2 2 2" xfId="27294" xr:uid="{E7D1C68D-87CD-4054-B49A-651E3E847567}"/>
    <cellStyle name="Normal 8 4 3 5 2 2 3" xfId="35741" xr:uid="{15AACD50-516F-4037-B38A-1AD5B7121BDB}"/>
    <cellStyle name="Normal 8 4 3 5 2 2 4" xfId="44188" xr:uid="{DD51CB86-FD0D-492C-A691-AA2832F6BC4F}"/>
    <cellStyle name="Normal 8 4 3 5 2 2 5" xfId="17994" xr:uid="{4E07A2E9-67C3-43B5-B9FE-8682A42DCFD4}"/>
    <cellStyle name="Normal 8 4 3 5 2 3" xfId="23077" xr:uid="{FE8E3B7E-E4F4-461E-8156-9B1A464AE1E0}"/>
    <cellStyle name="Normal 8 4 3 5 2 4" xfId="31524" xr:uid="{CFAF0B69-E23D-4C07-8C4E-538AAE710880}"/>
    <cellStyle name="Normal 8 4 3 5 2 5" xfId="39971" xr:uid="{7EFA11B1-EB2A-4968-8CE4-2BDF6B9A94BF}"/>
    <cellStyle name="Normal 8 4 3 5 2 6" xfId="13777" xr:uid="{70C49CCB-D248-4DB3-8FC8-2210DC7222DE}"/>
    <cellStyle name="Normal 8 4 3 5 3" xfId="6523" xr:uid="{00000000-0005-0000-0000-0000081E0000}"/>
    <cellStyle name="Normal 8 4 3 5 3 2" xfId="25149" xr:uid="{84C2A390-1157-441D-8018-FA061658BAD9}"/>
    <cellStyle name="Normal 8 4 3 5 3 3" xfId="33596" xr:uid="{93F3B523-9835-40B2-B74A-A2A7051A3090}"/>
    <cellStyle name="Normal 8 4 3 5 3 4" xfId="42043" xr:uid="{667A9C4A-5AE6-440F-AF2E-7AA8FE8DB0E8}"/>
    <cellStyle name="Normal 8 4 3 5 3 5" xfId="15849" xr:uid="{90A8BED0-D19B-4CA5-9C8F-F6C366385603}"/>
    <cellStyle name="Normal 8 4 3 5 4" xfId="20932" xr:uid="{FFF04177-261A-4064-BD90-C3316E7EAF7E}"/>
    <cellStyle name="Normal 8 4 3 5 5" xfId="29379" xr:uid="{CDE63002-2C9D-4AAD-90C1-7D1896CC3FD6}"/>
    <cellStyle name="Normal 8 4 3 5 6" xfId="37826" xr:uid="{E0964652-D538-4F0B-BBE6-B7EE6876BE84}"/>
    <cellStyle name="Normal 8 4 3 5 7" xfId="11632" xr:uid="{DA217804-4B99-4628-9532-0407D7716F2C}"/>
    <cellStyle name="Normal 8 4 3 6" xfId="2653" xr:uid="{00000000-0005-0000-0000-0000091E0000}"/>
    <cellStyle name="Normal 8 4 3 6 2" xfId="6936" xr:uid="{00000000-0005-0000-0000-00000A1E0000}"/>
    <cellStyle name="Normal 8 4 3 6 2 2" xfId="25562" xr:uid="{1F88E7C0-9CFE-42AA-BFB3-6C7F399C49DE}"/>
    <cellStyle name="Normal 8 4 3 6 2 3" xfId="34009" xr:uid="{96F69E17-06CE-4B65-9713-13617F159680}"/>
    <cellStyle name="Normal 8 4 3 6 2 4" xfId="42456" xr:uid="{2FCBADD2-5B26-4668-B7B3-7FE509742CE2}"/>
    <cellStyle name="Normal 8 4 3 6 2 5" xfId="16262" xr:uid="{F6B314E1-4117-4DF4-BDB8-9D7C8FA8CC7A}"/>
    <cellStyle name="Normal 8 4 3 6 3" xfId="21345" xr:uid="{60760073-3B66-4141-81B2-453034CCE8CA}"/>
    <cellStyle name="Normal 8 4 3 6 4" xfId="29792" xr:uid="{AB0EF3CA-43A7-4A29-BBE1-E1C2D9DF0EB1}"/>
    <cellStyle name="Normal 8 4 3 6 5" xfId="38239" xr:uid="{33EACF75-60FE-405C-BD59-8D539F2BB3E8}"/>
    <cellStyle name="Normal 8 4 3 6 6" xfId="12045" xr:uid="{6C074C9A-03D6-48D4-8C46-33AFB2684A6F}"/>
    <cellStyle name="Normal 8 4 3 7" xfId="4871" xr:uid="{00000000-0005-0000-0000-00000B1E0000}"/>
    <cellStyle name="Normal 8 4 3 7 2" xfId="23497" xr:uid="{64A3D2DE-B43A-4AD9-A1EF-DC0036C78997}"/>
    <cellStyle name="Normal 8 4 3 7 3" xfId="31944" xr:uid="{24F479EA-C38A-489B-89DA-740B9EEEE569}"/>
    <cellStyle name="Normal 8 4 3 7 4" xfId="40391" xr:uid="{47B3278E-EAFB-4482-A747-4225599DEA73}"/>
    <cellStyle name="Normal 8 4 3 7 5" xfId="14197" xr:uid="{5A60E0B0-A9EC-4C11-A352-03348089A109}"/>
    <cellStyle name="Normal 8 4 3 8" xfId="9041" xr:uid="{3EA15F1E-D38A-4BB8-BEC6-98D9A94BB79B}"/>
    <cellStyle name="Normal 8 4 3 8 2" xfId="18365" xr:uid="{977199CD-5563-4413-8AA3-54F95E76AF04}"/>
    <cellStyle name="Normal 8 4 3 9" xfId="19280" xr:uid="{2179C6F2-AE98-4E73-911B-B0DA5BC14EB4}"/>
    <cellStyle name="Normal 8 4 4" xfId="970" xr:uid="{00000000-0005-0000-0000-00000C1E0000}"/>
    <cellStyle name="Normal 8 4 4 2" xfId="3204" xr:uid="{00000000-0005-0000-0000-00000D1E0000}"/>
    <cellStyle name="Normal 8 4 4 2 2" xfId="7426" xr:uid="{00000000-0005-0000-0000-00000E1E0000}"/>
    <cellStyle name="Normal 8 4 4 2 2 2" xfId="26052" xr:uid="{059C67B2-0BFE-48D9-B413-87D5232CA4A1}"/>
    <cellStyle name="Normal 8 4 4 2 2 3" xfId="34499" xr:uid="{2731B5CB-F1D4-4120-BAA1-5C4D35FF164A}"/>
    <cellStyle name="Normal 8 4 4 2 2 4" xfId="42946" xr:uid="{E4C3AA53-4152-4816-9F39-2031F91D816F}"/>
    <cellStyle name="Normal 8 4 4 2 2 5" xfId="16752" xr:uid="{585F81FF-C58F-4F86-AD5A-C7F92C38AC49}"/>
    <cellStyle name="Normal 8 4 4 2 3" xfId="21835" xr:uid="{4D292C5E-166A-4BE5-9D07-C114C9CD4DC2}"/>
    <cellStyle name="Normal 8 4 4 2 4" xfId="30282" xr:uid="{84FEFDE4-ECFC-4289-8839-716D80186B21}"/>
    <cellStyle name="Normal 8 4 4 2 5" xfId="38729" xr:uid="{3A812E7D-D9ED-4098-ADF6-8D74D57F362A}"/>
    <cellStyle name="Normal 8 4 4 2 6" xfId="12535" xr:uid="{DF498BE1-72EF-4310-8131-8FED9B46C5A7}"/>
    <cellStyle name="Normal 8 4 4 3" xfId="5281" xr:uid="{00000000-0005-0000-0000-00000F1E0000}"/>
    <cellStyle name="Normal 8 4 4 3 2" xfId="23907" xr:uid="{D191165B-7B3C-4E14-84FB-E183EB4EEBE9}"/>
    <cellStyle name="Normal 8 4 4 3 3" xfId="32354" xr:uid="{BF143B35-8EDE-427C-8834-89C1EC1195D2}"/>
    <cellStyle name="Normal 8 4 4 3 4" xfId="40801" xr:uid="{13F969AA-BF04-470F-966B-D8B13E4752E1}"/>
    <cellStyle name="Normal 8 4 4 3 5" xfId="14607" xr:uid="{854E9D63-5EAF-4222-9106-497A3767271A}"/>
    <cellStyle name="Normal 8 4 4 4" xfId="9259" xr:uid="{45904BAA-3C39-482B-A2B6-0FB84C0B889C}"/>
    <cellStyle name="Normal 8 4 4 4 2" xfId="18575" xr:uid="{83592C8D-42D6-4628-A6F1-B00D70C397CF}"/>
    <cellStyle name="Normal 8 4 4 5" xfId="19690" xr:uid="{5EA74FEC-94FC-47B7-82FB-F90298064391}"/>
    <cellStyle name="Normal 8 4 4 6" xfId="28137" xr:uid="{6A9825AA-0413-476F-A510-6B510D020FCF}"/>
    <cellStyle name="Normal 8 4 4 7" xfId="36584" xr:uid="{CF7C8EFE-2FCC-4401-A73D-B2D9BDE2CE0F}"/>
    <cellStyle name="Normal 8 4 4 8" xfId="10390" xr:uid="{807D7ABF-A813-4F5A-BEC2-BEEF18B1C7F0}"/>
    <cellStyle name="Normal 8 4 5" xfId="1387" xr:uid="{00000000-0005-0000-0000-0000101E0000}"/>
    <cellStyle name="Normal 8 4 5 2" xfId="3617" xr:uid="{00000000-0005-0000-0000-0000111E0000}"/>
    <cellStyle name="Normal 8 4 5 2 2" xfId="7839" xr:uid="{00000000-0005-0000-0000-0000121E0000}"/>
    <cellStyle name="Normal 8 4 5 2 2 2" xfId="26465" xr:uid="{970A8828-B3ED-4F97-BC40-1BB3409D8B16}"/>
    <cellStyle name="Normal 8 4 5 2 2 3" xfId="34912" xr:uid="{22A4DA99-1FEA-4B4A-AD8C-1A61F4E29AF0}"/>
    <cellStyle name="Normal 8 4 5 2 2 4" xfId="43359" xr:uid="{1AC6BE3E-FAD5-4E1D-9111-8921B47EAFB1}"/>
    <cellStyle name="Normal 8 4 5 2 2 5" xfId="17165" xr:uid="{1CF8D923-D874-4663-AEF1-6BE678188A0A}"/>
    <cellStyle name="Normal 8 4 5 2 3" xfId="22248" xr:uid="{46DB0AF8-CE0D-4BC8-8C48-838678C93D4E}"/>
    <cellStyle name="Normal 8 4 5 2 4" xfId="30695" xr:uid="{078799CA-9EC4-4F75-AC0F-F13C80D9E7D5}"/>
    <cellStyle name="Normal 8 4 5 2 5" xfId="39142" xr:uid="{3D8344D9-1F07-4383-A84F-0BE651F1F2E4}"/>
    <cellStyle name="Normal 8 4 5 2 6" xfId="12948" xr:uid="{E810DADA-8AA3-4F02-9C0B-B573BD208E49}"/>
    <cellStyle name="Normal 8 4 5 3" xfId="5694" xr:uid="{00000000-0005-0000-0000-0000131E0000}"/>
    <cellStyle name="Normal 8 4 5 3 2" xfId="24320" xr:uid="{1C7F951D-EF99-4638-A140-41C3635C1BD8}"/>
    <cellStyle name="Normal 8 4 5 3 3" xfId="32767" xr:uid="{3D31CEB3-AEBE-4494-9BBE-1289D43EA216}"/>
    <cellStyle name="Normal 8 4 5 3 4" xfId="41214" xr:uid="{4719B056-5F3A-4D4D-A2E1-1ADBFA3009ED}"/>
    <cellStyle name="Normal 8 4 5 3 5" xfId="15020" xr:uid="{E570FE44-589B-4276-9175-81CAA801E364}"/>
    <cellStyle name="Normal 8 4 5 4" xfId="20103" xr:uid="{594FE3B2-6797-4882-B2CE-B9DF8EC9A892}"/>
    <cellStyle name="Normal 8 4 5 5" xfId="28550" xr:uid="{97999BD0-05EE-49E6-B136-BF5F35FE883C}"/>
    <cellStyle name="Normal 8 4 5 6" xfId="36997" xr:uid="{83CBC2F1-A1D0-468E-B341-66FA07F051A5}"/>
    <cellStyle name="Normal 8 4 5 7" xfId="10803" xr:uid="{41AE373C-1AC9-49C4-8CAD-536E773156DF}"/>
    <cellStyle name="Normal 8 4 6" xfId="1800" xr:uid="{00000000-0005-0000-0000-0000141E0000}"/>
    <cellStyle name="Normal 8 4 6 2" xfId="4030" xr:uid="{00000000-0005-0000-0000-0000151E0000}"/>
    <cellStyle name="Normal 8 4 6 2 2" xfId="8252" xr:uid="{00000000-0005-0000-0000-0000161E0000}"/>
    <cellStyle name="Normal 8 4 6 2 2 2" xfId="26878" xr:uid="{C89DF87B-1EF8-459F-AF89-3445BB486A4D}"/>
    <cellStyle name="Normal 8 4 6 2 2 3" xfId="35325" xr:uid="{F23AF89A-D376-4B1F-BEF3-8CE25F4F57BF}"/>
    <cellStyle name="Normal 8 4 6 2 2 4" xfId="43772" xr:uid="{6F655CC5-7674-4272-9DE2-84FC65C20D30}"/>
    <cellStyle name="Normal 8 4 6 2 2 5" xfId="17578" xr:uid="{1C3CD95A-38B3-4AF1-BE76-431ABCE9B4DD}"/>
    <cellStyle name="Normal 8 4 6 2 3" xfId="22661" xr:uid="{B023EFED-C338-4F40-95D1-4A13D0C8A1D0}"/>
    <cellStyle name="Normal 8 4 6 2 4" xfId="31108" xr:uid="{3EFDB182-18FA-49C2-A6F3-ACE4FFA0CBC1}"/>
    <cellStyle name="Normal 8 4 6 2 5" xfId="39555" xr:uid="{86755FDA-3BA2-4D84-8218-0D040807A8C3}"/>
    <cellStyle name="Normal 8 4 6 2 6" xfId="13361" xr:uid="{90E1C521-EA29-4FB5-AF4C-EB0A4348F4D6}"/>
    <cellStyle name="Normal 8 4 6 3" xfId="6107" xr:uid="{00000000-0005-0000-0000-0000171E0000}"/>
    <cellStyle name="Normal 8 4 6 3 2" xfId="24733" xr:uid="{9C6F589F-6C51-42DC-9841-8622C49DB21B}"/>
    <cellStyle name="Normal 8 4 6 3 3" xfId="33180" xr:uid="{A913539F-D09D-4832-9E2D-0595057BDE16}"/>
    <cellStyle name="Normal 8 4 6 3 4" xfId="41627" xr:uid="{D5E17448-2BC6-4A3A-965C-FA979289D7F7}"/>
    <cellStyle name="Normal 8 4 6 3 5" xfId="15433" xr:uid="{8C49B69A-2CEA-41D2-AEB4-C73215CD25B7}"/>
    <cellStyle name="Normal 8 4 6 4" xfId="20516" xr:uid="{B98569AA-8897-43BA-984F-DD0E3F7A36C6}"/>
    <cellStyle name="Normal 8 4 6 5" xfId="28963" xr:uid="{DF237E74-FF56-452F-AE94-5C3C40993A7A}"/>
    <cellStyle name="Normal 8 4 6 6" xfId="37410" xr:uid="{FAAE2C93-8EDC-4E18-B5C3-1F31C09A5DB3}"/>
    <cellStyle name="Normal 8 4 6 7" xfId="11216" xr:uid="{5A13F7CE-EB07-458F-809D-422E566A7740}"/>
    <cellStyle name="Normal 8 4 7" xfId="2214" xr:uid="{00000000-0005-0000-0000-0000181E0000}"/>
    <cellStyle name="Normal 8 4 7 2" xfId="4443" xr:uid="{00000000-0005-0000-0000-0000191E0000}"/>
    <cellStyle name="Normal 8 4 7 2 2" xfId="8665" xr:uid="{00000000-0005-0000-0000-00001A1E0000}"/>
    <cellStyle name="Normal 8 4 7 2 2 2" xfId="27291" xr:uid="{04148524-512A-4B8D-8488-8DD02366822F}"/>
    <cellStyle name="Normal 8 4 7 2 2 3" xfId="35738" xr:uid="{8EAFFC95-6C20-48E6-BEA8-5D2A3E9066D0}"/>
    <cellStyle name="Normal 8 4 7 2 2 4" xfId="44185" xr:uid="{57739D70-D71B-497F-BFBF-64548D8858C4}"/>
    <cellStyle name="Normal 8 4 7 2 2 5" xfId="17991" xr:uid="{C41AF165-CBAC-4920-8F4F-96B9D97B348E}"/>
    <cellStyle name="Normal 8 4 7 2 3" xfId="23074" xr:uid="{DA561C90-9E6E-424A-BB26-6EE4738FA4EF}"/>
    <cellStyle name="Normal 8 4 7 2 4" xfId="31521" xr:uid="{1008A129-58ED-4D70-9329-A96FF432566E}"/>
    <cellStyle name="Normal 8 4 7 2 5" xfId="39968" xr:uid="{9A4865B0-E990-4BF0-9347-F01E1A03B09E}"/>
    <cellStyle name="Normal 8 4 7 2 6" xfId="13774" xr:uid="{B6388D24-3C81-4BFF-8A0F-27FD89D2592A}"/>
    <cellStyle name="Normal 8 4 7 3" xfId="6520" xr:uid="{00000000-0005-0000-0000-00001B1E0000}"/>
    <cellStyle name="Normal 8 4 7 3 2" xfId="25146" xr:uid="{49401A1D-F57B-4E84-89D1-EBEB91AB0193}"/>
    <cellStyle name="Normal 8 4 7 3 3" xfId="33593" xr:uid="{D62CB77F-A355-45E8-B22F-8A5D9B80973C}"/>
    <cellStyle name="Normal 8 4 7 3 4" xfId="42040" xr:uid="{312F6B98-9E9D-4595-A577-A3A9D09A5323}"/>
    <cellStyle name="Normal 8 4 7 3 5" xfId="15846" xr:uid="{E56F8F29-C404-492F-9192-9A52FA9D6A5A}"/>
    <cellStyle name="Normal 8 4 7 4" xfId="20929" xr:uid="{682749A0-9B71-482D-83BD-58E25F4DED72}"/>
    <cellStyle name="Normal 8 4 7 5" xfId="29376" xr:uid="{7747F7D2-D1AA-406D-AC53-AA965D7E88AB}"/>
    <cellStyle name="Normal 8 4 7 6" xfId="37823" xr:uid="{80D3D46F-B806-4EA8-B026-3F510FDEC5FA}"/>
    <cellStyle name="Normal 8 4 7 7" xfId="11629" xr:uid="{FAE07C83-E6C1-45F4-B66E-8162E6BA1187}"/>
    <cellStyle name="Normal 8 4 8" xfId="2650" xr:uid="{00000000-0005-0000-0000-00001C1E0000}"/>
    <cellStyle name="Normal 8 4 8 2" xfId="6933" xr:uid="{00000000-0005-0000-0000-00001D1E0000}"/>
    <cellStyle name="Normal 8 4 8 2 2" xfId="25559" xr:uid="{0005DAF9-B490-4D19-9045-206DA6E920F9}"/>
    <cellStyle name="Normal 8 4 8 2 3" xfId="34006" xr:uid="{5E0806E7-CA7F-4085-A061-D736020946B2}"/>
    <cellStyle name="Normal 8 4 8 2 4" xfId="42453" xr:uid="{4A2F61B7-95CB-4ECE-9E50-F503F4F3B332}"/>
    <cellStyle name="Normal 8 4 8 2 5" xfId="16259" xr:uid="{CD5594A2-E01E-480E-8AF6-8A2C3E0D55B4}"/>
    <cellStyle name="Normal 8 4 8 3" xfId="21342" xr:uid="{962990C6-6088-4B51-9AF2-15B4D636E93A}"/>
    <cellStyle name="Normal 8 4 8 4" xfId="29789" xr:uid="{3B6F1EF0-9620-4619-B5DC-8F9BF068F40D}"/>
    <cellStyle name="Normal 8 4 8 5" xfId="38236" xr:uid="{0F745239-74D3-4D37-B087-EFFBF345A70D}"/>
    <cellStyle name="Normal 8 4 8 6" xfId="12042" xr:uid="{70385B8F-EEA2-4BF3-BA75-F60CA5D30A35}"/>
    <cellStyle name="Normal 8 4 9" xfId="4868" xr:uid="{00000000-0005-0000-0000-00001E1E0000}"/>
    <cellStyle name="Normal 8 4 9 2" xfId="23494" xr:uid="{DAA9234B-6F75-4B5E-8E5B-1A4790A9001A}"/>
    <cellStyle name="Normal 8 4 9 3" xfId="31941" xr:uid="{CD686A2E-CCFB-4FBA-807A-8E5C67085602}"/>
    <cellStyle name="Normal 8 4 9 4" xfId="40388" xr:uid="{593D887D-269B-4F9A-B2FC-74FDF8010CDA}"/>
    <cellStyle name="Normal 8 4 9 5" xfId="14194" xr:uid="{813F7EED-47BD-49ED-8850-4A5AE8B4B722}"/>
    <cellStyle name="Normal 8 5" xfId="507" xr:uid="{00000000-0005-0000-0000-00001F1E0000}"/>
    <cellStyle name="Normal 8 5 10" xfId="19281" xr:uid="{66E3B660-65DC-4000-A117-4227F991F4A5}"/>
    <cellStyle name="Normal 8 5 11" xfId="27728" xr:uid="{B4C59A8D-A8AE-481B-ABE3-C00F251E6935}"/>
    <cellStyle name="Normal 8 5 12" xfId="36175" xr:uid="{9877756B-27B1-46D1-A579-2015CDC0FAF7}"/>
    <cellStyle name="Normal 8 5 13" xfId="9981" xr:uid="{3F172380-D8CC-4A13-8DBC-FD34626A9C58}"/>
    <cellStyle name="Normal 8 5 2" xfId="508" xr:uid="{00000000-0005-0000-0000-0000201E0000}"/>
    <cellStyle name="Normal 8 5 2 10" xfId="27729" xr:uid="{53BB3C8C-0866-4E01-9B08-2F2CE5FFF420}"/>
    <cellStyle name="Normal 8 5 2 11" xfId="36176" xr:uid="{CCD83534-501E-4721-9D21-F296AAF13C11}"/>
    <cellStyle name="Normal 8 5 2 12" xfId="9982" xr:uid="{F61B0D16-033D-4F4E-A420-FCDE44B1DFE0}"/>
    <cellStyle name="Normal 8 5 2 2" xfId="975" xr:uid="{00000000-0005-0000-0000-0000211E0000}"/>
    <cellStyle name="Normal 8 5 2 2 2" xfId="3209" xr:uid="{00000000-0005-0000-0000-0000221E0000}"/>
    <cellStyle name="Normal 8 5 2 2 2 2" xfId="7431" xr:uid="{00000000-0005-0000-0000-0000231E0000}"/>
    <cellStyle name="Normal 8 5 2 2 2 2 2" xfId="26057" xr:uid="{FA0D5E72-D01B-4934-9ED6-2ED9AE146602}"/>
    <cellStyle name="Normal 8 5 2 2 2 2 3" xfId="34504" xr:uid="{DB343D8F-1E16-439E-9F54-5909491A90F1}"/>
    <cellStyle name="Normal 8 5 2 2 2 2 4" xfId="42951" xr:uid="{A9B4354A-D005-46EC-8834-5B7373740502}"/>
    <cellStyle name="Normal 8 5 2 2 2 2 5" xfId="16757" xr:uid="{249E2085-89A2-4F35-9F15-DEE67387F831}"/>
    <cellStyle name="Normal 8 5 2 2 2 3" xfId="21840" xr:uid="{6A274E8B-782B-4DFC-A12A-DCE22A507E64}"/>
    <cellStyle name="Normal 8 5 2 2 2 4" xfId="30287" xr:uid="{FE6C8421-C969-4195-938F-0FB76C75409F}"/>
    <cellStyle name="Normal 8 5 2 2 2 5" xfId="38734" xr:uid="{094EB87B-F8DE-42BF-93EB-64AB59651CDC}"/>
    <cellStyle name="Normal 8 5 2 2 2 6" xfId="12540" xr:uid="{C8DB0F22-19E2-4F4E-8E1D-9ECD970DD921}"/>
    <cellStyle name="Normal 8 5 2 2 3" xfId="5286" xr:uid="{00000000-0005-0000-0000-0000241E0000}"/>
    <cellStyle name="Normal 8 5 2 2 3 2" xfId="23912" xr:uid="{36B7FC8F-B711-40C9-822A-22F4A869CEDE}"/>
    <cellStyle name="Normal 8 5 2 2 3 3" xfId="32359" xr:uid="{FD43842F-8E9F-4551-8485-377BA98B84B3}"/>
    <cellStyle name="Normal 8 5 2 2 3 4" xfId="40806" xr:uid="{60C9644E-DC07-4F7E-8F53-028483BC7FBF}"/>
    <cellStyle name="Normal 8 5 2 2 3 5" xfId="14612" xr:uid="{2F731B8B-782D-45FF-B3DC-A348B6D6F0F3}"/>
    <cellStyle name="Normal 8 5 2 2 4" xfId="9477" xr:uid="{62ED1F43-6081-4B0B-94C3-5999D37D11C7}"/>
    <cellStyle name="Normal 8 5 2 2 4 2" xfId="18793" xr:uid="{660BB00D-8ED9-4B59-A735-60E68374778E}"/>
    <cellStyle name="Normal 8 5 2 2 5" xfId="19695" xr:uid="{73EEAD8C-CF3D-4284-BCF5-C46848B01DA2}"/>
    <cellStyle name="Normal 8 5 2 2 6" xfId="28142" xr:uid="{104E3790-A0B0-4CCB-8964-4CB7DA09628C}"/>
    <cellStyle name="Normal 8 5 2 2 7" xfId="36589" xr:uid="{61B8E3B4-1DF1-4CC0-9DE3-B1FB40EABA22}"/>
    <cellStyle name="Normal 8 5 2 2 8" xfId="10395" xr:uid="{47C9AABF-0171-4274-BF54-10B041FB8DB0}"/>
    <cellStyle name="Normal 8 5 2 3" xfId="1392" xr:uid="{00000000-0005-0000-0000-0000251E0000}"/>
    <cellStyle name="Normal 8 5 2 3 2" xfId="3622" xr:uid="{00000000-0005-0000-0000-0000261E0000}"/>
    <cellStyle name="Normal 8 5 2 3 2 2" xfId="7844" xr:uid="{00000000-0005-0000-0000-0000271E0000}"/>
    <cellStyle name="Normal 8 5 2 3 2 2 2" xfId="26470" xr:uid="{AB13D502-494D-44A9-B251-5407D3BE5FBE}"/>
    <cellStyle name="Normal 8 5 2 3 2 2 3" xfId="34917" xr:uid="{CA556C39-83F3-48EA-B011-454661ECCD00}"/>
    <cellStyle name="Normal 8 5 2 3 2 2 4" xfId="43364" xr:uid="{F69D4A85-A17F-46AB-BC5C-6CA3D09355BE}"/>
    <cellStyle name="Normal 8 5 2 3 2 2 5" xfId="17170" xr:uid="{BE798618-06B8-473E-B134-DEF3FD35F7E3}"/>
    <cellStyle name="Normal 8 5 2 3 2 3" xfId="22253" xr:uid="{81527559-636D-44BE-8E60-BD60D76C8320}"/>
    <cellStyle name="Normal 8 5 2 3 2 4" xfId="30700" xr:uid="{E6BA0CE4-70B0-4A92-A54D-945FEE479FB0}"/>
    <cellStyle name="Normal 8 5 2 3 2 5" xfId="39147" xr:uid="{DAA2A4A9-3C41-4720-AC2E-30B520FFFD47}"/>
    <cellStyle name="Normal 8 5 2 3 2 6" xfId="12953" xr:uid="{577ECB8F-B3DA-4947-90A7-85097F3536AC}"/>
    <cellStyle name="Normal 8 5 2 3 3" xfId="5699" xr:uid="{00000000-0005-0000-0000-0000281E0000}"/>
    <cellStyle name="Normal 8 5 2 3 3 2" xfId="24325" xr:uid="{62C12BE7-CC07-462D-9681-4F4C33CE9E79}"/>
    <cellStyle name="Normal 8 5 2 3 3 3" xfId="32772" xr:uid="{D077A3FB-0DE9-43FD-AD22-352FDF560781}"/>
    <cellStyle name="Normal 8 5 2 3 3 4" xfId="41219" xr:uid="{251F7A91-923F-483F-A7CE-6789B8162875}"/>
    <cellStyle name="Normal 8 5 2 3 3 5" xfId="15025" xr:uid="{D0301C4C-095C-43E0-9B1C-763359EEDA63}"/>
    <cellStyle name="Normal 8 5 2 3 4" xfId="20108" xr:uid="{CD969EBB-636C-4EE7-A9FC-FF232C5E6B1B}"/>
    <cellStyle name="Normal 8 5 2 3 5" xfId="28555" xr:uid="{62568E1A-376C-46CD-8FC2-AC45CB343B13}"/>
    <cellStyle name="Normal 8 5 2 3 6" xfId="37002" xr:uid="{59E9C86E-2FC5-43FA-A24A-2EF1AB369055}"/>
    <cellStyle name="Normal 8 5 2 3 7" xfId="10808" xr:uid="{B617776A-70A3-4D5B-A510-54507485554D}"/>
    <cellStyle name="Normal 8 5 2 4" xfId="1805" xr:uid="{00000000-0005-0000-0000-0000291E0000}"/>
    <cellStyle name="Normal 8 5 2 4 2" xfId="4035" xr:uid="{00000000-0005-0000-0000-00002A1E0000}"/>
    <cellStyle name="Normal 8 5 2 4 2 2" xfId="8257" xr:uid="{00000000-0005-0000-0000-00002B1E0000}"/>
    <cellStyle name="Normal 8 5 2 4 2 2 2" xfId="26883" xr:uid="{7DD171E0-5AE8-4BB0-9FEC-387ACC8C07AA}"/>
    <cellStyle name="Normal 8 5 2 4 2 2 3" xfId="35330" xr:uid="{2F8A237F-718C-4BD3-99A2-E1528C443000}"/>
    <cellStyle name="Normal 8 5 2 4 2 2 4" xfId="43777" xr:uid="{FC739441-BF05-4DFC-AF51-86DFEDB48A00}"/>
    <cellStyle name="Normal 8 5 2 4 2 2 5" xfId="17583" xr:uid="{B086F626-C046-46F6-B1D3-AFB0DEBC330F}"/>
    <cellStyle name="Normal 8 5 2 4 2 3" xfId="22666" xr:uid="{E846242A-F73D-461C-B0B2-59AAC19CDE9D}"/>
    <cellStyle name="Normal 8 5 2 4 2 4" xfId="31113" xr:uid="{399C8A1C-D0FC-47AD-BF50-AE0D640990A7}"/>
    <cellStyle name="Normal 8 5 2 4 2 5" xfId="39560" xr:uid="{992397DC-55EE-4CF4-A59D-F206220DD16B}"/>
    <cellStyle name="Normal 8 5 2 4 2 6" xfId="13366" xr:uid="{49623600-1EEE-4429-9CFA-1A267BE35919}"/>
    <cellStyle name="Normal 8 5 2 4 3" xfId="6112" xr:uid="{00000000-0005-0000-0000-00002C1E0000}"/>
    <cellStyle name="Normal 8 5 2 4 3 2" xfId="24738" xr:uid="{4AA7DA7F-2A7A-4F0A-A104-133E5D9AE1AF}"/>
    <cellStyle name="Normal 8 5 2 4 3 3" xfId="33185" xr:uid="{E45ECB5E-540D-4431-A051-34DB00EED438}"/>
    <cellStyle name="Normal 8 5 2 4 3 4" xfId="41632" xr:uid="{97EA32B5-3F7F-4127-8D68-FA8976D2AE2B}"/>
    <cellStyle name="Normal 8 5 2 4 3 5" xfId="15438" xr:uid="{D6E737D8-1D7A-4978-AF66-F3EA7C904DC1}"/>
    <cellStyle name="Normal 8 5 2 4 4" xfId="20521" xr:uid="{462CBA38-6A55-4BF4-A519-776DB80AFC5F}"/>
    <cellStyle name="Normal 8 5 2 4 5" xfId="28968" xr:uid="{3A953925-3BC7-43C0-8166-867A2D43814F}"/>
    <cellStyle name="Normal 8 5 2 4 6" xfId="37415" xr:uid="{76187E59-82CC-46AB-892D-5B1A8C184E6D}"/>
    <cellStyle name="Normal 8 5 2 4 7" xfId="11221" xr:uid="{D521F3D8-E31D-4574-AF90-C3E42675610A}"/>
    <cellStyle name="Normal 8 5 2 5" xfId="2219" xr:uid="{00000000-0005-0000-0000-00002D1E0000}"/>
    <cellStyle name="Normal 8 5 2 5 2" xfId="4448" xr:uid="{00000000-0005-0000-0000-00002E1E0000}"/>
    <cellStyle name="Normal 8 5 2 5 2 2" xfId="8670" xr:uid="{00000000-0005-0000-0000-00002F1E0000}"/>
    <cellStyle name="Normal 8 5 2 5 2 2 2" xfId="27296" xr:uid="{B11BF4EA-8DC0-493A-ACB8-32BDA0E56417}"/>
    <cellStyle name="Normal 8 5 2 5 2 2 3" xfId="35743" xr:uid="{A4CFE06C-B977-4EE2-94B4-5E44F46A19EB}"/>
    <cellStyle name="Normal 8 5 2 5 2 2 4" xfId="44190" xr:uid="{092D1305-900F-4BAD-BDCE-9A9A17F63741}"/>
    <cellStyle name="Normal 8 5 2 5 2 2 5" xfId="17996" xr:uid="{F09EA4F4-4267-4A98-995C-747554090462}"/>
    <cellStyle name="Normal 8 5 2 5 2 3" xfId="23079" xr:uid="{396DE8D2-C746-483D-9CDC-065CF837D99A}"/>
    <cellStyle name="Normal 8 5 2 5 2 4" xfId="31526" xr:uid="{C64DD7C7-C6EF-4EDD-844E-BC0F33FCBED0}"/>
    <cellStyle name="Normal 8 5 2 5 2 5" xfId="39973" xr:uid="{90E201F8-8099-4BD2-962B-F7691002D77F}"/>
    <cellStyle name="Normal 8 5 2 5 2 6" xfId="13779" xr:uid="{A7CD0D09-B793-4C25-99DC-DC0E02E1182C}"/>
    <cellStyle name="Normal 8 5 2 5 3" xfId="6525" xr:uid="{00000000-0005-0000-0000-0000301E0000}"/>
    <cellStyle name="Normal 8 5 2 5 3 2" xfId="25151" xr:uid="{B5934F24-C783-45EF-B35F-28F6846E84F6}"/>
    <cellStyle name="Normal 8 5 2 5 3 3" xfId="33598" xr:uid="{C7103153-752D-4D9D-A7D4-4C678397C46D}"/>
    <cellStyle name="Normal 8 5 2 5 3 4" xfId="42045" xr:uid="{18B2715F-97F7-422B-BB0C-1DDCD41F7789}"/>
    <cellStyle name="Normal 8 5 2 5 3 5" xfId="15851" xr:uid="{5DE414F4-0C32-4771-B784-B539FF7F6B45}"/>
    <cellStyle name="Normal 8 5 2 5 4" xfId="20934" xr:uid="{D35ED54B-0153-40A3-A8B5-413E9443AAAA}"/>
    <cellStyle name="Normal 8 5 2 5 5" xfId="29381" xr:uid="{CC05BFB9-2FF3-47FB-A718-F554E40BCB6C}"/>
    <cellStyle name="Normal 8 5 2 5 6" xfId="37828" xr:uid="{7C9B7ADF-CC46-4468-B64C-BE33FEB2CA02}"/>
    <cellStyle name="Normal 8 5 2 5 7" xfId="11634" xr:uid="{1AF86637-D88B-47D9-9263-D12AF955F5F2}"/>
    <cellStyle name="Normal 8 5 2 6" xfId="2655" xr:uid="{00000000-0005-0000-0000-0000311E0000}"/>
    <cellStyle name="Normal 8 5 2 6 2" xfId="6938" xr:uid="{00000000-0005-0000-0000-0000321E0000}"/>
    <cellStyle name="Normal 8 5 2 6 2 2" xfId="25564" xr:uid="{726FEF40-19B9-4E74-84C7-5B5B8F15F4A9}"/>
    <cellStyle name="Normal 8 5 2 6 2 3" xfId="34011" xr:uid="{847CC0B2-9D3C-4968-BEBE-B4523DBF4019}"/>
    <cellStyle name="Normal 8 5 2 6 2 4" xfId="42458" xr:uid="{DAFA44BB-F662-4429-85DE-F2F054F28D23}"/>
    <cellStyle name="Normal 8 5 2 6 2 5" xfId="16264" xr:uid="{CC68403A-0B8F-4CAF-A30D-F40E6047B178}"/>
    <cellStyle name="Normal 8 5 2 6 3" xfId="21347" xr:uid="{0CC953FD-AF84-42D2-A749-A0C1D5ED595F}"/>
    <cellStyle name="Normal 8 5 2 6 4" xfId="29794" xr:uid="{58EB823A-85D1-427E-8861-517209EE1C5D}"/>
    <cellStyle name="Normal 8 5 2 6 5" xfId="38241" xr:uid="{520B8DA3-47AA-4C87-8429-B49D92AB1E90}"/>
    <cellStyle name="Normal 8 5 2 6 6" xfId="12047" xr:uid="{D225A4E6-D2C5-4CDD-86F4-39797FEB554F}"/>
    <cellStyle name="Normal 8 5 2 7" xfId="4873" xr:uid="{00000000-0005-0000-0000-0000331E0000}"/>
    <cellStyle name="Normal 8 5 2 7 2" xfId="23499" xr:uid="{CCEEAEA3-51FE-48F1-A53C-646DF232ED8D}"/>
    <cellStyle name="Normal 8 5 2 7 3" xfId="31946" xr:uid="{A6716D3E-EE5A-4511-8591-07D610BC4E02}"/>
    <cellStyle name="Normal 8 5 2 7 4" xfId="40393" xr:uid="{C65DE19B-6255-460A-81AE-2ABD276D7DBC}"/>
    <cellStyle name="Normal 8 5 2 7 5" xfId="14199" xr:uid="{EFDA7E18-4B68-4212-93EC-EC094E98D7DE}"/>
    <cellStyle name="Normal 8 5 2 8" xfId="9052" xr:uid="{D754D15A-EECE-4975-9542-AF3C340304E3}"/>
    <cellStyle name="Normal 8 5 2 8 2" xfId="18376" xr:uid="{7CA96AB5-5E9C-400D-8CC6-DAEBEE30A875}"/>
    <cellStyle name="Normal 8 5 2 9" xfId="19282" xr:uid="{77046980-D538-4768-AE17-E362CC7C4FCD}"/>
    <cellStyle name="Normal 8 5 3" xfId="974" xr:uid="{00000000-0005-0000-0000-0000341E0000}"/>
    <cellStyle name="Normal 8 5 3 2" xfId="3208" xr:uid="{00000000-0005-0000-0000-0000351E0000}"/>
    <cellStyle name="Normal 8 5 3 2 2" xfId="7430" xr:uid="{00000000-0005-0000-0000-0000361E0000}"/>
    <cellStyle name="Normal 8 5 3 2 2 2" xfId="26056" xr:uid="{17479BC8-7DB1-4118-A62D-7150EEE4E2A1}"/>
    <cellStyle name="Normal 8 5 3 2 2 3" xfId="34503" xr:uid="{855B3B89-7299-4625-810E-473D53DC4092}"/>
    <cellStyle name="Normal 8 5 3 2 2 4" xfId="42950" xr:uid="{337B9805-5800-4C47-B19A-C6861E0A6DE6}"/>
    <cellStyle name="Normal 8 5 3 2 2 5" xfId="16756" xr:uid="{A56DA605-160F-420F-BE99-C20435D28B27}"/>
    <cellStyle name="Normal 8 5 3 2 3" xfId="21839" xr:uid="{D6C118D8-6A88-4FE7-AEFC-762027A6E420}"/>
    <cellStyle name="Normal 8 5 3 2 4" xfId="30286" xr:uid="{5EC686F3-C306-4FD2-92EA-D969D55A3F77}"/>
    <cellStyle name="Normal 8 5 3 2 5" xfId="38733" xr:uid="{4511A165-10D8-4B8A-AD7A-4BB8BE2733B5}"/>
    <cellStyle name="Normal 8 5 3 2 6" xfId="12539" xr:uid="{C0670939-87FF-4819-B5D0-33E121F9A6E2}"/>
    <cellStyle name="Normal 8 5 3 3" xfId="5285" xr:uid="{00000000-0005-0000-0000-0000371E0000}"/>
    <cellStyle name="Normal 8 5 3 3 2" xfId="23911" xr:uid="{7043831A-8A5B-44AB-9131-17F2CAC93288}"/>
    <cellStyle name="Normal 8 5 3 3 3" xfId="32358" xr:uid="{F34AC668-47A6-4E7E-BD7B-825AB0DE8B2D}"/>
    <cellStyle name="Normal 8 5 3 3 4" xfId="40805" xr:uid="{D0962CC9-F94F-451F-A595-A47A8845A5AA}"/>
    <cellStyle name="Normal 8 5 3 3 5" xfId="14611" xr:uid="{73BF3A3D-5FA7-45BF-8D15-E79815C3F91F}"/>
    <cellStyle name="Normal 8 5 3 4" xfId="9270" xr:uid="{88F9D262-71F2-4DD2-A7F6-B0DCE74ABD45}"/>
    <cellStyle name="Normal 8 5 3 4 2" xfId="18586" xr:uid="{4AFD1A07-67E4-4621-A601-A4DA8F2B6461}"/>
    <cellStyle name="Normal 8 5 3 5" xfId="19694" xr:uid="{53055021-99B8-4286-AF20-72A88E6A3FB6}"/>
    <cellStyle name="Normal 8 5 3 6" xfId="28141" xr:uid="{86B6F443-8BC4-4C4A-B7FD-0590D58015AD}"/>
    <cellStyle name="Normal 8 5 3 7" xfId="36588" xr:uid="{5B3567A6-7EA1-4D58-BBE3-510A6D6E8328}"/>
    <cellStyle name="Normal 8 5 3 8" xfId="10394" xr:uid="{5F0160B5-D9C1-484E-ACB8-B42899AC9EB5}"/>
    <cellStyle name="Normal 8 5 4" xfId="1391" xr:uid="{00000000-0005-0000-0000-0000381E0000}"/>
    <cellStyle name="Normal 8 5 4 2" xfId="3621" xr:uid="{00000000-0005-0000-0000-0000391E0000}"/>
    <cellStyle name="Normal 8 5 4 2 2" xfId="7843" xr:uid="{00000000-0005-0000-0000-00003A1E0000}"/>
    <cellStyle name="Normal 8 5 4 2 2 2" xfId="26469" xr:uid="{0E129821-E386-45B1-986D-140C090EAF94}"/>
    <cellStyle name="Normal 8 5 4 2 2 3" xfId="34916" xr:uid="{3071AEB5-985E-43F7-BB7E-A3406C735ED6}"/>
    <cellStyle name="Normal 8 5 4 2 2 4" xfId="43363" xr:uid="{EBA521F3-3BAA-4315-A4FB-7C377309F95A}"/>
    <cellStyle name="Normal 8 5 4 2 2 5" xfId="17169" xr:uid="{BADAA8F2-0CC7-4653-9A0C-9527A3954CB4}"/>
    <cellStyle name="Normal 8 5 4 2 3" xfId="22252" xr:uid="{0DEC8A8D-89DA-4059-A41D-1B9F08C3E377}"/>
    <cellStyle name="Normal 8 5 4 2 4" xfId="30699" xr:uid="{8A5F4304-9E50-4165-B473-1989767F8DAB}"/>
    <cellStyle name="Normal 8 5 4 2 5" xfId="39146" xr:uid="{04426B7B-C380-4067-87D8-65E5658FD9FC}"/>
    <cellStyle name="Normal 8 5 4 2 6" xfId="12952" xr:uid="{5DEC3002-8D0E-45F7-A23B-D31061A6E8F8}"/>
    <cellStyle name="Normal 8 5 4 3" xfId="5698" xr:uid="{00000000-0005-0000-0000-00003B1E0000}"/>
    <cellStyle name="Normal 8 5 4 3 2" xfId="24324" xr:uid="{632D7EEF-9715-4A06-9A5A-5521F7C1259E}"/>
    <cellStyle name="Normal 8 5 4 3 3" xfId="32771" xr:uid="{A9036E08-63D6-4AE2-B81E-DF8EC180116F}"/>
    <cellStyle name="Normal 8 5 4 3 4" xfId="41218" xr:uid="{10AC740E-FFFE-4474-BA9D-67AD5A2AF594}"/>
    <cellStyle name="Normal 8 5 4 3 5" xfId="15024" xr:uid="{6DCA3660-EB98-4675-BC89-11C63636D520}"/>
    <cellStyle name="Normal 8 5 4 4" xfId="20107" xr:uid="{AE32565B-F78F-4756-851E-7C05F9A0CC32}"/>
    <cellStyle name="Normal 8 5 4 5" xfId="28554" xr:uid="{95099EDC-7664-4486-B3BE-AF33DFD7869A}"/>
    <cellStyle name="Normal 8 5 4 6" xfId="37001" xr:uid="{304BA12D-BADE-43AA-8161-FD218DEFE9F8}"/>
    <cellStyle name="Normal 8 5 4 7" xfId="10807" xr:uid="{5E00CDB4-38AB-4EEE-A482-2E52A9EAF9EB}"/>
    <cellStyle name="Normal 8 5 5" xfId="1804" xr:uid="{00000000-0005-0000-0000-00003C1E0000}"/>
    <cellStyle name="Normal 8 5 5 2" xfId="4034" xr:uid="{00000000-0005-0000-0000-00003D1E0000}"/>
    <cellStyle name="Normal 8 5 5 2 2" xfId="8256" xr:uid="{00000000-0005-0000-0000-00003E1E0000}"/>
    <cellStyle name="Normal 8 5 5 2 2 2" xfId="26882" xr:uid="{4FC4EA0A-8EAA-43C8-A293-79EF0276BC38}"/>
    <cellStyle name="Normal 8 5 5 2 2 3" xfId="35329" xr:uid="{4BECF2C1-5D7F-42FB-A657-4689BED3AA15}"/>
    <cellStyle name="Normal 8 5 5 2 2 4" xfId="43776" xr:uid="{CB3DF7FC-7E91-4897-9AA3-DE3A10380BB8}"/>
    <cellStyle name="Normal 8 5 5 2 2 5" xfId="17582" xr:uid="{E6DDB55C-FD83-4EBD-851B-E3281DB5C736}"/>
    <cellStyle name="Normal 8 5 5 2 3" xfId="22665" xr:uid="{E395C97C-DF87-407F-A15A-CBB7C34F0C1E}"/>
    <cellStyle name="Normal 8 5 5 2 4" xfId="31112" xr:uid="{59575B0B-71D1-4D7F-A0A0-0DD427988B30}"/>
    <cellStyle name="Normal 8 5 5 2 5" xfId="39559" xr:uid="{26B4CCEA-5CED-41E7-981F-84E52972ECA8}"/>
    <cellStyle name="Normal 8 5 5 2 6" xfId="13365" xr:uid="{77C59CBB-E245-4939-85B7-F749C06BFA48}"/>
    <cellStyle name="Normal 8 5 5 3" xfId="6111" xr:uid="{00000000-0005-0000-0000-00003F1E0000}"/>
    <cellStyle name="Normal 8 5 5 3 2" xfId="24737" xr:uid="{0DB4BE38-ECFB-429A-88A7-3E88FA3A54FD}"/>
    <cellStyle name="Normal 8 5 5 3 3" xfId="33184" xr:uid="{92556DDE-B1A4-438E-8B0A-6E6939473DF4}"/>
    <cellStyle name="Normal 8 5 5 3 4" xfId="41631" xr:uid="{C439F9EC-5C27-4C81-B18B-63B65015A8BD}"/>
    <cellStyle name="Normal 8 5 5 3 5" xfId="15437" xr:uid="{1FA56376-8339-4D62-BA97-9112BA3FD5D5}"/>
    <cellStyle name="Normal 8 5 5 4" xfId="20520" xr:uid="{8FB48624-01A5-4670-8CBA-0DCF53AB5BE1}"/>
    <cellStyle name="Normal 8 5 5 5" xfId="28967" xr:uid="{E347E3E0-1879-4E76-AAE9-706268266682}"/>
    <cellStyle name="Normal 8 5 5 6" xfId="37414" xr:uid="{53085612-DD27-4820-9CCC-2EFB816A5DB0}"/>
    <cellStyle name="Normal 8 5 5 7" xfId="11220" xr:uid="{81237C3A-608D-4AC9-B41C-8B94CB9C4F84}"/>
    <cellStyle name="Normal 8 5 6" xfId="2218" xr:uid="{00000000-0005-0000-0000-0000401E0000}"/>
    <cellStyle name="Normal 8 5 6 2" xfId="4447" xr:uid="{00000000-0005-0000-0000-0000411E0000}"/>
    <cellStyle name="Normal 8 5 6 2 2" xfId="8669" xr:uid="{00000000-0005-0000-0000-0000421E0000}"/>
    <cellStyle name="Normal 8 5 6 2 2 2" xfId="27295" xr:uid="{73ADEA74-EC3A-4779-BD29-32FFF474CDA5}"/>
    <cellStyle name="Normal 8 5 6 2 2 3" xfId="35742" xr:uid="{AEE67EF0-FE0F-40A1-AC1D-E20E618F89B7}"/>
    <cellStyle name="Normal 8 5 6 2 2 4" xfId="44189" xr:uid="{715BC5D4-A831-4BEC-BE5A-C6B7F78239F6}"/>
    <cellStyle name="Normal 8 5 6 2 2 5" xfId="17995" xr:uid="{07A3F12C-1159-4E8E-AFAB-0E818A4A8159}"/>
    <cellStyle name="Normal 8 5 6 2 3" xfId="23078" xr:uid="{DF71EE76-5CBA-4861-B1B5-8F2A7D9A6F82}"/>
    <cellStyle name="Normal 8 5 6 2 4" xfId="31525" xr:uid="{DBF47D42-3ADD-4E30-86ED-5D496FE2D72F}"/>
    <cellStyle name="Normal 8 5 6 2 5" xfId="39972" xr:uid="{F92FD73C-271B-4C51-B258-7EEBA9CAE71A}"/>
    <cellStyle name="Normal 8 5 6 2 6" xfId="13778" xr:uid="{436E8D3C-1735-4DD2-8CE3-8D584EEE5E1C}"/>
    <cellStyle name="Normal 8 5 6 3" xfId="6524" xr:uid="{00000000-0005-0000-0000-0000431E0000}"/>
    <cellStyle name="Normal 8 5 6 3 2" xfId="25150" xr:uid="{865D2F7B-0DC4-409D-9A8B-0AB6C1E4BD29}"/>
    <cellStyle name="Normal 8 5 6 3 3" xfId="33597" xr:uid="{4BA1325E-0E81-4789-8A36-8802AB7794C2}"/>
    <cellStyle name="Normal 8 5 6 3 4" xfId="42044" xr:uid="{C8CB9F27-C08A-4E83-B7B6-5DE71AE8F59C}"/>
    <cellStyle name="Normal 8 5 6 3 5" xfId="15850" xr:uid="{65196D33-A8E3-4223-8846-44BE30941C85}"/>
    <cellStyle name="Normal 8 5 6 4" xfId="20933" xr:uid="{4999773C-05C5-43AA-8448-B0035EFD71E8}"/>
    <cellStyle name="Normal 8 5 6 5" xfId="29380" xr:uid="{EEB79898-C8F9-466F-9207-B2E0E1E361E1}"/>
    <cellStyle name="Normal 8 5 6 6" xfId="37827" xr:uid="{C9CAEF84-2FD7-4556-AF96-205436057BC2}"/>
    <cellStyle name="Normal 8 5 6 7" xfId="11633" xr:uid="{79A6F42B-CEF3-42CA-91A7-58CC66D9479E}"/>
    <cellStyle name="Normal 8 5 7" xfId="2654" xr:uid="{00000000-0005-0000-0000-0000441E0000}"/>
    <cellStyle name="Normal 8 5 7 2" xfId="6937" xr:uid="{00000000-0005-0000-0000-0000451E0000}"/>
    <cellStyle name="Normal 8 5 7 2 2" xfId="25563" xr:uid="{D6A9BB80-22CA-49A4-9F9A-E531F0B4BE74}"/>
    <cellStyle name="Normal 8 5 7 2 3" xfId="34010" xr:uid="{1604C142-CBC5-4D1B-B94B-AF8A68C81518}"/>
    <cellStyle name="Normal 8 5 7 2 4" xfId="42457" xr:uid="{985830A8-2482-45F4-B6F7-0F763E146CFD}"/>
    <cellStyle name="Normal 8 5 7 2 5" xfId="16263" xr:uid="{522D87F9-F742-4E6D-937F-E93CB0B6B998}"/>
    <cellStyle name="Normal 8 5 7 3" xfId="21346" xr:uid="{7D8C169D-896C-416C-A5AB-00F152DC8DCB}"/>
    <cellStyle name="Normal 8 5 7 4" xfId="29793" xr:uid="{7935521B-D196-4996-A6DF-009FA3C0D79E}"/>
    <cellStyle name="Normal 8 5 7 5" xfId="38240" xr:uid="{9C426F25-63EA-4850-8608-64AD90C36C5C}"/>
    <cellStyle name="Normal 8 5 7 6" xfId="12046" xr:uid="{877F84E5-C707-4EE9-AC5C-5DD0876E92AB}"/>
    <cellStyle name="Normal 8 5 8" xfId="4872" xr:uid="{00000000-0005-0000-0000-0000461E0000}"/>
    <cellStyle name="Normal 8 5 8 2" xfId="23498" xr:uid="{C606E485-D58F-45A5-BE64-0EA3CC3E8249}"/>
    <cellStyle name="Normal 8 5 8 3" xfId="31945" xr:uid="{BC0BE8D3-B313-4ED4-8374-FB822B6CD827}"/>
    <cellStyle name="Normal 8 5 8 4" xfId="40392" xr:uid="{B6C65050-7548-44A9-B3F7-FCE51563FFCC}"/>
    <cellStyle name="Normal 8 5 8 5" xfId="14198" xr:uid="{5105A98B-CCAD-41CB-9B9A-2D736162940E}"/>
    <cellStyle name="Normal 8 5 9" xfId="8845" xr:uid="{C8167C67-59BC-42DE-816D-718433EFB28C}"/>
    <cellStyle name="Normal 8 5 9 2" xfId="18169" xr:uid="{EC0455C3-17F3-49F5-AA29-3AF5A6E5AD7C}"/>
    <cellStyle name="Normal 8 6" xfId="509" xr:uid="{00000000-0005-0000-0000-0000471E0000}"/>
    <cellStyle name="Normal 8 6 10" xfId="27730" xr:uid="{C70D5065-068E-468C-90C3-08666D995D39}"/>
    <cellStyle name="Normal 8 6 11" xfId="36177" xr:uid="{E4B31005-732A-4093-BC2A-9D2BA8AE86D6}"/>
    <cellStyle name="Normal 8 6 12" xfId="9983" xr:uid="{D803E3D6-AB22-4C96-9C60-8B224908E194}"/>
    <cellStyle name="Normal 8 6 2" xfId="976" xr:uid="{00000000-0005-0000-0000-0000481E0000}"/>
    <cellStyle name="Normal 8 6 2 2" xfId="3210" xr:uid="{00000000-0005-0000-0000-0000491E0000}"/>
    <cellStyle name="Normal 8 6 2 2 2" xfId="7432" xr:uid="{00000000-0005-0000-0000-00004A1E0000}"/>
    <cellStyle name="Normal 8 6 2 2 2 2" xfId="26058" xr:uid="{ADBB74B1-8853-40BA-9C37-62F6874BD874}"/>
    <cellStyle name="Normal 8 6 2 2 2 3" xfId="34505" xr:uid="{72A1DC9F-FAF2-4678-929D-0953673FB5FD}"/>
    <cellStyle name="Normal 8 6 2 2 2 4" xfId="42952" xr:uid="{4FE6AEAF-C95F-4B5B-B6A4-795567D273F8}"/>
    <cellStyle name="Normal 8 6 2 2 2 5" xfId="16758" xr:uid="{E7738E4B-ED8B-411F-9DAE-5757E3F7B217}"/>
    <cellStyle name="Normal 8 6 2 2 3" xfId="21841" xr:uid="{E2BF629A-809A-4A52-95C0-AE37035F992B}"/>
    <cellStyle name="Normal 8 6 2 2 4" xfId="30288" xr:uid="{FF785001-1514-4A3C-B669-F8BB2395E9E0}"/>
    <cellStyle name="Normal 8 6 2 2 5" xfId="38735" xr:uid="{3CC95370-86B3-4410-BA4F-C7AAE08DB153}"/>
    <cellStyle name="Normal 8 6 2 2 6" xfId="12541" xr:uid="{0CB3E704-A9D7-422D-B6FC-8FBC02E597F8}"/>
    <cellStyle name="Normal 8 6 2 3" xfId="5287" xr:uid="{00000000-0005-0000-0000-00004B1E0000}"/>
    <cellStyle name="Normal 8 6 2 3 2" xfId="23913" xr:uid="{C5B50350-51E4-4000-A49C-9B555605CBE6}"/>
    <cellStyle name="Normal 8 6 2 3 3" xfId="32360" xr:uid="{E523BAA0-5973-4E7C-94A6-0E27E6C2FF96}"/>
    <cellStyle name="Normal 8 6 2 3 4" xfId="40807" xr:uid="{C0FEA17A-3D92-41D2-B53A-3A736BDCBEF4}"/>
    <cellStyle name="Normal 8 6 2 3 5" xfId="14613" xr:uid="{7AD57501-CB7B-4A40-B496-78661665C778}"/>
    <cellStyle name="Normal 8 6 2 4" xfId="9386" xr:uid="{45A5CE0D-B006-45BB-A53E-22B23F4367E3}"/>
    <cellStyle name="Normal 8 6 2 4 2" xfId="18702" xr:uid="{7119068A-2381-4ACC-A8D4-3D2991F38B2F}"/>
    <cellStyle name="Normal 8 6 2 5" xfId="19696" xr:uid="{1931832C-EE19-43C8-9746-32E78783F068}"/>
    <cellStyle name="Normal 8 6 2 6" xfId="28143" xr:uid="{4D1FB144-ECB7-4618-A7DC-29412AB293FC}"/>
    <cellStyle name="Normal 8 6 2 7" xfId="36590" xr:uid="{010BD01A-851C-4729-AC65-DEA11D7A1B76}"/>
    <cellStyle name="Normal 8 6 2 8" xfId="10396" xr:uid="{BE45CC9B-ACBC-4B0C-9F76-5E02B58DF1A2}"/>
    <cellStyle name="Normal 8 6 3" xfId="1393" xr:uid="{00000000-0005-0000-0000-00004C1E0000}"/>
    <cellStyle name="Normal 8 6 3 2" xfId="3623" xr:uid="{00000000-0005-0000-0000-00004D1E0000}"/>
    <cellStyle name="Normal 8 6 3 2 2" xfId="7845" xr:uid="{00000000-0005-0000-0000-00004E1E0000}"/>
    <cellStyle name="Normal 8 6 3 2 2 2" xfId="26471" xr:uid="{0A2BE205-6C9D-411F-8D4A-426882C25182}"/>
    <cellStyle name="Normal 8 6 3 2 2 3" xfId="34918" xr:uid="{608F75D5-DB14-429D-8DD0-A4ED6B797851}"/>
    <cellStyle name="Normal 8 6 3 2 2 4" xfId="43365" xr:uid="{5FA0037B-E0C9-44E6-8985-415A7845C0C8}"/>
    <cellStyle name="Normal 8 6 3 2 2 5" xfId="17171" xr:uid="{A25B2008-C078-41A6-AED5-98CF87DC09DE}"/>
    <cellStyle name="Normal 8 6 3 2 3" xfId="22254" xr:uid="{ACEDF857-4462-41A9-BD3D-788864363F6A}"/>
    <cellStyle name="Normal 8 6 3 2 4" xfId="30701" xr:uid="{981151BF-FBAE-48B0-AF74-34D8367149EC}"/>
    <cellStyle name="Normal 8 6 3 2 5" xfId="39148" xr:uid="{37A48D33-4FD3-41F6-937A-862C1A1EB4D8}"/>
    <cellStyle name="Normal 8 6 3 2 6" xfId="12954" xr:uid="{A50574FB-CDD4-42E0-96C9-A4C985F8F688}"/>
    <cellStyle name="Normal 8 6 3 3" xfId="5700" xr:uid="{00000000-0005-0000-0000-00004F1E0000}"/>
    <cellStyle name="Normal 8 6 3 3 2" xfId="24326" xr:uid="{5A798AA8-949F-4219-BAE7-C7D4DAC60E75}"/>
    <cellStyle name="Normal 8 6 3 3 3" xfId="32773" xr:uid="{DF843B48-2C92-4E5E-A527-FF8510B980B5}"/>
    <cellStyle name="Normal 8 6 3 3 4" xfId="41220" xr:uid="{2D12E18F-E277-45B0-9A6B-39A9C1EC11CE}"/>
    <cellStyle name="Normal 8 6 3 3 5" xfId="15026" xr:uid="{429EE74B-1446-481F-8942-72C1BEE2FAD5}"/>
    <cellStyle name="Normal 8 6 3 4" xfId="20109" xr:uid="{29458669-3BD0-444B-A7F9-FE068274A62B}"/>
    <cellStyle name="Normal 8 6 3 5" xfId="28556" xr:uid="{E0BD7968-882B-4991-BA85-2386A90C60DE}"/>
    <cellStyle name="Normal 8 6 3 6" xfId="37003" xr:uid="{BCC319C9-E2BE-461D-BD8D-2EA21328DB2A}"/>
    <cellStyle name="Normal 8 6 3 7" xfId="10809" xr:uid="{7636CB39-13D8-4015-9DB6-33B67E759B69}"/>
    <cellStyle name="Normal 8 6 4" xfId="1806" xr:uid="{00000000-0005-0000-0000-0000501E0000}"/>
    <cellStyle name="Normal 8 6 4 2" xfId="4036" xr:uid="{00000000-0005-0000-0000-0000511E0000}"/>
    <cellStyle name="Normal 8 6 4 2 2" xfId="8258" xr:uid="{00000000-0005-0000-0000-0000521E0000}"/>
    <cellStyle name="Normal 8 6 4 2 2 2" xfId="26884" xr:uid="{CC6FFEDC-5622-4F98-AC4E-3376B8471CE5}"/>
    <cellStyle name="Normal 8 6 4 2 2 3" xfId="35331" xr:uid="{4AEC9CEA-52CD-4C80-B66F-0182BC83B04B}"/>
    <cellStyle name="Normal 8 6 4 2 2 4" xfId="43778" xr:uid="{377DB796-CD0D-4250-86BD-A6DAB8560CEC}"/>
    <cellStyle name="Normal 8 6 4 2 2 5" xfId="17584" xr:uid="{1E8295E9-73F5-401B-B562-56C97BE3F99A}"/>
    <cellStyle name="Normal 8 6 4 2 3" xfId="22667" xr:uid="{2D5A9F81-E555-460A-A04D-0322DF6C0C0D}"/>
    <cellStyle name="Normal 8 6 4 2 4" xfId="31114" xr:uid="{F5EF6925-D073-4600-8FD9-D3C93097926D}"/>
    <cellStyle name="Normal 8 6 4 2 5" xfId="39561" xr:uid="{AD474009-6D37-461F-9A1F-14183FA971DA}"/>
    <cellStyle name="Normal 8 6 4 2 6" xfId="13367" xr:uid="{AFFCEC0B-53C5-4AD7-96A0-BC8916FEE1F7}"/>
    <cellStyle name="Normal 8 6 4 3" xfId="6113" xr:uid="{00000000-0005-0000-0000-0000531E0000}"/>
    <cellStyle name="Normal 8 6 4 3 2" xfId="24739" xr:uid="{3E48F9F9-9B13-49BB-95B7-AFCEBD19A234}"/>
    <cellStyle name="Normal 8 6 4 3 3" xfId="33186" xr:uid="{45D41233-7178-4D7E-ACC5-1E84F67A5E7C}"/>
    <cellStyle name="Normal 8 6 4 3 4" xfId="41633" xr:uid="{3339D3C0-E4BE-4D95-8C94-896F8BBF22CE}"/>
    <cellStyle name="Normal 8 6 4 3 5" xfId="15439" xr:uid="{8B8A532C-3F33-4493-9245-D1913FE36F32}"/>
    <cellStyle name="Normal 8 6 4 4" xfId="20522" xr:uid="{E62488D0-128B-46D3-837A-618218D486E1}"/>
    <cellStyle name="Normal 8 6 4 5" xfId="28969" xr:uid="{11282A02-D946-45CD-85FC-0476C7E89B2F}"/>
    <cellStyle name="Normal 8 6 4 6" xfId="37416" xr:uid="{233F35B6-2AA4-47D1-83B8-3585DCE0C579}"/>
    <cellStyle name="Normal 8 6 4 7" xfId="11222" xr:uid="{B337D89A-2880-4108-A33D-9A7C645A0E3A}"/>
    <cellStyle name="Normal 8 6 5" xfId="2220" xr:uid="{00000000-0005-0000-0000-0000541E0000}"/>
    <cellStyle name="Normal 8 6 5 2" xfId="4449" xr:uid="{00000000-0005-0000-0000-0000551E0000}"/>
    <cellStyle name="Normal 8 6 5 2 2" xfId="8671" xr:uid="{00000000-0005-0000-0000-0000561E0000}"/>
    <cellStyle name="Normal 8 6 5 2 2 2" xfId="27297" xr:uid="{1C610FC5-E280-4976-BE26-56730F6D4654}"/>
    <cellStyle name="Normal 8 6 5 2 2 3" xfId="35744" xr:uid="{4D29F0E7-7BD6-4428-B37A-7EEECA098CE1}"/>
    <cellStyle name="Normal 8 6 5 2 2 4" xfId="44191" xr:uid="{AA6F4A24-D90D-4752-AAFD-BF5CB74F9A08}"/>
    <cellStyle name="Normal 8 6 5 2 2 5" xfId="17997" xr:uid="{5D62B69D-5927-4764-BC89-895FFA5A42E6}"/>
    <cellStyle name="Normal 8 6 5 2 3" xfId="23080" xr:uid="{6040DB35-7335-4D46-AFA7-C881A4F22E16}"/>
    <cellStyle name="Normal 8 6 5 2 4" xfId="31527" xr:uid="{C8FED9A1-ECD1-438B-8213-410231686167}"/>
    <cellStyle name="Normal 8 6 5 2 5" xfId="39974" xr:uid="{0290BAC0-ADCC-4E42-83CD-639DC749AB9F}"/>
    <cellStyle name="Normal 8 6 5 2 6" xfId="13780" xr:uid="{3EACDA07-9D37-42B4-BD4A-5AF9576C1771}"/>
    <cellStyle name="Normal 8 6 5 3" xfId="6526" xr:uid="{00000000-0005-0000-0000-0000571E0000}"/>
    <cellStyle name="Normal 8 6 5 3 2" xfId="25152" xr:uid="{6F27A06A-1DE7-4E5F-85C2-078E1E059EE0}"/>
    <cellStyle name="Normal 8 6 5 3 3" xfId="33599" xr:uid="{D7D19472-C471-4060-B870-0E4B5DE0354E}"/>
    <cellStyle name="Normal 8 6 5 3 4" xfId="42046" xr:uid="{190072E0-CF69-4DA5-A7DD-944098208126}"/>
    <cellStyle name="Normal 8 6 5 3 5" xfId="15852" xr:uid="{5A277FAB-B0C4-4781-80BC-9A75910AABA0}"/>
    <cellStyle name="Normal 8 6 5 4" xfId="20935" xr:uid="{972992F0-87F7-4F8E-B185-6EEC6D4C5B96}"/>
    <cellStyle name="Normal 8 6 5 5" xfId="29382" xr:uid="{62DA6927-A740-4618-BD01-1BE3E3210551}"/>
    <cellStyle name="Normal 8 6 5 6" xfId="37829" xr:uid="{42CD6344-F9E5-4E70-87BA-37169FAAED9E}"/>
    <cellStyle name="Normal 8 6 5 7" xfId="11635" xr:uid="{1FB3B8C1-0DA4-42C0-8F0B-C26A4A234F63}"/>
    <cellStyle name="Normal 8 6 6" xfId="2656" xr:uid="{00000000-0005-0000-0000-0000581E0000}"/>
    <cellStyle name="Normal 8 6 6 2" xfId="6939" xr:uid="{00000000-0005-0000-0000-0000591E0000}"/>
    <cellStyle name="Normal 8 6 6 2 2" xfId="25565" xr:uid="{2C8343D1-9CDF-4266-B0AA-99A09C579A8A}"/>
    <cellStyle name="Normal 8 6 6 2 3" xfId="34012" xr:uid="{042EBBD8-84D6-4A38-BA20-42210F033860}"/>
    <cellStyle name="Normal 8 6 6 2 4" xfId="42459" xr:uid="{2753B7E4-1000-454B-B567-B73BE50C0502}"/>
    <cellStyle name="Normal 8 6 6 2 5" xfId="16265" xr:uid="{FAE33FF4-AFDD-4A75-A63E-6906EC32C0FF}"/>
    <cellStyle name="Normal 8 6 6 3" xfId="21348" xr:uid="{CF742EBA-2341-408F-871F-37AC752DCBC9}"/>
    <cellStyle name="Normal 8 6 6 4" xfId="29795" xr:uid="{1C59BD41-95B2-470C-908A-10A8EE7A3632}"/>
    <cellStyle name="Normal 8 6 6 5" xfId="38242" xr:uid="{5FB967C1-FE62-48D6-9277-A8E7765B5452}"/>
    <cellStyle name="Normal 8 6 6 6" xfId="12048" xr:uid="{BC984B4B-C815-4280-B15F-9466B17BA14F}"/>
    <cellStyle name="Normal 8 6 7" xfId="4874" xr:uid="{00000000-0005-0000-0000-00005A1E0000}"/>
    <cellStyle name="Normal 8 6 7 2" xfId="23500" xr:uid="{D34F6D53-1AF0-4F5C-A40E-5F61AF75241C}"/>
    <cellStyle name="Normal 8 6 7 3" xfId="31947" xr:uid="{16E3E641-3AF0-4C69-8E78-1167FA4709D0}"/>
    <cellStyle name="Normal 8 6 7 4" xfId="40394" xr:uid="{B1D11EAC-CA4E-41A6-B92B-D736C929C2DC}"/>
    <cellStyle name="Normal 8 6 7 5" xfId="14200" xr:uid="{0E4EA93C-1D55-4B23-9D98-D2A4F5906A85}"/>
    <cellStyle name="Normal 8 6 8" xfId="8961" xr:uid="{36060843-7B38-46C3-B2F1-7172ECB11EEE}"/>
    <cellStyle name="Normal 8 6 8 2" xfId="18285" xr:uid="{2383F3F5-A396-4415-8390-046D56EC880F}"/>
    <cellStyle name="Normal 8 6 9" xfId="19283" xr:uid="{E86C4068-DEDA-4190-9565-2F12B08EF98B}"/>
    <cellStyle name="Normal 8 7" xfId="945" xr:uid="{00000000-0005-0000-0000-00005B1E0000}"/>
    <cellStyle name="Normal 8 7 2" xfId="3179" xr:uid="{00000000-0005-0000-0000-00005C1E0000}"/>
    <cellStyle name="Normal 8 7 2 2" xfId="7401" xr:uid="{00000000-0005-0000-0000-00005D1E0000}"/>
    <cellStyle name="Normal 8 7 2 2 2" xfId="26027" xr:uid="{1E66FA1F-7A91-4A5E-8B40-42FAA23EC76B}"/>
    <cellStyle name="Normal 8 7 2 2 3" xfId="34474" xr:uid="{CD038382-937D-463E-9ABF-D43826A94192}"/>
    <cellStyle name="Normal 8 7 2 2 4" xfId="42921" xr:uid="{A0FEFEDD-0512-44B0-80B5-CE4EBECED52F}"/>
    <cellStyle name="Normal 8 7 2 2 5" xfId="16727" xr:uid="{3C92A0A4-2442-4C3E-A308-E5E05FDA3E62}"/>
    <cellStyle name="Normal 8 7 2 3" xfId="21810" xr:uid="{8BBEF46C-858D-43BA-8A23-08A4AB5FDF93}"/>
    <cellStyle name="Normal 8 7 2 4" xfId="30257" xr:uid="{D507C361-C2E0-4153-A886-D4CBD500E461}"/>
    <cellStyle name="Normal 8 7 2 5" xfId="38704" xr:uid="{E16800A7-1FEE-41E7-9AA9-AFB4D2E9B075}"/>
    <cellStyle name="Normal 8 7 2 6" xfId="12510" xr:uid="{1AA92C78-0AF0-412C-B8D5-36F6FE8AC2B9}"/>
    <cellStyle name="Normal 8 7 3" xfId="5256" xr:uid="{00000000-0005-0000-0000-00005E1E0000}"/>
    <cellStyle name="Normal 8 7 3 2" xfId="23882" xr:uid="{AC6B6DC1-F2F0-4B8B-B84B-4E2A61788235}"/>
    <cellStyle name="Normal 8 7 3 3" xfId="32329" xr:uid="{47CFBF43-FF39-4543-8A80-9B83272A5067}"/>
    <cellStyle name="Normal 8 7 3 4" xfId="40776" xr:uid="{54EFD26A-BF75-4D8E-B9B5-4BAD1899C6ED}"/>
    <cellStyle name="Normal 8 7 3 5" xfId="14582" xr:uid="{40A8626F-4F0F-477D-8CF3-C4FC081B9632}"/>
    <cellStyle name="Normal 8 7 4" xfId="9164" xr:uid="{EA2ADDDA-E9AC-4FF8-B08B-61B1D6489A46}"/>
    <cellStyle name="Normal 8 7 4 2" xfId="18483" xr:uid="{A4697485-754F-4DB6-8E0F-89B341E50CB3}"/>
    <cellStyle name="Normal 8 7 5" xfId="19665" xr:uid="{95B7DEC2-F6FB-4ED8-BBC4-E54B86F15AD1}"/>
    <cellStyle name="Normal 8 7 6" xfId="28112" xr:uid="{E291A6BE-6F9E-4BDD-915F-0C7280BE20D9}"/>
    <cellStyle name="Normal 8 7 7" xfId="36559" xr:uid="{E43E11C3-B6A8-43D4-BF9D-36ACE71A342B}"/>
    <cellStyle name="Normal 8 7 8" xfId="10365" xr:uid="{791F7EF6-B5D7-4435-B280-4680C1B8E52D}"/>
    <cellStyle name="Normal 8 8" xfId="1362" xr:uid="{00000000-0005-0000-0000-00005F1E0000}"/>
    <cellStyle name="Normal 8 8 2" xfId="3592" xr:uid="{00000000-0005-0000-0000-0000601E0000}"/>
    <cellStyle name="Normal 8 8 2 2" xfId="7814" xr:uid="{00000000-0005-0000-0000-0000611E0000}"/>
    <cellStyle name="Normal 8 8 2 2 2" xfId="26440" xr:uid="{AC39FEAD-7F29-4521-B9FF-952F06418116}"/>
    <cellStyle name="Normal 8 8 2 2 3" xfId="34887" xr:uid="{129CBC88-6402-4002-BA30-C8217495ECB7}"/>
    <cellStyle name="Normal 8 8 2 2 4" xfId="43334" xr:uid="{1F151321-1564-4F87-A99C-FA51A8C2164D}"/>
    <cellStyle name="Normal 8 8 2 2 5" xfId="17140" xr:uid="{992A4B9F-9E75-44E8-B6DC-0779A8577305}"/>
    <cellStyle name="Normal 8 8 2 3" xfId="22223" xr:uid="{3DE5B2DD-9B37-4C85-98E0-E3FCC56AF6A5}"/>
    <cellStyle name="Normal 8 8 2 4" xfId="30670" xr:uid="{18DA9F28-B0DB-4EE7-B4E9-14A41C1642AC}"/>
    <cellStyle name="Normal 8 8 2 5" xfId="39117" xr:uid="{8B597D85-7B8C-4AF2-BBC0-5DFF2B9E53C0}"/>
    <cellStyle name="Normal 8 8 2 6" xfId="12923" xr:uid="{46BA401F-AC2B-4442-ACC4-8583A2502C39}"/>
    <cellStyle name="Normal 8 8 3" xfId="5669" xr:uid="{00000000-0005-0000-0000-0000621E0000}"/>
    <cellStyle name="Normal 8 8 3 2" xfId="24295" xr:uid="{873E9CF4-4F76-484E-9683-935430E55CF1}"/>
    <cellStyle name="Normal 8 8 3 3" xfId="32742" xr:uid="{42691420-75FF-4850-AE0F-45CDBE796DF8}"/>
    <cellStyle name="Normal 8 8 3 4" xfId="41189" xr:uid="{DC142F84-F8D0-47A2-A22B-1A960228AAD3}"/>
    <cellStyle name="Normal 8 8 3 5" xfId="14995" xr:uid="{31F6A6D9-9AB3-485C-9919-1ECE585F32BF}"/>
    <cellStyle name="Normal 8 8 4" xfId="20078" xr:uid="{646FD9FA-64AB-42A1-8C00-7238BD0D2D82}"/>
    <cellStyle name="Normal 8 8 5" xfId="28525" xr:uid="{41E70D04-F8A1-45A6-B1F5-B16F2F4E21B8}"/>
    <cellStyle name="Normal 8 8 6" xfId="36972" xr:uid="{3A1C360F-48FE-460C-9856-DD09589EA988}"/>
    <cellStyle name="Normal 8 8 7" xfId="10778" xr:uid="{50A220D2-E968-42B7-AFD9-CC4B5EDBD2EB}"/>
    <cellStyle name="Normal 8 9" xfId="1775" xr:uid="{00000000-0005-0000-0000-0000631E0000}"/>
    <cellStyle name="Normal 8 9 2" xfId="4005" xr:uid="{00000000-0005-0000-0000-0000641E0000}"/>
    <cellStyle name="Normal 8 9 2 2" xfId="8227" xr:uid="{00000000-0005-0000-0000-0000651E0000}"/>
    <cellStyle name="Normal 8 9 2 2 2" xfId="26853" xr:uid="{24565C77-CB2B-480C-841C-E592865B4718}"/>
    <cellStyle name="Normal 8 9 2 2 3" xfId="35300" xr:uid="{7F579AE5-2364-45BE-9094-5685A35C6EE1}"/>
    <cellStyle name="Normal 8 9 2 2 4" xfId="43747" xr:uid="{B39690E8-3148-4D5B-9E0A-18EC5D81CEFD}"/>
    <cellStyle name="Normal 8 9 2 2 5" xfId="17553" xr:uid="{866B4F6E-634C-490A-B0F3-98BEE9D002EE}"/>
    <cellStyle name="Normal 8 9 2 3" xfId="22636" xr:uid="{F38CC5A7-C7DD-417E-AB67-8B041228A80A}"/>
    <cellStyle name="Normal 8 9 2 4" xfId="31083" xr:uid="{BFF88529-970F-4818-A52A-0A15F5B5183E}"/>
    <cellStyle name="Normal 8 9 2 5" xfId="39530" xr:uid="{62AE96A6-4A0B-420D-A7D3-ACF9BDD86FFB}"/>
    <cellStyle name="Normal 8 9 2 6" xfId="13336" xr:uid="{A07595EE-F439-4E47-921F-D9A4DEF2EEB9}"/>
    <cellStyle name="Normal 8 9 3" xfId="6082" xr:uid="{00000000-0005-0000-0000-0000661E0000}"/>
    <cellStyle name="Normal 8 9 3 2" xfId="24708" xr:uid="{D5B9E8AC-C876-403A-9BF9-99BE272C967D}"/>
    <cellStyle name="Normal 8 9 3 3" xfId="33155" xr:uid="{B6995975-4CDA-4625-8944-1E7A9E8CF4CB}"/>
    <cellStyle name="Normal 8 9 3 4" xfId="41602" xr:uid="{0137D6F5-DAE0-43B7-8A88-2111EB42EA85}"/>
    <cellStyle name="Normal 8 9 3 5" xfId="15408" xr:uid="{21016647-ACEE-429E-B6D4-BE4B7E3A7090}"/>
    <cellStyle name="Normal 8 9 4" xfId="20491" xr:uid="{0ADB8CE5-BEF9-4BE2-81C3-05C5BFB39CD8}"/>
    <cellStyle name="Normal 8 9 5" xfId="28938" xr:uid="{C80E9064-722E-4425-B961-BDC774892D1C}"/>
    <cellStyle name="Normal 8 9 6" xfId="37385" xr:uid="{45529720-ACD8-4495-9FB0-4100A0EA8E5F}"/>
    <cellStyle name="Normal 8 9 7" xfId="11191" xr:uid="{E54EB025-73EF-4EDA-9CB8-7336C9DDCEAD}"/>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0 2 2" xfId="25566" xr:uid="{BDC33ACF-B861-460E-90BC-611A07503129}"/>
    <cellStyle name="Normal 9 2 10 2 3" xfId="34013" xr:uid="{C17AE9E4-A39B-4CE1-8DA0-20967EC97256}"/>
    <cellStyle name="Normal 9 2 10 2 4" xfId="42460" xr:uid="{C8A792CD-FD93-424B-84CB-B188C380A9A3}"/>
    <cellStyle name="Normal 9 2 10 2 5" xfId="16266" xr:uid="{30B78796-12E6-4874-B3F9-2934659876E7}"/>
    <cellStyle name="Normal 9 2 10 3" xfId="21349" xr:uid="{DE342858-12D2-4674-BCD9-24E98F5A5959}"/>
    <cellStyle name="Normal 9 2 10 4" xfId="29796" xr:uid="{FEC4657C-E546-4150-95D0-28AA83919B73}"/>
    <cellStyle name="Normal 9 2 10 5" xfId="38243" xr:uid="{27D159E2-E7AB-4B14-878A-3B2B7FCFA02C}"/>
    <cellStyle name="Normal 9 2 10 6" xfId="12049" xr:uid="{F59EB69A-F629-443E-A9A8-583203E72544}"/>
    <cellStyle name="Normal 9 2 11" xfId="4875" xr:uid="{00000000-0005-0000-0000-00006B1E0000}"/>
    <cellStyle name="Normal 9 2 11 2" xfId="23501" xr:uid="{4E1395CD-3245-4F52-8BCE-5E247C9E82B2}"/>
    <cellStyle name="Normal 9 2 11 3" xfId="31948" xr:uid="{34FA6C64-34CE-41DE-9E9C-1F9EC7074125}"/>
    <cellStyle name="Normal 9 2 11 4" xfId="40395" xr:uid="{7D8BF066-D008-4BBE-AA47-E502A7942C54}"/>
    <cellStyle name="Normal 9 2 11 5" xfId="14201" xr:uid="{578EC545-074F-4C33-8424-578E1ED1C870}"/>
    <cellStyle name="Normal 9 2 12" xfId="8754" xr:uid="{9024D06A-4C5F-4C89-BCDB-29B8C924FF52}"/>
    <cellStyle name="Normal 9 2 12 2" xfId="18078" xr:uid="{7662FE12-3517-43C9-9DB2-D513517E2E18}"/>
    <cellStyle name="Normal 9 2 13" xfId="19284" xr:uid="{1C071A38-0CFE-4549-9D77-764C76BD4425}"/>
    <cellStyle name="Normal 9 2 14" xfId="27731" xr:uid="{0DDF98CC-DE89-467E-A9EB-8D45FB4823FA}"/>
    <cellStyle name="Normal 9 2 15" xfId="36178" xr:uid="{FEFB4F2E-250F-4713-B2F4-B7B445105774}"/>
    <cellStyle name="Normal 9 2 16" xfId="9984" xr:uid="{22B7AFA2-71E5-4913-BD31-BCE5E6ADB51A}"/>
    <cellStyle name="Normal 9 2 2" xfId="512" xr:uid="{00000000-0005-0000-0000-00006C1E0000}"/>
    <cellStyle name="Normal 9 2 2 10" xfId="4876" xr:uid="{00000000-0005-0000-0000-00006D1E0000}"/>
    <cellStyle name="Normal 9 2 2 10 2" xfId="23502" xr:uid="{F3F79805-AD12-490E-8A74-CFF855475E13}"/>
    <cellStyle name="Normal 9 2 2 10 3" xfId="31949" xr:uid="{861D3278-5CF4-4806-A431-6289CCDE08BC}"/>
    <cellStyle name="Normal 9 2 2 10 4" xfId="40396" xr:uid="{E0BFB110-A61F-4E1F-845E-42A669BA5D1C}"/>
    <cellStyle name="Normal 9 2 2 10 5" xfId="14202" xr:uid="{A1FF6CB9-05C5-4AE3-97C7-43F47EC155F8}"/>
    <cellStyle name="Normal 9 2 2 11" xfId="8785" xr:uid="{3048542E-ED39-45ED-9C91-0140D2CF60D9}"/>
    <cellStyle name="Normal 9 2 2 11 2" xfId="18109" xr:uid="{6DD1E2DE-1BCF-4BFB-B935-A38805314E3E}"/>
    <cellStyle name="Normal 9 2 2 12" xfId="19285" xr:uid="{68C55132-FE35-49D7-A85E-BE3C9550B54E}"/>
    <cellStyle name="Normal 9 2 2 13" xfId="27732" xr:uid="{7654AAA1-F63C-46BA-99AA-39F066EE3B4B}"/>
    <cellStyle name="Normal 9 2 2 14" xfId="36179" xr:uid="{D518AC6B-F714-46D7-BDBF-A8B1C0ED7361}"/>
    <cellStyle name="Normal 9 2 2 15" xfId="9985" xr:uid="{C4049E87-9105-4476-A514-560920477349}"/>
    <cellStyle name="Normal 9 2 2 2" xfId="513" xr:uid="{00000000-0005-0000-0000-00006E1E0000}"/>
    <cellStyle name="Normal 9 2 2 2 10" xfId="8839" xr:uid="{3B2DC7F4-4F49-4AE2-9279-EFD4857A149B}"/>
    <cellStyle name="Normal 9 2 2 2 10 2" xfId="18163" xr:uid="{C1FE21F9-22D3-4A0A-9F86-BE75B1CF8BB5}"/>
    <cellStyle name="Normal 9 2 2 2 11" xfId="19286" xr:uid="{65F58CF6-3DDB-4BCD-97F8-9309118AE0E9}"/>
    <cellStyle name="Normal 9 2 2 2 12" xfId="27733" xr:uid="{EC9632A5-2E19-468F-AFB9-64177FCB91CC}"/>
    <cellStyle name="Normal 9 2 2 2 13" xfId="36180" xr:uid="{73F83B44-7850-4EC5-A7C5-CB477139C55F}"/>
    <cellStyle name="Normal 9 2 2 2 14" xfId="9986" xr:uid="{7292C99B-CE62-40EB-833D-F26A9512FEF6}"/>
    <cellStyle name="Normal 9 2 2 2 2" xfId="514" xr:uid="{00000000-0005-0000-0000-00006F1E0000}"/>
    <cellStyle name="Normal 9 2 2 2 2 10" xfId="19287" xr:uid="{5798DE56-41E6-4CA1-B968-24C9EFF13B9E}"/>
    <cellStyle name="Normal 9 2 2 2 2 11" xfId="27734" xr:uid="{4A93DC56-FDD6-492C-98F5-85AFC3543E8D}"/>
    <cellStyle name="Normal 9 2 2 2 2 12" xfId="36181" xr:uid="{15C45D63-B166-4B4B-AC3F-09E095A6163F}"/>
    <cellStyle name="Normal 9 2 2 2 2 13" xfId="9987" xr:uid="{B7DA5D34-B6D1-4F3D-BC7E-5641A0DAFA35}"/>
    <cellStyle name="Normal 9 2 2 2 2 2" xfId="515" xr:uid="{00000000-0005-0000-0000-0000701E0000}"/>
    <cellStyle name="Normal 9 2 2 2 2 2 10" xfId="27735" xr:uid="{FB50E899-DB6A-4E34-A078-736301B27165}"/>
    <cellStyle name="Normal 9 2 2 2 2 2 11" xfId="36182" xr:uid="{05BF9485-0A89-4697-912D-E7373065B886}"/>
    <cellStyle name="Normal 9 2 2 2 2 2 12" xfId="9988" xr:uid="{B7884979-EA59-49A3-ACBB-9942A60CC7E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2 2 2" xfId="26063" xr:uid="{3D1A0CC3-E39B-4C14-A12E-D25EEF17CDA8}"/>
    <cellStyle name="Normal 9 2 2 2 2 2 2 2 2 3" xfId="34510" xr:uid="{A4DFF399-01B0-4A7A-887C-61DD6441426F}"/>
    <cellStyle name="Normal 9 2 2 2 2 2 2 2 2 4" xfId="42957" xr:uid="{C120766F-D18E-42C1-94C8-A090355A5F83}"/>
    <cellStyle name="Normal 9 2 2 2 2 2 2 2 2 5" xfId="16763" xr:uid="{B6CBFBA5-D853-4B0E-88EF-4CE2B9A21662}"/>
    <cellStyle name="Normal 9 2 2 2 2 2 2 2 3" xfId="21846" xr:uid="{C90DF096-EBEC-4658-97C5-7F40CA8384DE}"/>
    <cellStyle name="Normal 9 2 2 2 2 2 2 2 4" xfId="30293" xr:uid="{875A28D5-59C7-4F8F-BABF-37078182C502}"/>
    <cellStyle name="Normal 9 2 2 2 2 2 2 2 5" xfId="38740" xr:uid="{FCFBA1A4-A8CE-4060-8092-35DE9B1CCA4F}"/>
    <cellStyle name="Normal 9 2 2 2 2 2 2 2 6" xfId="12546" xr:uid="{C0B494CF-D2A6-437D-9316-91E5E889079C}"/>
    <cellStyle name="Normal 9 2 2 2 2 2 2 3" xfId="5292" xr:uid="{00000000-0005-0000-0000-0000741E0000}"/>
    <cellStyle name="Normal 9 2 2 2 2 2 2 3 2" xfId="23918" xr:uid="{ED292D47-26CA-4DC3-BDD5-B9BF1940AB1A}"/>
    <cellStyle name="Normal 9 2 2 2 2 2 2 3 3" xfId="32365" xr:uid="{3C40A929-D260-402E-876F-9A40651FD07C}"/>
    <cellStyle name="Normal 9 2 2 2 2 2 2 3 4" xfId="40812" xr:uid="{C2477B53-5DEE-4133-9A3A-F4D2DEDFB768}"/>
    <cellStyle name="Normal 9 2 2 2 2 2 2 3 5" xfId="14618" xr:uid="{873A4CA4-4BBB-4676-BD2C-D99CC1C9319C}"/>
    <cellStyle name="Normal 9 2 2 2 2 2 2 4" xfId="9574" xr:uid="{00EB170D-8A20-4280-B781-E452C3590555}"/>
    <cellStyle name="Normal 9 2 2 2 2 2 2 4 2" xfId="18890" xr:uid="{D04E230D-0A39-42CD-8519-268F02235A12}"/>
    <cellStyle name="Normal 9 2 2 2 2 2 2 5" xfId="19701" xr:uid="{4F0DD333-9F72-44A8-B176-569C08104B52}"/>
    <cellStyle name="Normal 9 2 2 2 2 2 2 6" xfId="28148" xr:uid="{360D0027-E41C-4EFF-A4AC-EE9BA12AC3C7}"/>
    <cellStyle name="Normal 9 2 2 2 2 2 2 7" xfId="36595" xr:uid="{571AFE5F-AB78-4246-B33C-673F83816B31}"/>
    <cellStyle name="Normal 9 2 2 2 2 2 2 8" xfId="10401" xr:uid="{5A20C2C1-755F-405B-A37E-C459AA150D13}"/>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2 2 2" xfId="26476" xr:uid="{EC3988BE-E200-47F4-BF1B-B0487AFFF654}"/>
    <cellStyle name="Normal 9 2 2 2 2 2 3 2 2 3" xfId="34923" xr:uid="{9B8959FF-3ED2-40C9-ADEA-148316482C90}"/>
    <cellStyle name="Normal 9 2 2 2 2 2 3 2 2 4" xfId="43370" xr:uid="{33D625BE-BCD3-401B-A470-0D70894BD35A}"/>
    <cellStyle name="Normal 9 2 2 2 2 2 3 2 2 5" xfId="17176" xr:uid="{6F435F73-63BA-47D4-BC87-4F64FE5F75C6}"/>
    <cellStyle name="Normal 9 2 2 2 2 2 3 2 3" xfId="22259" xr:uid="{22525370-455B-4C30-93B4-E3F4B127A3C9}"/>
    <cellStyle name="Normal 9 2 2 2 2 2 3 2 4" xfId="30706" xr:uid="{B5319639-D2E6-4F96-BD28-9A7C9B935FAD}"/>
    <cellStyle name="Normal 9 2 2 2 2 2 3 2 5" xfId="39153" xr:uid="{3F250AC5-4793-4CBD-9FF9-49B3C095F9E6}"/>
    <cellStyle name="Normal 9 2 2 2 2 2 3 2 6" xfId="12959" xr:uid="{6D651BC6-624F-4F40-838C-F92DB44932C9}"/>
    <cellStyle name="Normal 9 2 2 2 2 2 3 3" xfId="5705" xr:uid="{00000000-0005-0000-0000-0000781E0000}"/>
    <cellStyle name="Normal 9 2 2 2 2 2 3 3 2" xfId="24331" xr:uid="{EB5DE560-1B18-4F9B-9A4C-52D10C4DD87A}"/>
    <cellStyle name="Normal 9 2 2 2 2 2 3 3 3" xfId="32778" xr:uid="{225602F5-3971-4F84-AC65-048B4D986163}"/>
    <cellStyle name="Normal 9 2 2 2 2 2 3 3 4" xfId="41225" xr:uid="{98CA8875-8206-487B-81E2-7E4E7E1684C5}"/>
    <cellStyle name="Normal 9 2 2 2 2 2 3 3 5" xfId="15031" xr:uid="{A0EFB462-2F64-4657-B5F5-B24E57EA0E79}"/>
    <cellStyle name="Normal 9 2 2 2 2 2 3 4" xfId="20114" xr:uid="{5E983F60-CFD9-45FF-BA0C-25040F767B70}"/>
    <cellStyle name="Normal 9 2 2 2 2 2 3 5" xfId="28561" xr:uid="{8AB965F1-777C-4DF0-826F-D287523CBF97}"/>
    <cellStyle name="Normal 9 2 2 2 2 2 3 6" xfId="37008" xr:uid="{066C1BB3-2E7E-4DAF-8A2A-E29DC04E9641}"/>
    <cellStyle name="Normal 9 2 2 2 2 2 3 7" xfId="10814" xr:uid="{69DB9EE1-806C-4A5E-AAE5-1D900E1A790C}"/>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2 2 2" xfId="26889" xr:uid="{4C955E45-6E0B-44EA-8A34-01CAE9B67A46}"/>
    <cellStyle name="Normal 9 2 2 2 2 2 4 2 2 3" xfId="35336" xr:uid="{6C242028-CAB1-44BC-8A0D-E4835AF299AB}"/>
    <cellStyle name="Normal 9 2 2 2 2 2 4 2 2 4" xfId="43783" xr:uid="{CA241018-BE95-4464-9C15-92EFFD9B8C3B}"/>
    <cellStyle name="Normal 9 2 2 2 2 2 4 2 2 5" xfId="17589" xr:uid="{0CED851C-855B-4368-9156-D73DDDAE3492}"/>
    <cellStyle name="Normal 9 2 2 2 2 2 4 2 3" xfId="22672" xr:uid="{414CDC79-E59F-4371-9B10-0CFE5B7E74A0}"/>
    <cellStyle name="Normal 9 2 2 2 2 2 4 2 4" xfId="31119" xr:uid="{D272B9CC-DA5C-419E-A722-3F58E6B36E2B}"/>
    <cellStyle name="Normal 9 2 2 2 2 2 4 2 5" xfId="39566" xr:uid="{A61315A5-B88E-4931-A2D8-DBAD317175D9}"/>
    <cellStyle name="Normal 9 2 2 2 2 2 4 2 6" xfId="13372" xr:uid="{148C5EA8-E845-4E16-90AE-F461BD364EA6}"/>
    <cellStyle name="Normal 9 2 2 2 2 2 4 3" xfId="6118" xr:uid="{00000000-0005-0000-0000-00007C1E0000}"/>
    <cellStyle name="Normal 9 2 2 2 2 2 4 3 2" xfId="24744" xr:uid="{6733FFCB-E7DB-4CC9-A811-2BA4455D5FAF}"/>
    <cellStyle name="Normal 9 2 2 2 2 2 4 3 3" xfId="33191" xr:uid="{69066EE7-27F1-42EA-9B11-A65659CDD714}"/>
    <cellStyle name="Normal 9 2 2 2 2 2 4 3 4" xfId="41638" xr:uid="{25E6DE28-402B-458B-B20D-7B1C43D9E6D2}"/>
    <cellStyle name="Normal 9 2 2 2 2 2 4 3 5" xfId="15444" xr:uid="{C2A60F38-6DC1-4461-A5A1-69AA02F8D0A3}"/>
    <cellStyle name="Normal 9 2 2 2 2 2 4 4" xfId="20527" xr:uid="{7F5A8EE4-0B13-4FD0-A7F1-4B03B714D36E}"/>
    <cellStyle name="Normal 9 2 2 2 2 2 4 5" xfId="28974" xr:uid="{0DB46988-FBE6-49EA-B288-36135092D4F8}"/>
    <cellStyle name="Normal 9 2 2 2 2 2 4 6" xfId="37421" xr:uid="{1816A198-0776-4C61-BF8A-ED3454BDC0DB}"/>
    <cellStyle name="Normal 9 2 2 2 2 2 4 7" xfId="11227" xr:uid="{58A9844F-A552-4F61-A096-83E49A722FDE}"/>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2 2 2" xfId="27302" xr:uid="{4307202E-B127-43B2-81CF-D5E4CDA9FC18}"/>
    <cellStyle name="Normal 9 2 2 2 2 2 5 2 2 3" xfId="35749" xr:uid="{43CB2E69-1F60-4548-B157-CD028A8A0919}"/>
    <cellStyle name="Normal 9 2 2 2 2 2 5 2 2 4" xfId="44196" xr:uid="{4D284B44-0B1C-4EC7-BC25-ADE422080DDA}"/>
    <cellStyle name="Normal 9 2 2 2 2 2 5 2 2 5" xfId="18002" xr:uid="{994DFFA2-FD44-4B90-B4EB-0AC6821AB5E1}"/>
    <cellStyle name="Normal 9 2 2 2 2 2 5 2 3" xfId="23085" xr:uid="{A4AFC50F-BFE7-42F4-AFCC-84713BA7CA3C}"/>
    <cellStyle name="Normal 9 2 2 2 2 2 5 2 4" xfId="31532" xr:uid="{C10C0809-3049-4C7F-A0B7-5763A206841D}"/>
    <cellStyle name="Normal 9 2 2 2 2 2 5 2 5" xfId="39979" xr:uid="{0FA477BA-1BDA-4435-86E6-8BBB57E3EADC}"/>
    <cellStyle name="Normal 9 2 2 2 2 2 5 2 6" xfId="13785" xr:uid="{FC003E77-4F4B-4941-BCF6-7740D9D4732D}"/>
    <cellStyle name="Normal 9 2 2 2 2 2 5 3" xfId="6531" xr:uid="{00000000-0005-0000-0000-0000801E0000}"/>
    <cellStyle name="Normal 9 2 2 2 2 2 5 3 2" xfId="25157" xr:uid="{89279D4B-6A55-4956-885E-E14625A2FB54}"/>
    <cellStyle name="Normal 9 2 2 2 2 2 5 3 3" xfId="33604" xr:uid="{A762A1E8-01BA-4B17-B513-1A9586D9CBAD}"/>
    <cellStyle name="Normal 9 2 2 2 2 2 5 3 4" xfId="42051" xr:uid="{66F64E7A-CCF2-4972-91C4-B637F337B840}"/>
    <cellStyle name="Normal 9 2 2 2 2 2 5 3 5" xfId="15857" xr:uid="{205F8605-F389-4A05-B93F-A1CF3D03BE34}"/>
    <cellStyle name="Normal 9 2 2 2 2 2 5 4" xfId="20940" xr:uid="{834C79F3-6C0E-4F3F-A159-C176B9907A3A}"/>
    <cellStyle name="Normal 9 2 2 2 2 2 5 5" xfId="29387" xr:uid="{5832118F-75EC-44B7-BC37-E5C9EF74E1A6}"/>
    <cellStyle name="Normal 9 2 2 2 2 2 5 6" xfId="37834" xr:uid="{34532741-427E-4258-8155-1EAF0E7C3146}"/>
    <cellStyle name="Normal 9 2 2 2 2 2 5 7" xfId="11640" xr:uid="{45162131-726C-45F0-81B3-AB8DE8799340}"/>
    <cellStyle name="Normal 9 2 2 2 2 2 6" xfId="2661" xr:uid="{00000000-0005-0000-0000-0000811E0000}"/>
    <cellStyle name="Normal 9 2 2 2 2 2 6 2" xfId="6944" xr:uid="{00000000-0005-0000-0000-0000821E0000}"/>
    <cellStyle name="Normal 9 2 2 2 2 2 6 2 2" xfId="25570" xr:uid="{92D82BCA-51CD-4A09-8ADE-2DC0233B0594}"/>
    <cellStyle name="Normal 9 2 2 2 2 2 6 2 3" xfId="34017" xr:uid="{19A57320-07D8-41AB-BC73-3760E279F84F}"/>
    <cellStyle name="Normal 9 2 2 2 2 2 6 2 4" xfId="42464" xr:uid="{DB0E02AD-36C7-4F57-871F-D44274CA6DD8}"/>
    <cellStyle name="Normal 9 2 2 2 2 2 6 2 5" xfId="16270" xr:uid="{93D79131-4FA1-4090-9CC3-E78CCBAD3482}"/>
    <cellStyle name="Normal 9 2 2 2 2 2 6 3" xfId="21353" xr:uid="{0392B5B6-E960-4524-9E0C-B2CDE1F66352}"/>
    <cellStyle name="Normal 9 2 2 2 2 2 6 4" xfId="29800" xr:uid="{4DB727FC-DBF8-48A8-A73B-5067693C0E5A}"/>
    <cellStyle name="Normal 9 2 2 2 2 2 6 5" xfId="38247" xr:uid="{6F0A5207-C008-4849-8390-85D846C0858F}"/>
    <cellStyle name="Normal 9 2 2 2 2 2 6 6" xfId="12053" xr:uid="{32A99882-23A0-4DD2-BE1A-24341FB1D418}"/>
    <cellStyle name="Normal 9 2 2 2 2 2 7" xfId="4879" xr:uid="{00000000-0005-0000-0000-0000831E0000}"/>
    <cellStyle name="Normal 9 2 2 2 2 2 7 2" xfId="23505" xr:uid="{C3C96956-BF94-49BF-B9DD-AA2A23113C8B}"/>
    <cellStyle name="Normal 9 2 2 2 2 2 7 3" xfId="31952" xr:uid="{AB6BEDB2-EF47-4E0E-BB5B-CAAF8C24857A}"/>
    <cellStyle name="Normal 9 2 2 2 2 2 7 4" xfId="40399" xr:uid="{FE4D1831-9231-4D78-99B3-B0C9DDEBB2E2}"/>
    <cellStyle name="Normal 9 2 2 2 2 2 7 5" xfId="14205" xr:uid="{CD241306-DA88-4E47-AE53-FC406F3E4612}"/>
    <cellStyle name="Normal 9 2 2 2 2 2 8" xfId="9149" xr:uid="{6C0BEC1E-EE3B-4956-830C-8775C93DB46A}"/>
    <cellStyle name="Normal 9 2 2 2 2 2 8 2" xfId="18473" xr:uid="{F51BB755-EECD-492A-8319-8C3A6DE8FEFF}"/>
    <cellStyle name="Normal 9 2 2 2 2 2 9" xfId="19288" xr:uid="{2DD74D97-09BE-4DB8-B0FE-0306D647A9A8}"/>
    <cellStyle name="Normal 9 2 2 2 2 3" xfId="981" xr:uid="{00000000-0005-0000-0000-0000841E0000}"/>
    <cellStyle name="Normal 9 2 2 2 2 3 2" xfId="3214" xr:uid="{00000000-0005-0000-0000-0000851E0000}"/>
    <cellStyle name="Normal 9 2 2 2 2 3 2 2" xfId="7436" xr:uid="{00000000-0005-0000-0000-0000861E0000}"/>
    <cellStyle name="Normal 9 2 2 2 2 3 2 2 2" xfId="26062" xr:uid="{D4669E5D-EC15-4998-BFEA-D74A1ECAB477}"/>
    <cellStyle name="Normal 9 2 2 2 2 3 2 2 3" xfId="34509" xr:uid="{DDD979DA-3E12-4DDC-82F7-4570B4716F43}"/>
    <cellStyle name="Normal 9 2 2 2 2 3 2 2 4" xfId="42956" xr:uid="{91328B34-9D52-4CE4-844E-0A778FDA95F9}"/>
    <cellStyle name="Normal 9 2 2 2 2 3 2 2 5" xfId="16762" xr:uid="{6509F88C-5AF5-417C-B994-A0AE182FC11A}"/>
    <cellStyle name="Normal 9 2 2 2 2 3 2 3" xfId="21845" xr:uid="{9CDE68A1-3BAB-40EC-9F06-CABE97B208E8}"/>
    <cellStyle name="Normal 9 2 2 2 2 3 2 4" xfId="30292" xr:uid="{3995E61C-F495-4990-BDD9-36391AB85A61}"/>
    <cellStyle name="Normal 9 2 2 2 2 3 2 5" xfId="38739" xr:uid="{12E86B6C-2599-4AFB-AE43-B53A448BAF67}"/>
    <cellStyle name="Normal 9 2 2 2 2 3 2 6" xfId="12545" xr:uid="{596EC483-C578-44F5-86A2-5971CD0B0B64}"/>
    <cellStyle name="Normal 9 2 2 2 2 3 3" xfId="5291" xr:uid="{00000000-0005-0000-0000-0000871E0000}"/>
    <cellStyle name="Normal 9 2 2 2 2 3 3 2" xfId="23917" xr:uid="{BE8BCBC4-97A4-4296-9993-1ACFEE2BE588}"/>
    <cellStyle name="Normal 9 2 2 2 2 3 3 3" xfId="32364" xr:uid="{3BF7E1CC-226D-419E-A2C8-3BD9C13AB86F}"/>
    <cellStyle name="Normal 9 2 2 2 2 3 3 4" xfId="40811" xr:uid="{E94683BD-9B97-4E9A-A35C-A7518F053D03}"/>
    <cellStyle name="Normal 9 2 2 2 2 3 3 5" xfId="14617" xr:uid="{2D5C741D-493D-453C-9375-210D4F3BF00C}"/>
    <cellStyle name="Normal 9 2 2 2 2 3 4" xfId="9367" xr:uid="{4A654E22-020A-4B0F-8753-639C44EA908A}"/>
    <cellStyle name="Normal 9 2 2 2 2 3 4 2" xfId="18683" xr:uid="{2ED64B74-8B8C-4A73-A2F1-E2E4CF29E6AF}"/>
    <cellStyle name="Normal 9 2 2 2 2 3 5" xfId="19700" xr:uid="{A81E1D91-9696-4ED7-9C6F-5A8BAB49D339}"/>
    <cellStyle name="Normal 9 2 2 2 2 3 6" xfId="28147" xr:uid="{8349A2BF-8359-4DE8-B363-CBDC65EA3067}"/>
    <cellStyle name="Normal 9 2 2 2 2 3 7" xfId="36594" xr:uid="{0CF47DA6-9048-4DE4-8610-98E3D5888B2E}"/>
    <cellStyle name="Normal 9 2 2 2 2 3 8" xfId="10400" xr:uid="{AF7ADFFD-4B49-4F0D-A9D7-66F594EAB8FC}"/>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2 2 2" xfId="26475" xr:uid="{B27DF9BD-0521-4973-8DDF-9C09794A5B51}"/>
    <cellStyle name="Normal 9 2 2 2 2 4 2 2 3" xfId="34922" xr:uid="{26AA7F8F-0DD8-4CCB-A2F7-99593BAED4C5}"/>
    <cellStyle name="Normal 9 2 2 2 2 4 2 2 4" xfId="43369" xr:uid="{DF68B4AC-DBBA-4941-9D12-0B7DE0EF7A30}"/>
    <cellStyle name="Normal 9 2 2 2 2 4 2 2 5" xfId="17175" xr:uid="{B1326C94-5B5B-453D-8BEC-5F522526881C}"/>
    <cellStyle name="Normal 9 2 2 2 2 4 2 3" xfId="22258" xr:uid="{08D3B941-27EB-430C-BBA0-69E7208AE518}"/>
    <cellStyle name="Normal 9 2 2 2 2 4 2 4" xfId="30705" xr:uid="{8AB8F19F-F892-486F-80C8-3F018049A27C}"/>
    <cellStyle name="Normal 9 2 2 2 2 4 2 5" xfId="39152" xr:uid="{4CEC6E19-835D-49CC-AA0B-1EA9153ACF20}"/>
    <cellStyle name="Normal 9 2 2 2 2 4 2 6" xfId="12958" xr:uid="{63564BED-5A72-46EE-BF8F-3374AEFFCD3A}"/>
    <cellStyle name="Normal 9 2 2 2 2 4 3" xfId="5704" xr:uid="{00000000-0005-0000-0000-00008B1E0000}"/>
    <cellStyle name="Normal 9 2 2 2 2 4 3 2" xfId="24330" xr:uid="{93EC2FCB-A927-4871-B048-2624A5BC9C6B}"/>
    <cellStyle name="Normal 9 2 2 2 2 4 3 3" xfId="32777" xr:uid="{33674718-D251-41BD-8128-C87C78990D2A}"/>
    <cellStyle name="Normal 9 2 2 2 2 4 3 4" xfId="41224" xr:uid="{C92A8014-6A28-49D5-9052-7643A5A04947}"/>
    <cellStyle name="Normal 9 2 2 2 2 4 3 5" xfId="15030" xr:uid="{918CA609-2171-4038-ACFB-8AAEB71A0A89}"/>
    <cellStyle name="Normal 9 2 2 2 2 4 4" xfId="20113" xr:uid="{6E5B9BA5-9B6A-4A94-950A-680E5A6BD4AB}"/>
    <cellStyle name="Normal 9 2 2 2 2 4 5" xfId="28560" xr:uid="{9E4FDEC3-1522-48E6-AC7A-0DD09BCF5078}"/>
    <cellStyle name="Normal 9 2 2 2 2 4 6" xfId="37007" xr:uid="{81231266-312C-4B43-A3FA-78A73A4A8180}"/>
    <cellStyle name="Normal 9 2 2 2 2 4 7" xfId="10813" xr:uid="{A152AD7C-070E-40FA-A750-AF9180B4B754}"/>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2 2 2" xfId="26888" xr:uid="{39B8021A-8E46-4303-8902-97D964FE8F2F}"/>
    <cellStyle name="Normal 9 2 2 2 2 5 2 2 3" xfId="35335" xr:uid="{2CBA549F-F2AE-4A4E-BFB8-1D457E8F7969}"/>
    <cellStyle name="Normal 9 2 2 2 2 5 2 2 4" xfId="43782" xr:uid="{D749CFE0-2925-4C78-AA4C-5F01B45C12BA}"/>
    <cellStyle name="Normal 9 2 2 2 2 5 2 2 5" xfId="17588" xr:uid="{4E0407E3-D31E-42BA-A9FC-D0D982CF5711}"/>
    <cellStyle name="Normal 9 2 2 2 2 5 2 3" xfId="22671" xr:uid="{1D5AF301-0C9F-45CA-B538-0435AD4BA60A}"/>
    <cellStyle name="Normal 9 2 2 2 2 5 2 4" xfId="31118" xr:uid="{B2CE99D5-A51C-4B5C-B128-BAFCA2506E08}"/>
    <cellStyle name="Normal 9 2 2 2 2 5 2 5" xfId="39565" xr:uid="{6484ED0D-E32D-4919-93CE-1F8B25E43544}"/>
    <cellStyle name="Normal 9 2 2 2 2 5 2 6" xfId="13371" xr:uid="{6D1F831A-0A06-4D44-B796-EE9EA9FF5CFC}"/>
    <cellStyle name="Normal 9 2 2 2 2 5 3" xfId="6117" xr:uid="{00000000-0005-0000-0000-00008F1E0000}"/>
    <cellStyle name="Normal 9 2 2 2 2 5 3 2" xfId="24743" xr:uid="{BC86DBF1-352C-4A50-A43B-295D7CA70740}"/>
    <cellStyle name="Normal 9 2 2 2 2 5 3 3" xfId="33190" xr:uid="{F5EDA33E-6CB7-4099-9A75-1853485B2E71}"/>
    <cellStyle name="Normal 9 2 2 2 2 5 3 4" xfId="41637" xr:uid="{735EBC5B-CF0D-4BC4-8D8C-29642EB6DE0E}"/>
    <cellStyle name="Normal 9 2 2 2 2 5 3 5" xfId="15443" xr:uid="{6305729D-92DD-4055-AADE-1268A65EF843}"/>
    <cellStyle name="Normal 9 2 2 2 2 5 4" xfId="20526" xr:uid="{67CBCAF3-C3A5-4597-8177-99D0DAA582EE}"/>
    <cellStyle name="Normal 9 2 2 2 2 5 5" xfId="28973" xr:uid="{C45C90D8-1553-45B3-8067-809D147F7DFD}"/>
    <cellStyle name="Normal 9 2 2 2 2 5 6" xfId="37420" xr:uid="{935E09D7-66EF-4D57-8AF9-FEEC98EE9067}"/>
    <cellStyle name="Normal 9 2 2 2 2 5 7" xfId="11226" xr:uid="{C9A59DB1-54D5-41BC-8E0A-91897C805F4C}"/>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2 2 2" xfId="27301" xr:uid="{C0E098D7-9B77-417E-BCDE-22CF0BCACBFF}"/>
    <cellStyle name="Normal 9 2 2 2 2 6 2 2 3" xfId="35748" xr:uid="{69A85C32-524D-49D5-9F1C-076E927729C6}"/>
    <cellStyle name="Normal 9 2 2 2 2 6 2 2 4" xfId="44195" xr:uid="{987F5917-7CCA-4F74-8F0E-37FA758F9F33}"/>
    <cellStyle name="Normal 9 2 2 2 2 6 2 2 5" xfId="18001" xr:uid="{37566EFD-04F7-4DF8-9E78-22A795D1E436}"/>
    <cellStyle name="Normal 9 2 2 2 2 6 2 3" xfId="23084" xr:uid="{7A2DD253-938C-4963-8505-A83788648CE6}"/>
    <cellStyle name="Normal 9 2 2 2 2 6 2 4" xfId="31531" xr:uid="{17F85A12-13E8-4B9B-9B5E-7C5D045F004A}"/>
    <cellStyle name="Normal 9 2 2 2 2 6 2 5" xfId="39978" xr:uid="{194C0F9D-BFB2-4348-82D5-E083B5114A19}"/>
    <cellStyle name="Normal 9 2 2 2 2 6 2 6" xfId="13784" xr:uid="{257C2DB9-157A-4F34-B9DD-1C043B2CD854}"/>
    <cellStyle name="Normal 9 2 2 2 2 6 3" xfId="6530" xr:uid="{00000000-0005-0000-0000-0000931E0000}"/>
    <cellStyle name="Normal 9 2 2 2 2 6 3 2" xfId="25156" xr:uid="{2EA5E8F9-D998-41AE-B6F7-FA5383F36AAF}"/>
    <cellStyle name="Normal 9 2 2 2 2 6 3 3" xfId="33603" xr:uid="{A9303895-1317-43DF-AFA2-72A719366DB4}"/>
    <cellStyle name="Normal 9 2 2 2 2 6 3 4" xfId="42050" xr:uid="{9B41BC66-1B13-438D-868B-AE2B6D05FB58}"/>
    <cellStyle name="Normal 9 2 2 2 2 6 3 5" xfId="15856" xr:uid="{33385C8B-F9A1-4A94-A62C-7A74BA69E34A}"/>
    <cellStyle name="Normal 9 2 2 2 2 6 4" xfId="20939" xr:uid="{04232047-375D-4D4D-81DC-26F26EA2F025}"/>
    <cellStyle name="Normal 9 2 2 2 2 6 5" xfId="29386" xr:uid="{0A4A6FA1-F18A-46B6-8942-92A0B6FB7B76}"/>
    <cellStyle name="Normal 9 2 2 2 2 6 6" xfId="37833" xr:uid="{1A8C40CF-0DDD-4DD2-9FB2-A1C4E5E8B2AB}"/>
    <cellStyle name="Normal 9 2 2 2 2 6 7" xfId="11639" xr:uid="{F5098CDC-3500-4B7B-88EB-A69D782EA350}"/>
    <cellStyle name="Normal 9 2 2 2 2 7" xfId="2660" xr:uid="{00000000-0005-0000-0000-0000941E0000}"/>
    <cellStyle name="Normal 9 2 2 2 2 7 2" xfId="6943" xr:uid="{00000000-0005-0000-0000-0000951E0000}"/>
    <cellStyle name="Normal 9 2 2 2 2 7 2 2" xfId="25569" xr:uid="{DD82F9DB-4B5A-46CC-9321-6A949C0FB6FB}"/>
    <cellStyle name="Normal 9 2 2 2 2 7 2 3" xfId="34016" xr:uid="{25622AE4-D982-43F0-B01B-64F8F7D77FAE}"/>
    <cellStyle name="Normal 9 2 2 2 2 7 2 4" xfId="42463" xr:uid="{8CC74475-754C-4E2D-A372-B88A482F4081}"/>
    <cellStyle name="Normal 9 2 2 2 2 7 2 5" xfId="16269" xr:uid="{A912459F-1021-4403-8D64-04C0BC0AF530}"/>
    <cellStyle name="Normal 9 2 2 2 2 7 3" xfId="21352" xr:uid="{DB41D700-8E7B-4393-8B23-4FDCAD19ABE0}"/>
    <cellStyle name="Normal 9 2 2 2 2 7 4" xfId="29799" xr:uid="{512A8840-E3AC-4C45-A664-F911BA9C57C7}"/>
    <cellStyle name="Normal 9 2 2 2 2 7 5" xfId="38246" xr:uid="{2B20F278-8C02-448C-B8C7-F25E42132960}"/>
    <cellStyle name="Normal 9 2 2 2 2 7 6" xfId="12052" xr:uid="{4A2AE2B9-0867-45F4-B01F-39B2801CB57C}"/>
    <cellStyle name="Normal 9 2 2 2 2 8" xfId="4878" xr:uid="{00000000-0005-0000-0000-0000961E0000}"/>
    <cellStyle name="Normal 9 2 2 2 2 8 2" xfId="23504" xr:uid="{410F7F2A-773F-46E5-8CE2-209AF0BAF234}"/>
    <cellStyle name="Normal 9 2 2 2 2 8 3" xfId="31951" xr:uid="{DC8B6F73-CB03-45EA-A86C-EF80706314DE}"/>
    <cellStyle name="Normal 9 2 2 2 2 8 4" xfId="40398" xr:uid="{F85EF91C-E332-42F4-98CE-F39A3EEEECBB}"/>
    <cellStyle name="Normal 9 2 2 2 2 8 5" xfId="14204" xr:uid="{B61DF8DC-D394-426D-854F-B6464331CF14}"/>
    <cellStyle name="Normal 9 2 2 2 2 9" xfId="8942" xr:uid="{0DE8A022-819C-4D6A-B102-31C1C7F429A5}"/>
    <cellStyle name="Normal 9 2 2 2 2 9 2" xfId="18266" xr:uid="{F8F70D8C-7FCE-4C4E-A67B-F312ACC36E71}"/>
    <cellStyle name="Normal 9 2 2 2 3" xfId="516" xr:uid="{00000000-0005-0000-0000-0000971E0000}"/>
    <cellStyle name="Normal 9 2 2 2 3 10" xfId="27736" xr:uid="{0A47BD23-8BDF-496D-98DF-05E97632C983}"/>
    <cellStyle name="Normal 9 2 2 2 3 11" xfId="36183" xr:uid="{15809516-8A85-48B5-9A23-7909331CBE02}"/>
    <cellStyle name="Normal 9 2 2 2 3 12" xfId="9989" xr:uid="{F347C7CB-CC15-41A7-90BD-AC2EA1B207BA}"/>
    <cellStyle name="Normal 9 2 2 2 3 2" xfId="983" xr:uid="{00000000-0005-0000-0000-0000981E0000}"/>
    <cellStyle name="Normal 9 2 2 2 3 2 2" xfId="3216" xr:uid="{00000000-0005-0000-0000-0000991E0000}"/>
    <cellStyle name="Normal 9 2 2 2 3 2 2 2" xfId="7438" xr:uid="{00000000-0005-0000-0000-00009A1E0000}"/>
    <cellStyle name="Normal 9 2 2 2 3 2 2 2 2" xfId="26064" xr:uid="{042D8E6C-3311-4727-B620-E8F7781BCABC}"/>
    <cellStyle name="Normal 9 2 2 2 3 2 2 2 3" xfId="34511" xr:uid="{648932C2-911D-41BC-A8D0-E74F1565E320}"/>
    <cellStyle name="Normal 9 2 2 2 3 2 2 2 4" xfId="42958" xr:uid="{23F63A72-72A8-425B-B5F5-21BA17D027DB}"/>
    <cellStyle name="Normal 9 2 2 2 3 2 2 2 5" xfId="16764" xr:uid="{B24A1F29-7193-4731-B98B-C95AF00A1483}"/>
    <cellStyle name="Normal 9 2 2 2 3 2 2 3" xfId="21847" xr:uid="{5F693692-C720-44F9-A6F8-DA26E39F9CAB}"/>
    <cellStyle name="Normal 9 2 2 2 3 2 2 4" xfId="30294" xr:uid="{6271F8ED-B22C-4F81-B5A9-6EFFD0F6F5E0}"/>
    <cellStyle name="Normal 9 2 2 2 3 2 2 5" xfId="38741" xr:uid="{DBF49A06-8565-4A73-9837-6F94AB61938C}"/>
    <cellStyle name="Normal 9 2 2 2 3 2 2 6" xfId="12547" xr:uid="{B319E16E-CCD6-46EF-988A-9B37FE609CBE}"/>
    <cellStyle name="Normal 9 2 2 2 3 2 3" xfId="5293" xr:uid="{00000000-0005-0000-0000-00009B1E0000}"/>
    <cellStyle name="Normal 9 2 2 2 3 2 3 2" xfId="23919" xr:uid="{E6FEEDD6-23DE-408B-9463-35293C26A6C9}"/>
    <cellStyle name="Normal 9 2 2 2 3 2 3 3" xfId="32366" xr:uid="{A41E03C9-1B97-4E30-A747-07DF185144DF}"/>
    <cellStyle name="Normal 9 2 2 2 3 2 3 4" xfId="40813" xr:uid="{3CBD1FE3-5A67-48C8-9192-09BE90790870}"/>
    <cellStyle name="Normal 9 2 2 2 3 2 3 5" xfId="14619" xr:uid="{BB42533B-CA3B-4839-9A87-C19691088EC5}"/>
    <cellStyle name="Normal 9 2 2 2 3 2 4" xfId="9471" xr:uid="{E472D827-532E-42C0-B781-9E63FEBCFCF5}"/>
    <cellStyle name="Normal 9 2 2 2 3 2 4 2" xfId="18787" xr:uid="{0B446492-2C84-49D0-8FCE-CBC41F40ECD3}"/>
    <cellStyle name="Normal 9 2 2 2 3 2 5" xfId="19702" xr:uid="{94D58B17-E06E-4590-A352-41185AB0879F}"/>
    <cellStyle name="Normal 9 2 2 2 3 2 6" xfId="28149" xr:uid="{FEC1A6B0-0E51-4A27-A6EF-73A5C2E005E9}"/>
    <cellStyle name="Normal 9 2 2 2 3 2 7" xfId="36596" xr:uid="{364E2C15-1C9F-49CE-8B2E-6D902DB40C6B}"/>
    <cellStyle name="Normal 9 2 2 2 3 2 8" xfId="10402" xr:uid="{994F8205-9E0E-4F6C-A3AD-E64153270476}"/>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2 2 2" xfId="26477" xr:uid="{55D5A3DF-B2F3-4D66-A77C-F9A9231450F1}"/>
    <cellStyle name="Normal 9 2 2 2 3 3 2 2 3" xfId="34924" xr:uid="{49B3728C-EDF6-455C-970C-9466D40813D2}"/>
    <cellStyle name="Normal 9 2 2 2 3 3 2 2 4" xfId="43371" xr:uid="{E3CDED0D-A3C5-47F9-8438-19FC42B6F60B}"/>
    <cellStyle name="Normal 9 2 2 2 3 3 2 2 5" xfId="17177" xr:uid="{3CC2ED05-28A2-44E1-94BC-A042E17E2529}"/>
    <cellStyle name="Normal 9 2 2 2 3 3 2 3" xfId="22260" xr:uid="{C94B20F9-82C7-4A58-971C-305DD75B9643}"/>
    <cellStyle name="Normal 9 2 2 2 3 3 2 4" xfId="30707" xr:uid="{4F5CC6E1-9B5A-434D-9356-B36D0B4A09FF}"/>
    <cellStyle name="Normal 9 2 2 2 3 3 2 5" xfId="39154" xr:uid="{C878A91A-A1A2-45C0-AAA1-31FE9A706D38}"/>
    <cellStyle name="Normal 9 2 2 2 3 3 2 6" xfId="12960" xr:uid="{A3C6B09E-AD9E-4F47-90F8-0B3E6E3D3965}"/>
    <cellStyle name="Normal 9 2 2 2 3 3 3" xfId="5706" xr:uid="{00000000-0005-0000-0000-00009F1E0000}"/>
    <cellStyle name="Normal 9 2 2 2 3 3 3 2" xfId="24332" xr:uid="{FD0733E9-91B5-4DAE-A947-51F9FE56AF14}"/>
    <cellStyle name="Normal 9 2 2 2 3 3 3 3" xfId="32779" xr:uid="{17C727AD-C952-4408-BB0F-7DD42D329902}"/>
    <cellStyle name="Normal 9 2 2 2 3 3 3 4" xfId="41226" xr:uid="{E9AC8AE0-89FF-4713-BB2E-62ECDCA21E08}"/>
    <cellStyle name="Normal 9 2 2 2 3 3 3 5" xfId="15032" xr:uid="{F261865E-90BF-4079-94DB-AF77E0DB571E}"/>
    <cellStyle name="Normal 9 2 2 2 3 3 4" xfId="20115" xr:uid="{9CB179AB-743A-448D-ABE9-AE201ED28463}"/>
    <cellStyle name="Normal 9 2 2 2 3 3 5" xfId="28562" xr:uid="{680AC83F-DB95-4756-9CF1-613E44E552FF}"/>
    <cellStyle name="Normal 9 2 2 2 3 3 6" xfId="37009" xr:uid="{E29AC794-0191-4314-ACE8-675D6DC10DC8}"/>
    <cellStyle name="Normal 9 2 2 2 3 3 7" xfId="10815" xr:uid="{81033F99-DC3E-4938-882E-E148FB8753A2}"/>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2 2 2" xfId="26890" xr:uid="{C48512B2-3F72-4282-83C7-8D824F8F3780}"/>
    <cellStyle name="Normal 9 2 2 2 3 4 2 2 3" xfId="35337" xr:uid="{528F6F3B-3377-429D-8966-3F834230D8FB}"/>
    <cellStyle name="Normal 9 2 2 2 3 4 2 2 4" xfId="43784" xr:uid="{5C56FBEF-0742-4101-BBA9-E2BC528E5BEA}"/>
    <cellStyle name="Normal 9 2 2 2 3 4 2 2 5" xfId="17590" xr:uid="{37805493-43C6-4342-9D60-D5DA395C7DB0}"/>
    <cellStyle name="Normal 9 2 2 2 3 4 2 3" xfId="22673" xr:uid="{7EC3C2A9-F955-4705-B54D-08FE48E9F051}"/>
    <cellStyle name="Normal 9 2 2 2 3 4 2 4" xfId="31120" xr:uid="{74F5D694-A0C2-4ED9-9425-8BBE36347E57}"/>
    <cellStyle name="Normal 9 2 2 2 3 4 2 5" xfId="39567" xr:uid="{ED32451C-DAB5-42C6-85A4-C41A44FAD096}"/>
    <cellStyle name="Normal 9 2 2 2 3 4 2 6" xfId="13373" xr:uid="{8DB6E68E-14BA-49EE-9FAE-91EAE32AB6DC}"/>
    <cellStyle name="Normal 9 2 2 2 3 4 3" xfId="6119" xr:uid="{00000000-0005-0000-0000-0000A31E0000}"/>
    <cellStyle name="Normal 9 2 2 2 3 4 3 2" xfId="24745" xr:uid="{81728140-4295-4465-9320-6F3F002F0DA7}"/>
    <cellStyle name="Normal 9 2 2 2 3 4 3 3" xfId="33192" xr:uid="{C3D31FFB-9D23-444D-9557-D7068AFA1E60}"/>
    <cellStyle name="Normal 9 2 2 2 3 4 3 4" xfId="41639" xr:uid="{F2206430-4CF8-4175-A9FD-6CC8FC97C857}"/>
    <cellStyle name="Normal 9 2 2 2 3 4 3 5" xfId="15445" xr:uid="{A1E0ACF2-5361-4E96-A357-6F39B566786E}"/>
    <cellStyle name="Normal 9 2 2 2 3 4 4" xfId="20528" xr:uid="{1FFAFA57-A057-427B-A978-110B3E40351D}"/>
    <cellStyle name="Normal 9 2 2 2 3 4 5" xfId="28975" xr:uid="{DA9D7913-1472-4214-9201-DF4141561420}"/>
    <cellStyle name="Normal 9 2 2 2 3 4 6" xfId="37422" xr:uid="{D5D6DA64-322B-4469-87D4-BF0666EAD619}"/>
    <cellStyle name="Normal 9 2 2 2 3 4 7" xfId="11228" xr:uid="{C02EFC73-D94B-40EC-9DBB-97C86113F49E}"/>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2 2 2" xfId="27303" xr:uid="{74390289-2B2C-418D-81F3-805AF3058E99}"/>
    <cellStyle name="Normal 9 2 2 2 3 5 2 2 3" xfId="35750" xr:uid="{A4567264-112C-48A8-9E2B-78143B570BCB}"/>
    <cellStyle name="Normal 9 2 2 2 3 5 2 2 4" xfId="44197" xr:uid="{EB9E95FE-4B16-4131-825D-1257701A32BE}"/>
    <cellStyle name="Normal 9 2 2 2 3 5 2 2 5" xfId="18003" xr:uid="{21F1F7B8-BE2A-46D6-B35B-23D171A3E1CA}"/>
    <cellStyle name="Normal 9 2 2 2 3 5 2 3" xfId="23086" xr:uid="{A5D83EF0-C0C1-4CDE-BCD2-D1376AAB2E27}"/>
    <cellStyle name="Normal 9 2 2 2 3 5 2 4" xfId="31533" xr:uid="{33EF1B3A-485E-43B5-A39C-CD8F2452B5C7}"/>
    <cellStyle name="Normal 9 2 2 2 3 5 2 5" xfId="39980" xr:uid="{787202EA-911B-4BC8-B86B-6C4B8B9EDA44}"/>
    <cellStyle name="Normal 9 2 2 2 3 5 2 6" xfId="13786" xr:uid="{FC3E9E1E-11E8-424A-B5D0-28BA50079BFA}"/>
    <cellStyle name="Normal 9 2 2 2 3 5 3" xfId="6532" xr:uid="{00000000-0005-0000-0000-0000A71E0000}"/>
    <cellStyle name="Normal 9 2 2 2 3 5 3 2" xfId="25158" xr:uid="{0EC84714-1C5A-41E6-8AB5-119A2CC4FD18}"/>
    <cellStyle name="Normal 9 2 2 2 3 5 3 3" xfId="33605" xr:uid="{216C9338-242C-4637-BA19-A7A7563B1B25}"/>
    <cellStyle name="Normal 9 2 2 2 3 5 3 4" xfId="42052" xr:uid="{D65D5242-A1A1-4805-829A-C5F4ECE22592}"/>
    <cellStyle name="Normal 9 2 2 2 3 5 3 5" xfId="15858" xr:uid="{73E273C4-6070-4A28-8367-64BA499B990D}"/>
    <cellStyle name="Normal 9 2 2 2 3 5 4" xfId="20941" xr:uid="{8840AC82-E45B-4FF8-9383-8A9C0C670FA8}"/>
    <cellStyle name="Normal 9 2 2 2 3 5 5" xfId="29388" xr:uid="{2B77C7BF-5B67-4160-B813-6EA2D34C0EE8}"/>
    <cellStyle name="Normal 9 2 2 2 3 5 6" xfId="37835" xr:uid="{6BABF4EA-76B9-4103-9C9F-1CA0185D593F}"/>
    <cellStyle name="Normal 9 2 2 2 3 5 7" xfId="11641" xr:uid="{289333E6-6B6F-4673-B04C-D9D897733413}"/>
    <cellStyle name="Normal 9 2 2 2 3 6" xfId="2662" xr:uid="{00000000-0005-0000-0000-0000A81E0000}"/>
    <cellStyle name="Normal 9 2 2 2 3 6 2" xfId="6945" xr:uid="{00000000-0005-0000-0000-0000A91E0000}"/>
    <cellStyle name="Normal 9 2 2 2 3 6 2 2" xfId="25571" xr:uid="{2B80D153-E673-4F1D-9600-F6EEE1E635C9}"/>
    <cellStyle name="Normal 9 2 2 2 3 6 2 3" xfId="34018" xr:uid="{08092810-DDAE-496B-9942-90D78F2E7FD1}"/>
    <cellStyle name="Normal 9 2 2 2 3 6 2 4" xfId="42465" xr:uid="{FE3210DE-5AAB-4247-9801-4EF03753FC3A}"/>
    <cellStyle name="Normal 9 2 2 2 3 6 2 5" xfId="16271" xr:uid="{F01A2F7C-5CD4-4E9B-9E66-8A6125B34DFD}"/>
    <cellStyle name="Normal 9 2 2 2 3 6 3" xfId="21354" xr:uid="{3B2EE187-EAF5-4569-99C4-1D0234016669}"/>
    <cellStyle name="Normal 9 2 2 2 3 6 4" xfId="29801" xr:uid="{6181E705-41B5-45FD-A5F6-5B745EA050EF}"/>
    <cellStyle name="Normal 9 2 2 2 3 6 5" xfId="38248" xr:uid="{793D1C71-4F2B-483B-8747-D918D342999C}"/>
    <cellStyle name="Normal 9 2 2 2 3 6 6" xfId="12054" xr:uid="{A7FE2353-5E00-492B-AE26-4C1E7CA18946}"/>
    <cellStyle name="Normal 9 2 2 2 3 7" xfId="4880" xr:uid="{00000000-0005-0000-0000-0000AA1E0000}"/>
    <cellStyle name="Normal 9 2 2 2 3 7 2" xfId="23506" xr:uid="{5F4B5679-5FAD-4C23-8627-3A4C9921EF9B}"/>
    <cellStyle name="Normal 9 2 2 2 3 7 3" xfId="31953" xr:uid="{B1475A6C-7C8D-4E06-9D41-4F00CB220133}"/>
    <cellStyle name="Normal 9 2 2 2 3 7 4" xfId="40400" xr:uid="{431EBBFE-C36D-47A6-B20E-09B01C87B5B3}"/>
    <cellStyle name="Normal 9 2 2 2 3 7 5" xfId="14206" xr:uid="{8447C39E-085D-4B27-9410-9B3539D37170}"/>
    <cellStyle name="Normal 9 2 2 2 3 8" xfId="9046" xr:uid="{6B7E07C7-E90B-4AE9-8FE8-76EF28E8FC85}"/>
    <cellStyle name="Normal 9 2 2 2 3 8 2" xfId="18370" xr:uid="{E717F104-D94F-4A94-A246-AA866B707CDF}"/>
    <cellStyle name="Normal 9 2 2 2 3 9" xfId="19289" xr:uid="{697CCB35-C7BB-407A-AAC3-E47466FAF511}"/>
    <cellStyle name="Normal 9 2 2 2 4" xfId="980" xr:uid="{00000000-0005-0000-0000-0000AB1E0000}"/>
    <cellStyle name="Normal 9 2 2 2 4 2" xfId="3213" xr:uid="{00000000-0005-0000-0000-0000AC1E0000}"/>
    <cellStyle name="Normal 9 2 2 2 4 2 2" xfId="7435" xr:uid="{00000000-0005-0000-0000-0000AD1E0000}"/>
    <cellStyle name="Normal 9 2 2 2 4 2 2 2" xfId="26061" xr:uid="{41F62D43-F578-4821-935A-05474F1DBC75}"/>
    <cellStyle name="Normal 9 2 2 2 4 2 2 3" xfId="34508" xr:uid="{6B3F8F87-B300-4929-B20D-E0B479DB64BA}"/>
    <cellStyle name="Normal 9 2 2 2 4 2 2 4" xfId="42955" xr:uid="{07562B19-CC13-47F9-8D05-1D4FD98487B3}"/>
    <cellStyle name="Normal 9 2 2 2 4 2 2 5" xfId="16761" xr:uid="{BC52FC39-330A-4B06-BF47-868DA84EFAAF}"/>
    <cellStyle name="Normal 9 2 2 2 4 2 3" xfId="21844" xr:uid="{28FB05B6-0303-4A48-828A-77FA842A119F}"/>
    <cellStyle name="Normal 9 2 2 2 4 2 4" xfId="30291" xr:uid="{75E3764E-5138-4D35-B1D4-C34C42491482}"/>
    <cellStyle name="Normal 9 2 2 2 4 2 5" xfId="38738" xr:uid="{B5C716A1-428E-4B7A-9F48-B5BE2F4D9583}"/>
    <cellStyle name="Normal 9 2 2 2 4 2 6" xfId="12544" xr:uid="{2876A4ED-417B-4514-BAB1-7FEFAB2F3126}"/>
    <cellStyle name="Normal 9 2 2 2 4 3" xfId="5290" xr:uid="{00000000-0005-0000-0000-0000AE1E0000}"/>
    <cellStyle name="Normal 9 2 2 2 4 3 2" xfId="23916" xr:uid="{7E660327-CBD1-4BBA-BD00-80B60F49C0B7}"/>
    <cellStyle name="Normal 9 2 2 2 4 3 3" xfId="32363" xr:uid="{5981E44D-4282-4105-B3D8-8A47A983E38F}"/>
    <cellStyle name="Normal 9 2 2 2 4 3 4" xfId="40810" xr:uid="{1A04CCB0-C512-454A-A019-FBFB5A198268}"/>
    <cellStyle name="Normal 9 2 2 2 4 3 5" xfId="14616" xr:uid="{034B2298-22D2-4627-9677-C2DA3531FF8B}"/>
    <cellStyle name="Normal 9 2 2 2 4 4" xfId="9264" xr:uid="{0137E036-48D9-4B3B-9B73-0002A19DDE9E}"/>
    <cellStyle name="Normal 9 2 2 2 4 4 2" xfId="18580" xr:uid="{5A25BA63-2E41-409B-97E5-19A7DA072E5A}"/>
    <cellStyle name="Normal 9 2 2 2 4 5" xfId="19699" xr:uid="{8DDDAA9B-F40A-4196-A454-1B2DCD6CD152}"/>
    <cellStyle name="Normal 9 2 2 2 4 6" xfId="28146" xr:uid="{253DF9B9-195D-462C-B608-AF0D7809C760}"/>
    <cellStyle name="Normal 9 2 2 2 4 7" xfId="36593" xr:uid="{9B7D5D62-4F34-4C26-A22D-F980FE8F57CF}"/>
    <cellStyle name="Normal 9 2 2 2 4 8" xfId="10399" xr:uid="{6AFE3598-0AF4-4772-B550-F06DF587C727}"/>
    <cellStyle name="Normal 9 2 2 2 5" xfId="1396" xr:uid="{00000000-0005-0000-0000-0000AF1E0000}"/>
    <cellStyle name="Normal 9 2 2 2 5 2" xfId="3626" xr:uid="{00000000-0005-0000-0000-0000B01E0000}"/>
    <cellStyle name="Normal 9 2 2 2 5 2 2" xfId="7848" xr:uid="{00000000-0005-0000-0000-0000B11E0000}"/>
    <cellStyle name="Normal 9 2 2 2 5 2 2 2" xfId="26474" xr:uid="{D6E1F660-7E68-4557-8603-9EE041D96638}"/>
    <cellStyle name="Normal 9 2 2 2 5 2 2 3" xfId="34921" xr:uid="{0C7AE6E0-13DC-4C59-A742-3E81BCB0D1D8}"/>
    <cellStyle name="Normal 9 2 2 2 5 2 2 4" xfId="43368" xr:uid="{CEF7D17D-1BA1-40B4-9809-AFA25661CEDA}"/>
    <cellStyle name="Normal 9 2 2 2 5 2 2 5" xfId="17174" xr:uid="{0297AEA4-DE77-4C7C-81FD-F18793FD5048}"/>
    <cellStyle name="Normal 9 2 2 2 5 2 3" xfId="22257" xr:uid="{FA8D29DD-1FEC-4D2F-B268-CD5266F7E56D}"/>
    <cellStyle name="Normal 9 2 2 2 5 2 4" xfId="30704" xr:uid="{7C3FE8C0-3E17-4AA8-9882-582ED46BE285}"/>
    <cellStyle name="Normal 9 2 2 2 5 2 5" xfId="39151" xr:uid="{AFE60152-920F-45D8-B580-FACB5BBEF6B2}"/>
    <cellStyle name="Normal 9 2 2 2 5 2 6" xfId="12957" xr:uid="{4C6D9123-2F08-4865-A2D3-32C1CF71F052}"/>
    <cellStyle name="Normal 9 2 2 2 5 3" xfId="5703" xr:uid="{00000000-0005-0000-0000-0000B21E0000}"/>
    <cellStyle name="Normal 9 2 2 2 5 3 2" xfId="24329" xr:uid="{B683E41B-D015-4E2A-AFB5-7F905D5A5ECD}"/>
    <cellStyle name="Normal 9 2 2 2 5 3 3" xfId="32776" xr:uid="{17B490C3-4B08-4025-B76A-40005B209BA6}"/>
    <cellStyle name="Normal 9 2 2 2 5 3 4" xfId="41223" xr:uid="{1F548C76-C266-48F9-9C2E-1442E9E6B06B}"/>
    <cellStyle name="Normal 9 2 2 2 5 3 5" xfId="15029" xr:uid="{DED4D520-9E0D-4B04-8B54-56E8976052E4}"/>
    <cellStyle name="Normal 9 2 2 2 5 4" xfId="20112" xr:uid="{5BC8CA40-D363-425F-9C5F-ECC7390B4990}"/>
    <cellStyle name="Normal 9 2 2 2 5 5" xfId="28559" xr:uid="{7618A4B7-E36A-4CDA-A89C-41F6C3062506}"/>
    <cellStyle name="Normal 9 2 2 2 5 6" xfId="37006" xr:uid="{618C5A0F-FE52-4862-A0DD-AF536D0E32D4}"/>
    <cellStyle name="Normal 9 2 2 2 5 7" xfId="10812" xr:uid="{9B6DCDA5-FE01-4FC3-99DE-5035B99535CA}"/>
    <cellStyle name="Normal 9 2 2 2 6" xfId="1809" xr:uid="{00000000-0005-0000-0000-0000B31E0000}"/>
    <cellStyle name="Normal 9 2 2 2 6 2" xfId="4039" xr:uid="{00000000-0005-0000-0000-0000B41E0000}"/>
    <cellStyle name="Normal 9 2 2 2 6 2 2" xfId="8261" xr:uid="{00000000-0005-0000-0000-0000B51E0000}"/>
    <cellStyle name="Normal 9 2 2 2 6 2 2 2" xfId="26887" xr:uid="{67CEF58A-3E94-4011-8D67-CFB5430FEA44}"/>
    <cellStyle name="Normal 9 2 2 2 6 2 2 3" xfId="35334" xr:uid="{A4B595AB-29C2-4DEF-AEFE-6556F637A25E}"/>
    <cellStyle name="Normal 9 2 2 2 6 2 2 4" xfId="43781" xr:uid="{E203C406-216F-4CE5-9782-750E1469DA3D}"/>
    <cellStyle name="Normal 9 2 2 2 6 2 2 5" xfId="17587" xr:uid="{FDB4015E-6DE6-4DD0-AE74-FD84A742B47A}"/>
    <cellStyle name="Normal 9 2 2 2 6 2 3" xfId="22670" xr:uid="{89E37129-5CD5-4E0B-B284-99A84E558A73}"/>
    <cellStyle name="Normal 9 2 2 2 6 2 4" xfId="31117" xr:uid="{00F32CFD-553F-4447-8954-CF4CB0138C3C}"/>
    <cellStyle name="Normal 9 2 2 2 6 2 5" xfId="39564" xr:uid="{63A36989-B60D-48AC-AC6F-DE660620A6B8}"/>
    <cellStyle name="Normal 9 2 2 2 6 2 6" xfId="13370" xr:uid="{95AD1A6E-9927-4B97-8040-5DD2B23CBB12}"/>
    <cellStyle name="Normal 9 2 2 2 6 3" xfId="6116" xr:uid="{00000000-0005-0000-0000-0000B61E0000}"/>
    <cellStyle name="Normal 9 2 2 2 6 3 2" xfId="24742" xr:uid="{21D6563E-33E7-4237-84A2-EA8CBB6389AD}"/>
    <cellStyle name="Normal 9 2 2 2 6 3 3" xfId="33189" xr:uid="{943A22F6-504B-4CFF-94AA-2651673D105F}"/>
    <cellStyle name="Normal 9 2 2 2 6 3 4" xfId="41636" xr:uid="{C353D02D-68E7-4176-86DF-F4F3920578D2}"/>
    <cellStyle name="Normal 9 2 2 2 6 3 5" xfId="15442" xr:uid="{BB37B4D0-F26A-483A-BC56-061D877FB545}"/>
    <cellStyle name="Normal 9 2 2 2 6 4" xfId="20525" xr:uid="{D4311729-C743-4033-8A30-929E7659304A}"/>
    <cellStyle name="Normal 9 2 2 2 6 5" xfId="28972" xr:uid="{A0ADF3FF-4C33-4EED-9163-06D1E0F66D53}"/>
    <cellStyle name="Normal 9 2 2 2 6 6" xfId="37419" xr:uid="{0382E200-9069-4BCE-BB2A-25B7F6230945}"/>
    <cellStyle name="Normal 9 2 2 2 6 7" xfId="11225" xr:uid="{4709C97B-7B6D-4423-AA8D-473380095502}"/>
    <cellStyle name="Normal 9 2 2 2 7" xfId="2223" xr:uid="{00000000-0005-0000-0000-0000B71E0000}"/>
    <cellStyle name="Normal 9 2 2 2 7 2" xfId="4452" xr:uid="{00000000-0005-0000-0000-0000B81E0000}"/>
    <cellStyle name="Normal 9 2 2 2 7 2 2" xfId="8674" xr:uid="{00000000-0005-0000-0000-0000B91E0000}"/>
    <cellStyle name="Normal 9 2 2 2 7 2 2 2" xfId="27300" xr:uid="{4017696B-B2B7-4C68-9699-92298E688254}"/>
    <cellStyle name="Normal 9 2 2 2 7 2 2 3" xfId="35747" xr:uid="{0061FD35-FD57-4BD2-A341-BE7F56321921}"/>
    <cellStyle name="Normal 9 2 2 2 7 2 2 4" xfId="44194" xr:uid="{0A17072C-9D58-46FE-A7B0-45CC0FA45D78}"/>
    <cellStyle name="Normal 9 2 2 2 7 2 2 5" xfId="18000" xr:uid="{7E8FED99-4C65-4B39-A46D-AE7AAC34DE9C}"/>
    <cellStyle name="Normal 9 2 2 2 7 2 3" xfId="23083" xr:uid="{CD038324-084F-403F-9D00-BF5F78A72A17}"/>
    <cellStyle name="Normal 9 2 2 2 7 2 4" xfId="31530" xr:uid="{620B2FC0-12DF-4370-92F1-D32FAE20A27D}"/>
    <cellStyle name="Normal 9 2 2 2 7 2 5" xfId="39977" xr:uid="{A3D89A1D-FD64-4095-A644-1F4C6C606998}"/>
    <cellStyle name="Normal 9 2 2 2 7 2 6" xfId="13783" xr:uid="{727596B4-CF40-4C6A-B54E-BD86ECC939EF}"/>
    <cellStyle name="Normal 9 2 2 2 7 3" xfId="6529" xr:uid="{00000000-0005-0000-0000-0000BA1E0000}"/>
    <cellStyle name="Normal 9 2 2 2 7 3 2" xfId="25155" xr:uid="{2E0BB8EA-7927-4736-88BB-13FA31FC1ABE}"/>
    <cellStyle name="Normal 9 2 2 2 7 3 3" xfId="33602" xr:uid="{0DB51DFC-AE24-4FA2-8A05-CF517FF3CF1A}"/>
    <cellStyle name="Normal 9 2 2 2 7 3 4" xfId="42049" xr:uid="{4D3E6C89-3A70-429F-9D16-6B658A6940B9}"/>
    <cellStyle name="Normal 9 2 2 2 7 3 5" xfId="15855" xr:uid="{4C73EE91-DF10-4C57-A4F7-F87367B85DAA}"/>
    <cellStyle name="Normal 9 2 2 2 7 4" xfId="20938" xr:uid="{AD22DD68-0105-4612-ACF5-BE0C982EFB35}"/>
    <cellStyle name="Normal 9 2 2 2 7 5" xfId="29385" xr:uid="{BE4A2425-2E31-4489-B553-CBB14CDB6A2D}"/>
    <cellStyle name="Normal 9 2 2 2 7 6" xfId="37832" xr:uid="{0A4A5941-D6D2-465C-A424-EA8B8F5F05E8}"/>
    <cellStyle name="Normal 9 2 2 2 7 7" xfId="11638" xr:uid="{BFD25AD1-5284-4A3E-AEDE-AE0A835FF748}"/>
    <cellStyle name="Normal 9 2 2 2 8" xfId="2659" xr:uid="{00000000-0005-0000-0000-0000BB1E0000}"/>
    <cellStyle name="Normal 9 2 2 2 8 2" xfId="6942" xr:uid="{00000000-0005-0000-0000-0000BC1E0000}"/>
    <cellStyle name="Normal 9 2 2 2 8 2 2" xfId="25568" xr:uid="{535C0485-6CDE-4AD6-801B-DE902C0900B9}"/>
    <cellStyle name="Normal 9 2 2 2 8 2 3" xfId="34015" xr:uid="{28302CBA-12EC-47F0-B5FD-57CBDA1B2140}"/>
    <cellStyle name="Normal 9 2 2 2 8 2 4" xfId="42462" xr:uid="{3046221F-C0D6-4738-AA9B-EDD0343ED92A}"/>
    <cellStyle name="Normal 9 2 2 2 8 2 5" xfId="16268" xr:uid="{43478751-54B5-480A-A9AF-543A751E970D}"/>
    <cellStyle name="Normal 9 2 2 2 8 3" xfId="21351" xr:uid="{400DCEE9-2491-41D1-A201-10D9E62BE097}"/>
    <cellStyle name="Normal 9 2 2 2 8 4" xfId="29798" xr:uid="{23A947E9-C70B-4F8D-B699-52B6B1918B46}"/>
    <cellStyle name="Normal 9 2 2 2 8 5" xfId="38245" xr:uid="{28B1B672-B9C3-4B60-89A7-BB6F9E8D24E9}"/>
    <cellStyle name="Normal 9 2 2 2 8 6" xfId="12051" xr:uid="{B89883F8-36DE-4CBB-BBF8-6812D52CAF9C}"/>
    <cellStyle name="Normal 9 2 2 2 9" xfId="4877" xr:uid="{00000000-0005-0000-0000-0000BD1E0000}"/>
    <cellStyle name="Normal 9 2 2 2 9 2" xfId="23503" xr:uid="{95F1A311-3BCC-42F1-84C7-F5084877B93C}"/>
    <cellStyle name="Normal 9 2 2 2 9 3" xfId="31950" xr:uid="{689A99AE-AAA8-489D-9C27-E5A3ECD95667}"/>
    <cellStyle name="Normal 9 2 2 2 9 4" xfId="40397" xr:uid="{6FEECB5D-C745-43B8-ADCC-C2CA5ECAA433}"/>
    <cellStyle name="Normal 9 2 2 2 9 5" xfId="14203" xr:uid="{5F94BC57-8E51-442C-BFA5-84B6B513BB5B}"/>
    <cellStyle name="Normal 9 2 2 3" xfId="517" xr:uid="{00000000-0005-0000-0000-0000BE1E0000}"/>
    <cellStyle name="Normal 9 2 2 3 10" xfId="19290" xr:uid="{635693D9-10F7-4A06-98D9-22E83B4A01E3}"/>
    <cellStyle name="Normal 9 2 2 3 11" xfId="27737" xr:uid="{44F89237-CC1F-40C0-B6AA-1986D0F13819}"/>
    <cellStyle name="Normal 9 2 2 3 12" xfId="36184" xr:uid="{C46577C7-DEC7-4CC8-9027-0A958150919C}"/>
    <cellStyle name="Normal 9 2 2 3 13" xfId="9990" xr:uid="{3F733B36-4B3A-4196-9C4F-B36B187D646D}"/>
    <cellStyle name="Normal 9 2 2 3 2" xfId="518" xr:uid="{00000000-0005-0000-0000-0000BF1E0000}"/>
    <cellStyle name="Normal 9 2 2 3 2 10" xfId="27738" xr:uid="{638D59FB-1AA6-4614-BE29-EB56B00915E8}"/>
    <cellStyle name="Normal 9 2 2 3 2 11" xfId="36185" xr:uid="{6FCF4050-C093-45B9-A5E6-FB99BEAB17F7}"/>
    <cellStyle name="Normal 9 2 2 3 2 12" xfId="9991" xr:uid="{431E8FB6-0C3D-4F31-9A74-B34051DF411C}"/>
    <cellStyle name="Normal 9 2 2 3 2 2" xfId="985" xr:uid="{00000000-0005-0000-0000-0000C01E0000}"/>
    <cellStyle name="Normal 9 2 2 3 2 2 2" xfId="3218" xr:uid="{00000000-0005-0000-0000-0000C11E0000}"/>
    <cellStyle name="Normal 9 2 2 3 2 2 2 2" xfId="7440" xr:uid="{00000000-0005-0000-0000-0000C21E0000}"/>
    <cellStyle name="Normal 9 2 2 3 2 2 2 2 2" xfId="26066" xr:uid="{41254996-EFB3-41AF-85BC-235C12F936B6}"/>
    <cellStyle name="Normal 9 2 2 3 2 2 2 2 3" xfId="34513" xr:uid="{432F7571-69EA-45CB-B587-069D47CA924D}"/>
    <cellStyle name="Normal 9 2 2 3 2 2 2 2 4" xfId="42960" xr:uid="{831E972E-C438-4A0D-A28E-07BC00C6C8BB}"/>
    <cellStyle name="Normal 9 2 2 3 2 2 2 2 5" xfId="16766" xr:uid="{4BFF8013-69BD-481D-A097-6039A477BD37}"/>
    <cellStyle name="Normal 9 2 2 3 2 2 2 3" xfId="21849" xr:uid="{702B777C-810B-44C4-9810-48BF7FC8F20A}"/>
    <cellStyle name="Normal 9 2 2 3 2 2 2 4" xfId="30296" xr:uid="{773C4307-1F26-4A8C-BAE2-BD714C3E475A}"/>
    <cellStyle name="Normal 9 2 2 3 2 2 2 5" xfId="38743" xr:uid="{F2252C09-F7BA-4207-8A91-2CF154E30AF3}"/>
    <cellStyle name="Normal 9 2 2 3 2 2 2 6" xfId="12549" xr:uid="{060E245E-4D0E-41D9-B7DD-591B912B212C}"/>
    <cellStyle name="Normal 9 2 2 3 2 2 3" xfId="5295" xr:uid="{00000000-0005-0000-0000-0000C31E0000}"/>
    <cellStyle name="Normal 9 2 2 3 2 2 3 2" xfId="23921" xr:uid="{1C55905B-98D8-4C8D-94AA-3C56D0E3AE32}"/>
    <cellStyle name="Normal 9 2 2 3 2 2 3 3" xfId="32368" xr:uid="{948DC1A6-FE9E-4475-864A-81B86DAA68B3}"/>
    <cellStyle name="Normal 9 2 2 3 2 2 3 4" xfId="40815" xr:uid="{D9C4F568-D08C-4A29-914C-0ABDC5681032}"/>
    <cellStyle name="Normal 9 2 2 3 2 2 3 5" xfId="14621" xr:uid="{F6F5B55D-44B3-4918-994E-298C030636D3}"/>
    <cellStyle name="Normal 9 2 2 3 2 2 4" xfId="9520" xr:uid="{57CFBD10-691F-4DF8-8020-B75E98FF60DD}"/>
    <cellStyle name="Normal 9 2 2 3 2 2 4 2" xfId="18836" xr:uid="{369F4AB8-39F7-4022-A34F-D443B228F3A9}"/>
    <cellStyle name="Normal 9 2 2 3 2 2 5" xfId="19704" xr:uid="{47802880-EAA8-405E-BA59-51DBEA81D1F8}"/>
    <cellStyle name="Normal 9 2 2 3 2 2 6" xfId="28151" xr:uid="{E71379F0-02EA-498F-9D1E-F9F476585C4A}"/>
    <cellStyle name="Normal 9 2 2 3 2 2 7" xfId="36598" xr:uid="{677C26C4-56AC-4708-96A5-BCDD6F8EC6C8}"/>
    <cellStyle name="Normal 9 2 2 3 2 2 8" xfId="10404" xr:uid="{21B5E6AD-3CA9-4AA0-B8D7-C1692969CCD0}"/>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2 2 2" xfId="26479" xr:uid="{69EFA1BA-1266-4D9B-BC6F-AB08F514A7E1}"/>
    <cellStyle name="Normal 9 2 2 3 2 3 2 2 3" xfId="34926" xr:uid="{E5B19DFE-508D-425A-B1FE-9A562C767D78}"/>
    <cellStyle name="Normal 9 2 2 3 2 3 2 2 4" xfId="43373" xr:uid="{2197A58D-1478-4BE8-AAA4-7E1F9247FEE0}"/>
    <cellStyle name="Normal 9 2 2 3 2 3 2 2 5" xfId="17179" xr:uid="{BA162F35-3CB9-434C-B094-47CE2ED14D4A}"/>
    <cellStyle name="Normal 9 2 2 3 2 3 2 3" xfId="22262" xr:uid="{111B7939-D35F-4F08-9506-07701174FBC4}"/>
    <cellStyle name="Normal 9 2 2 3 2 3 2 4" xfId="30709" xr:uid="{367D1EAA-DD37-4FDA-8A49-3480A66FC0F8}"/>
    <cellStyle name="Normal 9 2 2 3 2 3 2 5" xfId="39156" xr:uid="{21995B17-1161-46B6-B069-625D1C1F1962}"/>
    <cellStyle name="Normal 9 2 2 3 2 3 2 6" xfId="12962" xr:uid="{35EA3549-95C0-421F-9DA4-EF56FFAEB41C}"/>
    <cellStyle name="Normal 9 2 2 3 2 3 3" xfId="5708" xr:uid="{00000000-0005-0000-0000-0000C71E0000}"/>
    <cellStyle name="Normal 9 2 2 3 2 3 3 2" xfId="24334" xr:uid="{75B5FDCA-435C-42C8-8A04-07C90E26FC31}"/>
    <cellStyle name="Normal 9 2 2 3 2 3 3 3" xfId="32781" xr:uid="{32E34CBC-4FCC-4554-A09D-0418D513D059}"/>
    <cellStyle name="Normal 9 2 2 3 2 3 3 4" xfId="41228" xr:uid="{E8229272-5C75-4892-BDE4-D9A0A5B569AD}"/>
    <cellStyle name="Normal 9 2 2 3 2 3 3 5" xfId="15034" xr:uid="{2E016F25-2EF1-40D5-8885-AC236A3AC93A}"/>
    <cellStyle name="Normal 9 2 2 3 2 3 4" xfId="20117" xr:uid="{1E037C60-2A98-4729-A25B-84F1E64EC9AD}"/>
    <cellStyle name="Normal 9 2 2 3 2 3 5" xfId="28564" xr:uid="{E89AB702-18E3-4153-9CDC-49440289180C}"/>
    <cellStyle name="Normal 9 2 2 3 2 3 6" xfId="37011" xr:uid="{4BB8BD76-4D36-400B-B417-BB7EC5ACF33B}"/>
    <cellStyle name="Normal 9 2 2 3 2 3 7" xfId="10817" xr:uid="{51711108-A249-469E-9124-B741050F5166}"/>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2 2 2" xfId="26892" xr:uid="{02B78AFF-E9C3-445B-86D0-B995561B476C}"/>
    <cellStyle name="Normal 9 2 2 3 2 4 2 2 3" xfId="35339" xr:uid="{829C0660-1E97-4AFE-B2F3-1718D0AB6A1F}"/>
    <cellStyle name="Normal 9 2 2 3 2 4 2 2 4" xfId="43786" xr:uid="{7672DCA6-4146-4A6A-965C-0E0BC662093F}"/>
    <cellStyle name="Normal 9 2 2 3 2 4 2 2 5" xfId="17592" xr:uid="{0395C17B-EE14-4934-9D24-EF53B1C9FA6D}"/>
    <cellStyle name="Normal 9 2 2 3 2 4 2 3" xfId="22675" xr:uid="{6677F68B-AEFC-4E3B-8F45-89614BB654D2}"/>
    <cellStyle name="Normal 9 2 2 3 2 4 2 4" xfId="31122" xr:uid="{BE16F744-4955-4B02-B8EC-560C8031BCFF}"/>
    <cellStyle name="Normal 9 2 2 3 2 4 2 5" xfId="39569" xr:uid="{3FD22221-1B8A-4D54-B2C0-BBE4A81432DD}"/>
    <cellStyle name="Normal 9 2 2 3 2 4 2 6" xfId="13375" xr:uid="{293AE127-80AC-4E8A-8D63-83C3F5F1BB4B}"/>
    <cellStyle name="Normal 9 2 2 3 2 4 3" xfId="6121" xr:uid="{00000000-0005-0000-0000-0000CB1E0000}"/>
    <cellStyle name="Normal 9 2 2 3 2 4 3 2" xfId="24747" xr:uid="{DAA4580B-8C7F-4A44-AFB8-DD201D597210}"/>
    <cellStyle name="Normal 9 2 2 3 2 4 3 3" xfId="33194" xr:uid="{F00B50C4-ADC4-4863-B234-366A7BAE4546}"/>
    <cellStyle name="Normal 9 2 2 3 2 4 3 4" xfId="41641" xr:uid="{9AB5190A-7C07-436E-A4B7-A84D7E770167}"/>
    <cellStyle name="Normal 9 2 2 3 2 4 3 5" xfId="15447" xr:uid="{B31274B9-9A01-4DEC-A8C3-D562E71BAF93}"/>
    <cellStyle name="Normal 9 2 2 3 2 4 4" xfId="20530" xr:uid="{018055A3-F668-4F8D-B8EB-9A05BA21D266}"/>
    <cellStyle name="Normal 9 2 2 3 2 4 5" xfId="28977" xr:uid="{A00EA63F-7CEE-45C5-8337-0967EEC25C2B}"/>
    <cellStyle name="Normal 9 2 2 3 2 4 6" xfId="37424" xr:uid="{4B162739-3120-437C-8C12-F6B6A531DCA3}"/>
    <cellStyle name="Normal 9 2 2 3 2 4 7" xfId="11230" xr:uid="{AF83B0A0-763B-4891-9722-A1E04379699C}"/>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2 2 2" xfId="27305" xr:uid="{06D10F5C-9E82-4F59-B883-0BA6035F2640}"/>
    <cellStyle name="Normal 9 2 2 3 2 5 2 2 3" xfId="35752" xr:uid="{D8210C65-EBE4-4EFB-908B-5A01FE98BAD3}"/>
    <cellStyle name="Normal 9 2 2 3 2 5 2 2 4" xfId="44199" xr:uid="{4B51161D-771F-4B00-99AB-163A39C8BBCD}"/>
    <cellStyle name="Normal 9 2 2 3 2 5 2 2 5" xfId="18005" xr:uid="{F297EF70-B76C-40A9-AEFB-7DBA01B145D8}"/>
    <cellStyle name="Normal 9 2 2 3 2 5 2 3" xfId="23088" xr:uid="{0CF77911-DACC-41AB-8C69-DFF39A58F861}"/>
    <cellStyle name="Normal 9 2 2 3 2 5 2 4" xfId="31535" xr:uid="{41D38830-94C0-4F30-BB94-C9FEB7EF5023}"/>
    <cellStyle name="Normal 9 2 2 3 2 5 2 5" xfId="39982" xr:uid="{E894DDD3-AB47-4745-B998-C26AB85BB658}"/>
    <cellStyle name="Normal 9 2 2 3 2 5 2 6" xfId="13788" xr:uid="{90B690C8-77CE-4A33-A7CF-78B1EBAFFC06}"/>
    <cellStyle name="Normal 9 2 2 3 2 5 3" xfId="6534" xr:uid="{00000000-0005-0000-0000-0000CF1E0000}"/>
    <cellStyle name="Normal 9 2 2 3 2 5 3 2" xfId="25160" xr:uid="{B1F25BE8-F3A8-4F2C-8B02-6DC1036A45E9}"/>
    <cellStyle name="Normal 9 2 2 3 2 5 3 3" xfId="33607" xr:uid="{B5CE79D9-899F-45E1-B18F-19BD780CFC8B}"/>
    <cellStyle name="Normal 9 2 2 3 2 5 3 4" xfId="42054" xr:uid="{7C54700E-1DAF-434A-9F8B-EA3C232EC0AE}"/>
    <cellStyle name="Normal 9 2 2 3 2 5 3 5" xfId="15860" xr:uid="{C6F50C01-CA99-4C84-9332-C38D38ED5BF1}"/>
    <cellStyle name="Normal 9 2 2 3 2 5 4" xfId="20943" xr:uid="{BCE78BAC-FBEB-49D4-9EC1-19F7A31E4C35}"/>
    <cellStyle name="Normal 9 2 2 3 2 5 5" xfId="29390" xr:uid="{1B342729-978E-479C-A031-A2677C869C04}"/>
    <cellStyle name="Normal 9 2 2 3 2 5 6" xfId="37837" xr:uid="{E3129095-3E3A-4617-B36D-464793CB61BA}"/>
    <cellStyle name="Normal 9 2 2 3 2 5 7" xfId="11643" xr:uid="{3E038387-4A03-4913-B46A-53BB2ABB6C77}"/>
    <cellStyle name="Normal 9 2 2 3 2 6" xfId="2664" xr:uid="{00000000-0005-0000-0000-0000D01E0000}"/>
    <cellStyle name="Normal 9 2 2 3 2 6 2" xfId="6947" xr:uid="{00000000-0005-0000-0000-0000D11E0000}"/>
    <cellStyle name="Normal 9 2 2 3 2 6 2 2" xfId="25573" xr:uid="{23C5ECBA-93A3-4685-A61F-CBD6882A3990}"/>
    <cellStyle name="Normal 9 2 2 3 2 6 2 3" xfId="34020" xr:uid="{2A6EE80D-F8DF-42AC-AF1F-1B6DC65DD344}"/>
    <cellStyle name="Normal 9 2 2 3 2 6 2 4" xfId="42467" xr:uid="{FA91AF96-AD45-4F43-B2D6-2642AC257A3A}"/>
    <cellStyle name="Normal 9 2 2 3 2 6 2 5" xfId="16273" xr:uid="{5BFFB20F-2B45-46EE-81DC-98B3328BB44A}"/>
    <cellStyle name="Normal 9 2 2 3 2 6 3" xfId="21356" xr:uid="{4A3A5B51-7CAA-4E5B-B5BD-8B0B0679057A}"/>
    <cellStyle name="Normal 9 2 2 3 2 6 4" xfId="29803" xr:uid="{748D4FB9-77C8-4DE0-85E2-9F80E450D5DE}"/>
    <cellStyle name="Normal 9 2 2 3 2 6 5" xfId="38250" xr:uid="{269074FC-F656-4EFA-92AB-8C166E9EEE6D}"/>
    <cellStyle name="Normal 9 2 2 3 2 6 6" xfId="12056" xr:uid="{764011CD-5A12-4CE1-8378-18E225FC0AA8}"/>
    <cellStyle name="Normal 9 2 2 3 2 7" xfId="4882" xr:uid="{00000000-0005-0000-0000-0000D21E0000}"/>
    <cellStyle name="Normal 9 2 2 3 2 7 2" xfId="23508" xr:uid="{27E6D375-EE58-4461-8C09-1DAC0C2FB518}"/>
    <cellStyle name="Normal 9 2 2 3 2 7 3" xfId="31955" xr:uid="{311DE520-8BFD-49A1-9994-DA9FDDE34D98}"/>
    <cellStyle name="Normal 9 2 2 3 2 7 4" xfId="40402" xr:uid="{9D192DCF-011B-46B9-8784-182DA1E1B012}"/>
    <cellStyle name="Normal 9 2 2 3 2 7 5" xfId="14208" xr:uid="{49207988-EA7A-4ED7-BCEC-C237072B8BE8}"/>
    <cellStyle name="Normal 9 2 2 3 2 8" xfId="9095" xr:uid="{D95088B7-D227-4E97-A9B9-DA61436DD386}"/>
    <cellStyle name="Normal 9 2 2 3 2 8 2" xfId="18419" xr:uid="{0D98C519-5C65-49FC-9CA1-CD40D27DD3E7}"/>
    <cellStyle name="Normal 9 2 2 3 2 9" xfId="19291" xr:uid="{72E42EEC-5610-4DDD-B7B6-2465030032E4}"/>
    <cellStyle name="Normal 9 2 2 3 3" xfId="984" xr:uid="{00000000-0005-0000-0000-0000D31E0000}"/>
    <cellStyle name="Normal 9 2 2 3 3 2" xfId="3217" xr:uid="{00000000-0005-0000-0000-0000D41E0000}"/>
    <cellStyle name="Normal 9 2 2 3 3 2 2" xfId="7439" xr:uid="{00000000-0005-0000-0000-0000D51E0000}"/>
    <cellStyle name="Normal 9 2 2 3 3 2 2 2" xfId="26065" xr:uid="{349D4F94-C9AA-46DE-AC77-E5753D461BDE}"/>
    <cellStyle name="Normal 9 2 2 3 3 2 2 3" xfId="34512" xr:uid="{701C6D26-5D0E-4FD5-81DA-71AA53292B17}"/>
    <cellStyle name="Normal 9 2 2 3 3 2 2 4" xfId="42959" xr:uid="{A1E19271-DAAA-4D0C-98E3-ADB2DDE1C367}"/>
    <cellStyle name="Normal 9 2 2 3 3 2 2 5" xfId="16765" xr:uid="{665F5F94-990C-4AF3-B1C0-7F857FC84BC4}"/>
    <cellStyle name="Normal 9 2 2 3 3 2 3" xfId="21848" xr:uid="{544953B3-2C20-4EB4-8A60-F6E07A6E7780}"/>
    <cellStyle name="Normal 9 2 2 3 3 2 4" xfId="30295" xr:uid="{E9A6D606-1734-4D00-960D-8B1D2C777CE9}"/>
    <cellStyle name="Normal 9 2 2 3 3 2 5" xfId="38742" xr:uid="{AB4812A4-87A7-4EC1-98F5-2289CD59D224}"/>
    <cellStyle name="Normal 9 2 2 3 3 2 6" xfId="12548" xr:uid="{8518EBFF-178D-483C-BC17-6ED041AB9959}"/>
    <cellStyle name="Normal 9 2 2 3 3 3" xfId="5294" xr:uid="{00000000-0005-0000-0000-0000D61E0000}"/>
    <cellStyle name="Normal 9 2 2 3 3 3 2" xfId="23920" xr:uid="{ED3F93B0-B2E1-4F08-928E-D9AAFF9EA12F}"/>
    <cellStyle name="Normal 9 2 2 3 3 3 3" xfId="32367" xr:uid="{EDD30E29-EB2D-4190-93D3-E7086601311A}"/>
    <cellStyle name="Normal 9 2 2 3 3 3 4" xfId="40814" xr:uid="{43D1BEE4-3127-4EE9-AB30-1EFD91A217E3}"/>
    <cellStyle name="Normal 9 2 2 3 3 3 5" xfId="14620" xr:uid="{B9AA411B-D592-45F9-814F-552046A92792}"/>
    <cellStyle name="Normal 9 2 2 3 3 4" xfId="9313" xr:uid="{FDDC600D-FDDD-4FFC-9820-DFD7E0768F33}"/>
    <cellStyle name="Normal 9 2 2 3 3 4 2" xfId="18629" xr:uid="{F0BDA58A-BE98-43CB-AA60-22AEFABA1718}"/>
    <cellStyle name="Normal 9 2 2 3 3 5" xfId="19703" xr:uid="{774CEF89-6E27-4D39-9301-D5E4562CC226}"/>
    <cellStyle name="Normal 9 2 2 3 3 6" xfId="28150" xr:uid="{FB48C931-E860-41C4-B042-C41B024981F2}"/>
    <cellStyle name="Normal 9 2 2 3 3 7" xfId="36597" xr:uid="{29DF31AC-7221-4CFF-ADD1-B437906DADD0}"/>
    <cellStyle name="Normal 9 2 2 3 3 8" xfId="10403" xr:uid="{5B11A71A-ADD1-4F0F-8569-3FE210592F3A}"/>
    <cellStyle name="Normal 9 2 2 3 4" xfId="1400" xr:uid="{00000000-0005-0000-0000-0000D71E0000}"/>
    <cellStyle name="Normal 9 2 2 3 4 2" xfId="3630" xr:uid="{00000000-0005-0000-0000-0000D81E0000}"/>
    <cellStyle name="Normal 9 2 2 3 4 2 2" xfId="7852" xr:uid="{00000000-0005-0000-0000-0000D91E0000}"/>
    <cellStyle name="Normal 9 2 2 3 4 2 2 2" xfId="26478" xr:uid="{4D9FCB58-946A-4265-9E66-E62AD90E0036}"/>
    <cellStyle name="Normal 9 2 2 3 4 2 2 3" xfId="34925" xr:uid="{4BB28BDB-DFC9-4A93-8AD8-6E4C92BBBD6D}"/>
    <cellStyle name="Normal 9 2 2 3 4 2 2 4" xfId="43372" xr:uid="{2C438E4B-4DE9-46A4-87E0-97AB668D1AE8}"/>
    <cellStyle name="Normal 9 2 2 3 4 2 2 5" xfId="17178" xr:uid="{A3CD295F-F0FD-462C-8AD8-93B5F0440C55}"/>
    <cellStyle name="Normal 9 2 2 3 4 2 3" xfId="22261" xr:uid="{03B78D88-8802-4AA4-B712-7B562F722D2A}"/>
    <cellStyle name="Normal 9 2 2 3 4 2 4" xfId="30708" xr:uid="{31626129-F79F-444C-86B5-A041E6926D9A}"/>
    <cellStyle name="Normal 9 2 2 3 4 2 5" xfId="39155" xr:uid="{DEC0363A-8EE1-4624-B44B-5D60AE5C9985}"/>
    <cellStyle name="Normal 9 2 2 3 4 2 6" xfId="12961" xr:uid="{B404EBD4-F819-49EE-8289-1BEB817FB9C4}"/>
    <cellStyle name="Normal 9 2 2 3 4 3" xfId="5707" xr:uid="{00000000-0005-0000-0000-0000DA1E0000}"/>
    <cellStyle name="Normal 9 2 2 3 4 3 2" xfId="24333" xr:uid="{5BCACFEA-A8FA-4213-B007-E4F680300EE8}"/>
    <cellStyle name="Normal 9 2 2 3 4 3 3" xfId="32780" xr:uid="{B5F08A8E-C473-40E5-AAC2-A6FFBDE04529}"/>
    <cellStyle name="Normal 9 2 2 3 4 3 4" xfId="41227" xr:uid="{E3A46614-FD6E-4F74-8518-D8FFCD2CEE6F}"/>
    <cellStyle name="Normal 9 2 2 3 4 3 5" xfId="15033" xr:uid="{85B19E0B-FB50-4B9E-A73A-03017BF70A30}"/>
    <cellStyle name="Normal 9 2 2 3 4 4" xfId="20116" xr:uid="{0A463AF9-10D6-45CD-8019-1CE818D7E4A5}"/>
    <cellStyle name="Normal 9 2 2 3 4 5" xfId="28563" xr:uid="{2E0B743C-FB75-4D87-AC77-F2D62C2FADDA}"/>
    <cellStyle name="Normal 9 2 2 3 4 6" xfId="37010" xr:uid="{823A1FB3-16CC-4BF5-8D45-9888AEC4C3BB}"/>
    <cellStyle name="Normal 9 2 2 3 4 7" xfId="10816" xr:uid="{D508E282-FE49-456B-BFDA-CE18434686F7}"/>
    <cellStyle name="Normal 9 2 2 3 5" xfId="1813" xr:uid="{00000000-0005-0000-0000-0000DB1E0000}"/>
    <cellStyle name="Normal 9 2 2 3 5 2" xfId="4043" xr:uid="{00000000-0005-0000-0000-0000DC1E0000}"/>
    <cellStyle name="Normal 9 2 2 3 5 2 2" xfId="8265" xr:uid="{00000000-0005-0000-0000-0000DD1E0000}"/>
    <cellStyle name="Normal 9 2 2 3 5 2 2 2" xfId="26891" xr:uid="{ADF6EA1F-B792-4772-8567-F58EB59FF9C7}"/>
    <cellStyle name="Normal 9 2 2 3 5 2 2 3" xfId="35338" xr:uid="{115B9A28-B9E9-47BF-9DBA-530CAF077884}"/>
    <cellStyle name="Normal 9 2 2 3 5 2 2 4" xfId="43785" xr:uid="{27EBEB9D-478B-49EC-A0F3-D76E8552CE37}"/>
    <cellStyle name="Normal 9 2 2 3 5 2 2 5" xfId="17591" xr:uid="{7AD5B6D4-C066-49D6-8A52-631A83D29CFC}"/>
    <cellStyle name="Normal 9 2 2 3 5 2 3" xfId="22674" xr:uid="{AA3FF2D6-6463-4F65-81DF-E1573EA55478}"/>
    <cellStyle name="Normal 9 2 2 3 5 2 4" xfId="31121" xr:uid="{902E8BF7-781E-4185-A6D8-71670308880C}"/>
    <cellStyle name="Normal 9 2 2 3 5 2 5" xfId="39568" xr:uid="{2AE5339D-5D2A-4B7E-8F91-1C78F3578657}"/>
    <cellStyle name="Normal 9 2 2 3 5 2 6" xfId="13374" xr:uid="{2309EF58-41DA-4B91-B044-B3687C80A0DA}"/>
    <cellStyle name="Normal 9 2 2 3 5 3" xfId="6120" xr:uid="{00000000-0005-0000-0000-0000DE1E0000}"/>
    <cellStyle name="Normal 9 2 2 3 5 3 2" xfId="24746" xr:uid="{EFB598AF-336E-4C24-B4D1-08FD480A4B0F}"/>
    <cellStyle name="Normal 9 2 2 3 5 3 3" xfId="33193" xr:uid="{9876499F-E0F4-459F-9F0D-140BD301BDE1}"/>
    <cellStyle name="Normal 9 2 2 3 5 3 4" xfId="41640" xr:uid="{9DB33D56-55EA-4238-B140-3E481608D3DB}"/>
    <cellStyle name="Normal 9 2 2 3 5 3 5" xfId="15446" xr:uid="{B474D80C-6035-4DEC-9DC5-2962539E93AA}"/>
    <cellStyle name="Normal 9 2 2 3 5 4" xfId="20529" xr:uid="{839527F9-8037-4D1B-B7C0-630A34D09061}"/>
    <cellStyle name="Normal 9 2 2 3 5 5" xfId="28976" xr:uid="{60D09C17-1496-4F29-B69C-2A313198526A}"/>
    <cellStyle name="Normal 9 2 2 3 5 6" xfId="37423" xr:uid="{0F095E58-FB4D-4208-8C78-F7A14E68C236}"/>
    <cellStyle name="Normal 9 2 2 3 5 7" xfId="11229" xr:uid="{617B24BD-FDA0-4666-B575-9752304A4916}"/>
    <cellStyle name="Normal 9 2 2 3 6" xfId="2227" xr:uid="{00000000-0005-0000-0000-0000DF1E0000}"/>
    <cellStyle name="Normal 9 2 2 3 6 2" xfId="4456" xr:uid="{00000000-0005-0000-0000-0000E01E0000}"/>
    <cellStyle name="Normal 9 2 2 3 6 2 2" xfId="8678" xr:uid="{00000000-0005-0000-0000-0000E11E0000}"/>
    <cellStyle name="Normal 9 2 2 3 6 2 2 2" xfId="27304" xr:uid="{8BD95B75-9D76-4FEF-889C-34CC14796420}"/>
    <cellStyle name="Normal 9 2 2 3 6 2 2 3" xfId="35751" xr:uid="{501FDCAE-5BF3-434B-ABFF-E0D816EBCF41}"/>
    <cellStyle name="Normal 9 2 2 3 6 2 2 4" xfId="44198" xr:uid="{AB8CED07-0700-4F04-B5B5-EA109C869170}"/>
    <cellStyle name="Normal 9 2 2 3 6 2 2 5" xfId="18004" xr:uid="{73D1B63B-AA10-45E9-BA99-47036AA88477}"/>
    <cellStyle name="Normal 9 2 2 3 6 2 3" xfId="23087" xr:uid="{2F36C1F4-6A91-4974-BE19-A5EF99A1E1A2}"/>
    <cellStyle name="Normal 9 2 2 3 6 2 4" xfId="31534" xr:uid="{C4ABED80-7BD0-4E1E-AD93-78CC47CB1971}"/>
    <cellStyle name="Normal 9 2 2 3 6 2 5" xfId="39981" xr:uid="{C35FB695-8082-43F9-91B3-6143B92E6CC7}"/>
    <cellStyle name="Normal 9 2 2 3 6 2 6" xfId="13787" xr:uid="{BEFFEC25-4EA9-4823-90E1-9AC16FB97F32}"/>
    <cellStyle name="Normal 9 2 2 3 6 3" xfId="6533" xr:uid="{00000000-0005-0000-0000-0000E21E0000}"/>
    <cellStyle name="Normal 9 2 2 3 6 3 2" xfId="25159" xr:uid="{0E9C45E7-9AAE-47F1-92D6-610058F16DB8}"/>
    <cellStyle name="Normal 9 2 2 3 6 3 3" xfId="33606" xr:uid="{C9B3085D-BAE1-4D41-89C0-2674F9C89519}"/>
    <cellStyle name="Normal 9 2 2 3 6 3 4" xfId="42053" xr:uid="{88AEC91C-707A-4B32-925F-8864B1816586}"/>
    <cellStyle name="Normal 9 2 2 3 6 3 5" xfId="15859" xr:uid="{FA3C853D-76B6-4932-8D8D-C3D90DC7FA4A}"/>
    <cellStyle name="Normal 9 2 2 3 6 4" xfId="20942" xr:uid="{6BA4B0A7-1207-4F2F-9DF6-5979621734E3}"/>
    <cellStyle name="Normal 9 2 2 3 6 5" xfId="29389" xr:uid="{E093FBFE-D821-4885-B062-CF364C676ABD}"/>
    <cellStyle name="Normal 9 2 2 3 6 6" xfId="37836" xr:uid="{FF0C6C01-3213-4DE9-8A33-BDF4440FC681}"/>
    <cellStyle name="Normal 9 2 2 3 6 7" xfId="11642" xr:uid="{B40A4B86-0D8A-4DA6-A7D5-9E7CFBB6CAA2}"/>
    <cellStyle name="Normal 9 2 2 3 7" xfId="2663" xr:uid="{00000000-0005-0000-0000-0000E31E0000}"/>
    <cellStyle name="Normal 9 2 2 3 7 2" xfId="6946" xr:uid="{00000000-0005-0000-0000-0000E41E0000}"/>
    <cellStyle name="Normal 9 2 2 3 7 2 2" xfId="25572" xr:uid="{F5C76A5C-F4BC-4061-A86E-EFD8BA43BB4F}"/>
    <cellStyle name="Normal 9 2 2 3 7 2 3" xfId="34019" xr:uid="{E65888E2-AD32-43CF-B67F-D9DAD449C51D}"/>
    <cellStyle name="Normal 9 2 2 3 7 2 4" xfId="42466" xr:uid="{751542EE-DE64-40A0-AB0E-DBAB7BB55D8B}"/>
    <cellStyle name="Normal 9 2 2 3 7 2 5" xfId="16272" xr:uid="{F96014F8-3500-44AA-B11D-8376F5B51B08}"/>
    <cellStyle name="Normal 9 2 2 3 7 3" xfId="21355" xr:uid="{51A69945-1556-4DB3-8BFE-04E7EDC75229}"/>
    <cellStyle name="Normal 9 2 2 3 7 4" xfId="29802" xr:uid="{55A75411-78C4-462C-B311-AD072C3DDC0F}"/>
    <cellStyle name="Normal 9 2 2 3 7 5" xfId="38249" xr:uid="{B7C5CB29-FED9-4BB4-8132-E49E56584D11}"/>
    <cellStyle name="Normal 9 2 2 3 7 6" xfId="12055" xr:uid="{CC94D7F3-ABE4-4722-87F2-E44B922596CB}"/>
    <cellStyle name="Normal 9 2 2 3 8" xfId="4881" xr:uid="{00000000-0005-0000-0000-0000E51E0000}"/>
    <cellStyle name="Normal 9 2 2 3 8 2" xfId="23507" xr:uid="{4E491DD4-9F0E-4EEB-B8D0-7423E045C7DB}"/>
    <cellStyle name="Normal 9 2 2 3 8 3" xfId="31954" xr:uid="{D383E852-7988-4631-B24B-38AB2B5C66B8}"/>
    <cellStyle name="Normal 9 2 2 3 8 4" xfId="40401" xr:uid="{929F6157-B9A4-4B91-87D7-BC5082098A5F}"/>
    <cellStyle name="Normal 9 2 2 3 8 5" xfId="14207" xr:uid="{6AC300A8-3520-4137-8AAD-A04ABD4D01F7}"/>
    <cellStyle name="Normal 9 2 2 3 9" xfId="8888" xr:uid="{47457178-62A7-4ACA-95A1-433BF4FD3D65}"/>
    <cellStyle name="Normal 9 2 2 3 9 2" xfId="18212" xr:uid="{5C4CA9AB-1F27-46DB-B30F-54C1490BF20E}"/>
    <cellStyle name="Normal 9 2 2 4" xfId="519" xr:uid="{00000000-0005-0000-0000-0000E61E0000}"/>
    <cellStyle name="Normal 9 2 2 4 10" xfId="27739" xr:uid="{716BE931-AE94-4317-A39F-F1C6CB3E6388}"/>
    <cellStyle name="Normal 9 2 2 4 11" xfId="36186" xr:uid="{4EB80E57-546E-4D87-992E-D454F684EF25}"/>
    <cellStyle name="Normal 9 2 2 4 12" xfId="9992" xr:uid="{F8A019EA-025C-4A38-B23C-0B8309B53785}"/>
    <cellStyle name="Normal 9 2 2 4 2" xfId="986" xr:uid="{00000000-0005-0000-0000-0000E71E0000}"/>
    <cellStyle name="Normal 9 2 2 4 2 2" xfId="3219" xr:uid="{00000000-0005-0000-0000-0000E81E0000}"/>
    <cellStyle name="Normal 9 2 2 4 2 2 2" xfId="7441" xr:uid="{00000000-0005-0000-0000-0000E91E0000}"/>
    <cellStyle name="Normal 9 2 2 4 2 2 2 2" xfId="26067" xr:uid="{BE2D1771-3EFA-488E-95A7-D9D3C48B96A2}"/>
    <cellStyle name="Normal 9 2 2 4 2 2 2 3" xfId="34514" xr:uid="{B9E6470E-68EE-49BF-8C14-175A551DA79E}"/>
    <cellStyle name="Normal 9 2 2 4 2 2 2 4" xfId="42961" xr:uid="{2072E3F9-D27D-47CF-9CFA-521A90C172ED}"/>
    <cellStyle name="Normal 9 2 2 4 2 2 2 5" xfId="16767" xr:uid="{ED896506-0439-46E9-BC56-6A4130C7513F}"/>
    <cellStyle name="Normal 9 2 2 4 2 2 3" xfId="21850" xr:uid="{ADD75B08-D496-4444-9ABF-3B37192670CE}"/>
    <cellStyle name="Normal 9 2 2 4 2 2 4" xfId="30297" xr:uid="{A1AED640-98EB-45B1-A631-E4DC0F8D4A5B}"/>
    <cellStyle name="Normal 9 2 2 4 2 2 5" xfId="38744" xr:uid="{1BE55E20-6790-481F-9AA3-C56A25F71E45}"/>
    <cellStyle name="Normal 9 2 2 4 2 2 6" xfId="12550" xr:uid="{EB7B8878-0AC6-46C3-8790-5BA42DBB7469}"/>
    <cellStyle name="Normal 9 2 2 4 2 3" xfId="5296" xr:uid="{00000000-0005-0000-0000-0000EA1E0000}"/>
    <cellStyle name="Normal 9 2 2 4 2 3 2" xfId="23922" xr:uid="{6FACFAB5-6C1C-4F0C-A132-4CD0755BEE9B}"/>
    <cellStyle name="Normal 9 2 2 4 2 3 3" xfId="32369" xr:uid="{00E8E3FC-F172-47D0-9864-4D6796119B09}"/>
    <cellStyle name="Normal 9 2 2 4 2 3 4" xfId="40816" xr:uid="{E8657B3A-0480-42A4-997F-B99E8AAD3F71}"/>
    <cellStyle name="Normal 9 2 2 4 2 3 5" xfId="14622" xr:uid="{B9FB8778-D149-46CA-8188-B598ADB743D4}"/>
    <cellStyle name="Normal 9 2 2 4 2 4" xfId="9417" xr:uid="{FDB8A679-B5B8-4E9B-808D-E68F6CA01958}"/>
    <cellStyle name="Normal 9 2 2 4 2 4 2" xfId="18733" xr:uid="{C17EC1F3-C475-4AFB-AB22-3F4E7B2F916A}"/>
    <cellStyle name="Normal 9 2 2 4 2 5" xfId="19705" xr:uid="{23759A47-BFFA-45C3-8EE2-DB178EAD55FC}"/>
    <cellStyle name="Normal 9 2 2 4 2 6" xfId="28152" xr:uid="{F9C487EC-8CC5-40DE-90A3-E8266E34DFEA}"/>
    <cellStyle name="Normal 9 2 2 4 2 7" xfId="36599" xr:uid="{042A0B36-3A9B-4549-B18F-12896F4CBFD8}"/>
    <cellStyle name="Normal 9 2 2 4 2 8" xfId="10405" xr:uid="{E83A373D-2B3F-4888-B58F-60AF933D3658}"/>
    <cellStyle name="Normal 9 2 2 4 3" xfId="1402" xr:uid="{00000000-0005-0000-0000-0000EB1E0000}"/>
    <cellStyle name="Normal 9 2 2 4 3 2" xfId="3632" xr:uid="{00000000-0005-0000-0000-0000EC1E0000}"/>
    <cellStyle name="Normal 9 2 2 4 3 2 2" xfId="7854" xr:uid="{00000000-0005-0000-0000-0000ED1E0000}"/>
    <cellStyle name="Normal 9 2 2 4 3 2 2 2" xfId="26480" xr:uid="{82EAAB8E-B7FB-4339-82E2-E2748C227157}"/>
    <cellStyle name="Normal 9 2 2 4 3 2 2 3" xfId="34927" xr:uid="{1E061F04-F999-45EC-8332-B5B2694033B8}"/>
    <cellStyle name="Normal 9 2 2 4 3 2 2 4" xfId="43374" xr:uid="{FD9FA2C5-A9FA-4F91-BCFC-99B4FCA427E4}"/>
    <cellStyle name="Normal 9 2 2 4 3 2 2 5" xfId="17180" xr:uid="{165F3554-6B3F-442B-93A6-F11C8F4D174E}"/>
    <cellStyle name="Normal 9 2 2 4 3 2 3" xfId="22263" xr:uid="{E492A51D-765E-4120-82F1-3C1465A4364F}"/>
    <cellStyle name="Normal 9 2 2 4 3 2 4" xfId="30710" xr:uid="{8549B6A1-5B97-44DB-AD09-EFD2C33D407E}"/>
    <cellStyle name="Normal 9 2 2 4 3 2 5" xfId="39157" xr:uid="{55271AD4-D2F0-4B98-A7BD-5F48151B19BA}"/>
    <cellStyle name="Normal 9 2 2 4 3 2 6" xfId="12963" xr:uid="{74C5D680-DEAD-4AF3-9735-E845EC827E3A}"/>
    <cellStyle name="Normal 9 2 2 4 3 3" xfId="5709" xr:uid="{00000000-0005-0000-0000-0000EE1E0000}"/>
    <cellStyle name="Normal 9 2 2 4 3 3 2" xfId="24335" xr:uid="{5E1F7CD7-9E84-49F4-8411-402631F0CF71}"/>
    <cellStyle name="Normal 9 2 2 4 3 3 3" xfId="32782" xr:uid="{F34CD092-799B-473E-8FE6-FC78BF45B33A}"/>
    <cellStyle name="Normal 9 2 2 4 3 3 4" xfId="41229" xr:uid="{D61ED478-408E-4DB8-9EE1-22FF3A65C454}"/>
    <cellStyle name="Normal 9 2 2 4 3 3 5" xfId="15035" xr:uid="{4FE3A343-A174-42D4-ADAA-CA1215315D5A}"/>
    <cellStyle name="Normal 9 2 2 4 3 4" xfId="20118" xr:uid="{3784802E-8DEE-4F47-8748-9991A6341498}"/>
    <cellStyle name="Normal 9 2 2 4 3 5" xfId="28565" xr:uid="{4A4B92CC-FD7F-4C81-8C8C-0ADFC1BFD29F}"/>
    <cellStyle name="Normal 9 2 2 4 3 6" xfId="37012" xr:uid="{3AE2B5ED-96AD-4771-AAE8-D631169E8EF0}"/>
    <cellStyle name="Normal 9 2 2 4 3 7" xfId="10818" xr:uid="{5B626149-B3A9-4ACC-A42E-11A990CAF9F5}"/>
    <cellStyle name="Normal 9 2 2 4 4" xfId="1815" xr:uid="{00000000-0005-0000-0000-0000EF1E0000}"/>
    <cellStyle name="Normal 9 2 2 4 4 2" xfId="4045" xr:uid="{00000000-0005-0000-0000-0000F01E0000}"/>
    <cellStyle name="Normal 9 2 2 4 4 2 2" xfId="8267" xr:uid="{00000000-0005-0000-0000-0000F11E0000}"/>
    <cellStyle name="Normal 9 2 2 4 4 2 2 2" xfId="26893" xr:uid="{6CA7E8CA-3787-49E7-82E5-87BB42F2EB44}"/>
    <cellStyle name="Normal 9 2 2 4 4 2 2 3" xfId="35340" xr:uid="{109181CB-DD61-46BA-A4C0-E2BAB7DF17A9}"/>
    <cellStyle name="Normal 9 2 2 4 4 2 2 4" xfId="43787" xr:uid="{A377DD1F-50DF-4F2C-82A8-718B7C46A219}"/>
    <cellStyle name="Normal 9 2 2 4 4 2 2 5" xfId="17593" xr:uid="{6D3AA9B4-2C2E-4343-BF18-8E994F8D8D28}"/>
    <cellStyle name="Normal 9 2 2 4 4 2 3" xfId="22676" xr:uid="{A141F81B-566F-4F3C-BB0A-A335915170D6}"/>
    <cellStyle name="Normal 9 2 2 4 4 2 4" xfId="31123" xr:uid="{92612AAD-6480-48C8-AFF4-A2EC6762B7A0}"/>
    <cellStyle name="Normal 9 2 2 4 4 2 5" xfId="39570" xr:uid="{E55E4AC3-F372-483D-8383-457CFAA6525D}"/>
    <cellStyle name="Normal 9 2 2 4 4 2 6" xfId="13376" xr:uid="{90AB0610-D34D-4AF0-8076-9006CFFE2CB2}"/>
    <cellStyle name="Normal 9 2 2 4 4 3" xfId="6122" xr:uid="{00000000-0005-0000-0000-0000F21E0000}"/>
    <cellStyle name="Normal 9 2 2 4 4 3 2" xfId="24748" xr:uid="{AA87DA81-B510-4678-81E2-B8E4A3693AF3}"/>
    <cellStyle name="Normal 9 2 2 4 4 3 3" xfId="33195" xr:uid="{B9240556-1A5C-449D-9BAA-67AC60005D61}"/>
    <cellStyle name="Normal 9 2 2 4 4 3 4" xfId="41642" xr:uid="{CE06F9ED-FD11-4C04-9D64-98AEFC225A22}"/>
    <cellStyle name="Normal 9 2 2 4 4 3 5" xfId="15448" xr:uid="{8A207292-7942-4D86-A7C2-C00D5EE35FDA}"/>
    <cellStyle name="Normal 9 2 2 4 4 4" xfId="20531" xr:uid="{C50C740E-EA47-44BC-BFFD-232052C4DCB2}"/>
    <cellStyle name="Normal 9 2 2 4 4 5" xfId="28978" xr:uid="{16E3C1B8-AEB0-4D53-9D24-622F2F13F44F}"/>
    <cellStyle name="Normal 9 2 2 4 4 6" xfId="37425" xr:uid="{EB328782-C924-4997-B26A-44ED078816E5}"/>
    <cellStyle name="Normal 9 2 2 4 4 7" xfId="11231" xr:uid="{E5A309C3-FEB5-4573-BD5F-74BB51A6C022}"/>
    <cellStyle name="Normal 9 2 2 4 5" xfId="2229" xr:uid="{00000000-0005-0000-0000-0000F31E0000}"/>
    <cellStyle name="Normal 9 2 2 4 5 2" xfId="4458" xr:uid="{00000000-0005-0000-0000-0000F41E0000}"/>
    <cellStyle name="Normal 9 2 2 4 5 2 2" xfId="8680" xr:uid="{00000000-0005-0000-0000-0000F51E0000}"/>
    <cellStyle name="Normal 9 2 2 4 5 2 2 2" xfId="27306" xr:uid="{011FAE11-AB71-4F24-8C57-E4E1C00BF85F}"/>
    <cellStyle name="Normal 9 2 2 4 5 2 2 3" xfId="35753" xr:uid="{5644D518-52FA-4605-BE50-F15487ABC578}"/>
    <cellStyle name="Normal 9 2 2 4 5 2 2 4" xfId="44200" xr:uid="{D7A9FEFB-0E3F-427F-9AAA-CF06603E829A}"/>
    <cellStyle name="Normal 9 2 2 4 5 2 2 5" xfId="18006" xr:uid="{AF34BE72-B49A-44E3-AF0E-A9BCDD007473}"/>
    <cellStyle name="Normal 9 2 2 4 5 2 3" xfId="23089" xr:uid="{E8F133DD-4BED-44FC-A9E5-E0BF3FDB96D0}"/>
    <cellStyle name="Normal 9 2 2 4 5 2 4" xfId="31536" xr:uid="{33886F91-51CB-425F-A254-D44D3DA044C9}"/>
    <cellStyle name="Normal 9 2 2 4 5 2 5" xfId="39983" xr:uid="{F8F54A1D-C462-4158-936E-68C9C5E4A3EC}"/>
    <cellStyle name="Normal 9 2 2 4 5 2 6" xfId="13789" xr:uid="{514D8558-D05A-4EB1-9C76-27DDE682F5A7}"/>
    <cellStyle name="Normal 9 2 2 4 5 3" xfId="6535" xr:uid="{00000000-0005-0000-0000-0000F61E0000}"/>
    <cellStyle name="Normal 9 2 2 4 5 3 2" xfId="25161" xr:uid="{E39443F9-A273-4DD3-B06F-7E91A6BD5AF2}"/>
    <cellStyle name="Normal 9 2 2 4 5 3 3" xfId="33608" xr:uid="{8664F837-B2F8-4AB3-9AEF-5725C1F1D3E8}"/>
    <cellStyle name="Normal 9 2 2 4 5 3 4" xfId="42055" xr:uid="{FBA5CDE8-5B41-4920-A525-3C8540730B0A}"/>
    <cellStyle name="Normal 9 2 2 4 5 3 5" xfId="15861" xr:uid="{8DE55408-54FE-438B-A70B-3BD05BAC5F74}"/>
    <cellStyle name="Normal 9 2 2 4 5 4" xfId="20944" xr:uid="{BEFCEFE5-E961-4DDC-8BBE-347C29E33667}"/>
    <cellStyle name="Normal 9 2 2 4 5 5" xfId="29391" xr:uid="{6C9BE97B-B882-44CB-AB69-65355C8EADAE}"/>
    <cellStyle name="Normal 9 2 2 4 5 6" xfId="37838" xr:uid="{47CC3B9A-3839-4C35-995D-0192AC0B2F07}"/>
    <cellStyle name="Normal 9 2 2 4 5 7" xfId="11644" xr:uid="{D60BAAC5-281B-42EF-8A00-2670E35B27DF}"/>
    <cellStyle name="Normal 9 2 2 4 6" xfId="2665" xr:uid="{00000000-0005-0000-0000-0000F71E0000}"/>
    <cellStyle name="Normal 9 2 2 4 6 2" xfId="6948" xr:uid="{00000000-0005-0000-0000-0000F81E0000}"/>
    <cellStyle name="Normal 9 2 2 4 6 2 2" xfId="25574" xr:uid="{1F9698D7-E63C-42A2-A18B-CE129F559087}"/>
    <cellStyle name="Normal 9 2 2 4 6 2 3" xfId="34021" xr:uid="{287CF033-262F-4C96-A5AE-7B4DD6B8589D}"/>
    <cellStyle name="Normal 9 2 2 4 6 2 4" xfId="42468" xr:uid="{BF8C251B-F942-4667-B95C-0003F3C2716D}"/>
    <cellStyle name="Normal 9 2 2 4 6 2 5" xfId="16274" xr:uid="{DEA94DAE-5786-4459-877E-AAEB4621BD8F}"/>
    <cellStyle name="Normal 9 2 2 4 6 3" xfId="21357" xr:uid="{578FCF12-3C92-4199-B4A1-581560B17221}"/>
    <cellStyle name="Normal 9 2 2 4 6 4" xfId="29804" xr:uid="{569FFE6E-862B-4971-BCE7-5E44B7BA882D}"/>
    <cellStyle name="Normal 9 2 2 4 6 5" xfId="38251" xr:uid="{BCDFA2F7-4F01-4086-814F-30D784D47EC9}"/>
    <cellStyle name="Normal 9 2 2 4 6 6" xfId="12057" xr:uid="{170D9A91-5E60-4AB3-A3CB-C86AE79AD9C1}"/>
    <cellStyle name="Normal 9 2 2 4 7" xfId="4883" xr:uid="{00000000-0005-0000-0000-0000F91E0000}"/>
    <cellStyle name="Normal 9 2 2 4 7 2" xfId="23509" xr:uid="{C310EA6A-D9AE-4B6E-9322-6E9BB009253F}"/>
    <cellStyle name="Normal 9 2 2 4 7 3" xfId="31956" xr:uid="{E9B606F5-8C95-45F4-8DCD-BE59473E833D}"/>
    <cellStyle name="Normal 9 2 2 4 7 4" xfId="40403" xr:uid="{888B5544-F974-46BA-8A4B-2A88D9913EC3}"/>
    <cellStyle name="Normal 9 2 2 4 7 5" xfId="14209" xr:uid="{AA14BEC7-F14D-4AF0-BC78-B26A44120926}"/>
    <cellStyle name="Normal 9 2 2 4 8" xfId="8992" xr:uid="{8AFFF8AD-8552-4B33-AAFF-7DACAE25085E}"/>
    <cellStyle name="Normal 9 2 2 4 8 2" xfId="18316" xr:uid="{487FDFD5-32BA-4DDB-A040-770DE4A4ED7B}"/>
    <cellStyle name="Normal 9 2 2 4 9" xfId="19292" xr:uid="{4E04928B-8121-47A6-A79C-A0A0D1B33408}"/>
    <cellStyle name="Normal 9 2 2 5" xfId="979" xr:uid="{00000000-0005-0000-0000-0000FA1E0000}"/>
    <cellStyle name="Normal 9 2 2 5 2" xfId="3212" xr:uid="{00000000-0005-0000-0000-0000FB1E0000}"/>
    <cellStyle name="Normal 9 2 2 5 2 2" xfId="7434" xr:uid="{00000000-0005-0000-0000-0000FC1E0000}"/>
    <cellStyle name="Normal 9 2 2 5 2 2 2" xfId="26060" xr:uid="{809EB5D2-66DB-46F8-97C0-1D95736B9ED4}"/>
    <cellStyle name="Normal 9 2 2 5 2 2 3" xfId="34507" xr:uid="{4F1CE0EE-1472-476D-A6C3-BDFB001F1940}"/>
    <cellStyle name="Normal 9 2 2 5 2 2 4" xfId="42954" xr:uid="{378B8898-E8A5-4B77-9BB4-6209AFBC3287}"/>
    <cellStyle name="Normal 9 2 2 5 2 2 5" xfId="16760" xr:uid="{44D8CCBB-0EDE-438E-B0DA-8D2F793325AF}"/>
    <cellStyle name="Normal 9 2 2 5 2 3" xfId="21843" xr:uid="{9DDE2848-1681-4D8F-A749-895C88914160}"/>
    <cellStyle name="Normal 9 2 2 5 2 4" xfId="30290" xr:uid="{20BF6F24-3A86-47F7-B2CF-DBFE402CE4D0}"/>
    <cellStyle name="Normal 9 2 2 5 2 5" xfId="38737" xr:uid="{83CC79EA-BE7A-414A-B272-EC9F0DA94EF5}"/>
    <cellStyle name="Normal 9 2 2 5 2 6" xfId="12543" xr:uid="{1F2AAE0B-9552-42BD-B111-1AC770F2DEB4}"/>
    <cellStyle name="Normal 9 2 2 5 3" xfId="5289" xr:uid="{00000000-0005-0000-0000-0000FD1E0000}"/>
    <cellStyle name="Normal 9 2 2 5 3 2" xfId="23915" xr:uid="{D56C0227-9521-480A-9A58-FDE9CC9A0664}"/>
    <cellStyle name="Normal 9 2 2 5 3 3" xfId="32362" xr:uid="{9BD45DCB-7110-4FB9-BEC7-8A2FD7D5D91B}"/>
    <cellStyle name="Normal 9 2 2 5 3 4" xfId="40809" xr:uid="{C0AFBAEA-0E01-43BB-9D2D-13AA6BC07CB0}"/>
    <cellStyle name="Normal 9 2 2 5 3 5" xfId="14615" xr:uid="{0EED841E-DA1E-426D-8D9F-F95A506D61CE}"/>
    <cellStyle name="Normal 9 2 2 5 4" xfId="9209" xr:uid="{66E66B93-842C-41D8-A807-A065C03CFEBD}"/>
    <cellStyle name="Normal 9 2 2 5 4 2" xfId="18526" xr:uid="{79E6E9F0-842D-43D0-AF81-CE4E04FA14D3}"/>
    <cellStyle name="Normal 9 2 2 5 5" xfId="19698" xr:uid="{DA238B7F-C8E6-41D1-BD9D-5D10228462B8}"/>
    <cellStyle name="Normal 9 2 2 5 6" xfId="28145" xr:uid="{A2B0E70D-5B7A-49FC-8556-298DFF049978}"/>
    <cellStyle name="Normal 9 2 2 5 7" xfId="36592" xr:uid="{623E2567-FC5C-491E-82D7-5829E6D8B524}"/>
    <cellStyle name="Normal 9 2 2 5 8" xfId="10398" xr:uid="{8814D836-9324-41E0-A6B2-3FA3227AAB4B}"/>
    <cellStyle name="Normal 9 2 2 6" xfId="1395" xr:uid="{00000000-0005-0000-0000-0000FE1E0000}"/>
    <cellStyle name="Normal 9 2 2 6 2" xfId="3625" xr:uid="{00000000-0005-0000-0000-0000FF1E0000}"/>
    <cellStyle name="Normal 9 2 2 6 2 2" xfId="7847" xr:uid="{00000000-0005-0000-0000-0000001F0000}"/>
    <cellStyle name="Normal 9 2 2 6 2 2 2" xfId="26473" xr:uid="{C833CDBB-0E0F-408E-A65C-6D6C79646CFC}"/>
    <cellStyle name="Normal 9 2 2 6 2 2 3" xfId="34920" xr:uid="{613D3C57-D33B-4D61-957E-E01F0678B2BD}"/>
    <cellStyle name="Normal 9 2 2 6 2 2 4" xfId="43367" xr:uid="{A3A79587-62BA-4E7F-A32D-2C4E92410796}"/>
    <cellStyle name="Normal 9 2 2 6 2 2 5" xfId="17173" xr:uid="{FB9E7CB3-3D4B-4B36-AE10-E063F2F3402C}"/>
    <cellStyle name="Normal 9 2 2 6 2 3" xfId="22256" xr:uid="{5AC35C30-5AD5-48FF-A8FB-D61C427CF2BD}"/>
    <cellStyle name="Normal 9 2 2 6 2 4" xfId="30703" xr:uid="{7D714C06-660A-40E8-8BF1-C3F5DF762AF6}"/>
    <cellStyle name="Normal 9 2 2 6 2 5" xfId="39150" xr:uid="{645A1406-D681-4DC5-8024-A23CD461F6B0}"/>
    <cellStyle name="Normal 9 2 2 6 2 6" xfId="12956" xr:uid="{1854AF54-F3FA-4561-97AA-B75BAB291B6B}"/>
    <cellStyle name="Normal 9 2 2 6 3" xfId="5702" xr:uid="{00000000-0005-0000-0000-0000011F0000}"/>
    <cellStyle name="Normal 9 2 2 6 3 2" xfId="24328" xr:uid="{4881746C-7FAF-40FA-802D-AD2BF9EAE54A}"/>
    <cellStyle name="Normal 9 2 2 6 3 3" xfId="32775" xr:uid="{0F6316F4-0672-4E74-AE57-57780A84D5AB}"/>
    <cellStyle name="Normal 9 2 2 6 3 4" xfId="41222" xr:uid="{9718A1BD-0C96-43B9-8F42-F8AF0E47F43D}"/>
    <cellStyle name="Normal 9 2 2 6 3 5" xfId="15028" xr:uid="{BA17901F-F4E8-46DC-A17E-6DA9FE170DFE}"/>
    <cellStyle name="Normal 9 2 2 6 4" xfId="20111" xr:uid="{41A0FC12-9F74-4FA3-A00C-902D29BE5203}"/>
    <cellStyle name="Normal 9 2 2 6 5" xfId="28558" xr:uid="{E3C0C202-B923-49A7-898F-ECD40F438537}"/>
    <cellStyle name="Normal 9 2 2 6 6" xfId="37005" xr:uid="{25246937-6AB3-437D-A88E-A0CB4B4E442A}"/>
    <cellStyle name="Normal 9 2 2 6 7" xfId="10811" xr:uid="{840C89C2-6882-4FDA-AD7B-291A3B5C3C57}"/>
    <cellStyle name="Normal 9 2 2 7" xfId="1808" xr:uid="{00000000-0005-0000-0000-0000021F0000}"/>
    <cellStyle name="Normal 9 2 2 7 2" xfId="4038" xr:uid="{00000000-0005-0000-0000-0000031F0000}"/>
    <cellStyle name="Normal 9 2 2 7 2 2" xfId="8260" xr:uid="{00000000-0005-0000-0000-0000041F0000}"/>
    <cellStyle name="Normal 9 2 2 7 2 2 2" xfId="26886" xr:uid="{835D9686-5F9F-4CA4-8967-D25682B9407C}"/>
    <cellStyle name="Normal 9 2 2 7 2 2 3" xfId="35333" xr:uid="{E75A9CBD-E46A-41A7-87A2-B24CFCFAE055}"/>
    <cellStyle name="Normal 9 2 2 7 2 2 4" xfId="43780" xr:uid="{D1370758-DF61-4D65-8D27-6D873B0BDEA4}"/>
    <cellStyle name="Normal 9 2 2 7 2 2 5" xfId="17586" xr:uid="{0FD548D7-25E9-4D47-A288-CF4226EB9C42}"/>
    <cellStyle name="Normal 9 2 2 7 2 3" xfId="22669" xr:uid="{1ADCA394-4938-4846-BD72-6AAC939135AE}"/>
    <cellStyle name="Normal 9 2 2 7 2 4" xfId="31116" xr:uid="{94EACF35-7E8B-4DA7-A84D-BE6CDDF17780}"/>
    <cellStyle name="Normal 9 2 2 7 2 5" xfId="39563" xr:uid="{BAE1B793-49E1-4266-93D5-254D54DBE3AE}"/>
    <cellStyle name="Normal 9 2 2 7 2 6" xfId="13369" xr:uid="{B46C4DA5-1F62-47DD-AE06-2D1592C95970}"/>
    <cellStyle name="Normal 9 2 2 7 3" xfId="6115" xr:uid="{00000000-0005-0000-0000-0000051F0000}"/>
    <cellStyle name="Normal 9 2 2 7 3 2" xfId="24741" xr:uid="{79DD5089-0D8C-4722-A0C2-F8A292C8B052}"/>
    <cellStyle name="Normal 9 2 2 7 3 3" xfId="33188" xr:uid="{C91A5A89-274B-4014-BE34-172866C10879}"/>
    <cellStyle name="Normal 9 2 2 7 3 4" xfId="41635" xr:uid="{AE81CE6C-B6DF-4DDC-A05E-BDFBA8140D2B}"/>
    <cellStyle name="Normal 9 2 2 7 3 5" xfId="15441" xr:uid="{C4157C2B-4447-4225-B44F-DF3C3F4093E3}"/>
    <cellStyle name="Normal 9 2 2 7 4" xfId="20524" xr:uid="{C941ED98-21F8-4502-904C-6CCD83BE107E}"/>
    <cellStyle name="Normal 9 2 2 7 5" xfId="28971" xr:uid="{624ED584-5A41-423C-909B-2AA07354C940}"/>
    <cellStyle name="Normal 9 2 2 7 6" xfId="37418" xr:uid="{F167152A-8C7D-4ADD-BEBE-0CDC85BA333B}"/>
    <cellStyle name="Normal 9 2 2 7 7" xfId="11224" xr:uid="{12E12FE8-2E4A-4CE4-94B6-8C448FB41843}"/>
    <cellStyle name="Normal 9 2 2 8" xfId="2222" xr:uid="{00000000-0005-0000-0000-0000061F0000}"/>
    <cellStyle name="Normal 9 2 2 8 2" xfId="4451" xr:uid="{00000000-0005-0000-0000-0000071F0000}"/>
    <cellStyle name="Normal 9 2 2 8 2 2" xfId="8673" xr:uid="{00000000-0005-0000-0000-0000081F0000}"/>
    <cellStyle name="Normal 9 2 2 8 2 2 2" xfId="27299" xr:uid="{DBBCF64A-386C-4313-9F35-D91CFB97A455}"/>
    <cellStyle name="Normal 9 2 2 8 2 2 3" xfId="35746" xr:uid="{1F05E8BA-7582-4728-8C3F-2A116F3B79F5}"/>
    <cellStyle name="Normal 9 2 2 8 2 2 4" xfId="44193" xr:uid="{E610C22F-47FD-4C7C-9D49-C9D43CF5135E}"/>
    <cellStyle name="Normal 9 2 2 8 2 2 5" xfId="17999" xr:uid="{DF6FB09A-6598-43BC-80ED-51B52BC7268F}"/>
    <cellStyle name="Normal 9 2 2 8 2 3" xfId="23082" xr:uid="{D9D966C7-9C91-426E-968D-0DF73492FF1D}"/>
    <cellStyle name="Normal 9 2 2 8 2 4" xfId="31529" xr:uid="{17681324-4907-4AB3-BCB9-46CC6E1B1120}"/>
    <cellStyle name="Normal 9 2 2 8 2 5" xfId="39976" xr:uid="{8117278B-0F57-4F1C-A08F-0DEED98BD535}"/>
    <cellStyle name="Normal 9 2 2 8 2 6" xfId="13782" xr:uid="{352E8413-1CCF-4301-A930-9E4BDF6A1550}"/>
    <cellStyle name="Normal 9 2 2 8 3" xfId="6528" xr:uid="{00000000-0005-0000-0000-0000091F0000}"/>
    <cellStyle name="Normal 9 2 2 8 3 2" xfId="25154" xr:uid="{006B93CE-88E9-42E1-9AAA-4EA7ED3EEE14}"/>
    <cellStyle name="Normal 9 2 2 8 3 3" xfId="33601" xr:uid="{3EF5B864-1A36-45B7-8A4F-6D1F4D4A4AD0}"/>
    <cellStyle name="Normal 9 2 2 8 3 4" xfId="42048" xr:uid="{0795B692-5AE8-4A13-BB2D-C67C497206D9}"/>
    <cellStyle name="Normal 9 2 2 8 3 5" xfId="15854" xr:uid="{807E0656-1E5C-48C3-A55E-1557A1723886}"/>
    <cellStyle name="Normal 9 2 2 8 4" xfId="20937" xr:uid="{001123F2-E474-48F2-BFF7-25DCFB2AFECE}"/>
    <cellStyle name="Normal 9 2 2 8 5" xfId="29384" xr:uid="{2EAB5E12-4406-4978-8F0F-688A27BEA486}"/>
    <cellStyle name="Normal 9 2 2 8 6" xfId="37831" xr:uid="{AADC7FBF-F8AE-47D7-83CB-F558E2809AD1}"/>
    <cellStyle name="Normal 9 2 2 8 7" xfId="11637" xr:uid="{B5449466-EC64-4073-AF74-9924BE001203}"/>
    <cellStyle name="Normal 9 2 2 9" xfId="2658" xr:uid="{00000000-0005-0000-0000-00000A1F0000}"/>
    <cellStyle name="Normal 9 2 2 9 2" xfId="6941" xr:uid="{00000000-0005-0000-0000-00000B1F0000}"/>
    <cellStyle name="Normal 9 2 2 9 2 2" xfId="25567" xr:uid="{28C032D3-6019-4D17-B047-AAAEB7F0139A}"/>
    <cellStyle name="Normal 9 2 2 9 2 3" xfId="34014" xr:uid="{82998D70-69AA-4EE5-98D9-729E69D1EB55}"/>
    <cellStyle name="Normal 9 2 2 9 2 4" xfId="42461" xr:uid="{2941F8D5-FB9F-4563-8DFA-190EFE9F2038}"/>
    <cellStyle name="Normal 9 2 2 9 2 5" xfId="16267" xr:uid="{8E362374-BCA0-4B20-BF32-77D5748AB97B}"/>
    <cellStyle name="Normal 9 2 2 9 3" xfId="21350" xr:uid="{5C10B723-FEAF-4C09-872B-CDE942103619}"/>
    <cellStyle name="Normal 9 2 2 9 4" xfId="29797" xr:uid="{9C525193-82C5-47F9-95E5-1B8D6762C30A}"/>
    <cellStyle name="Normal 9 2 2 9 5" xfId="38244" xr:uid="{7E884AA8-BA7A-44D9-AA61-0F5646E50ACA}"/>
    <cellStyle name="Normal 9 2 2 9 6" xfId="12050" xr:uid="{BE65A18C-2CDF-4839-9717-24CBBE6D763C}"/>
    <cellStyle name="Normal 9 2 3" xfId="520" xr:uid="{00000000-0005-0000-0000-00000C1F0000}"/>
    <cellStyle name="Normal 9 2 3 10" xfId="8838" xr:uid="{3F59BADF-95CF-4831-9CE1-8ACBDD585DF1}"/>
    <cellStyle name="Normal 9 2 3 10 2" xfId="18162" xr:uid="{C7C9A695-4876-4B6C-B8B6-35ED0D4C3BCE}"/>
    <cellStyle name="Normal 9 2 3 11" xfId="19293" xr:uid="{96ACA8FE-E275-4F54-BACC-545D801D5538}"/>
    <cellStyle name="Normal 9 2 3 12" xfId="27740" xr:uid="{C8EEE746-92D9-4C0A-BB82-46B5151F3469}"/>
    <cellStyle name="Normal 9 2 3 13" xfId="36187" xr:uid="{B895093F-CC2C-432E-946E-4AF175A980FB}"/>
    <cellStyle name="Normal 9 2 3 14" xfId="9993" xr:uid="{6DFB8E7F-D07A-416F-BC97-55F744841B99}"/>
    <cellStyle name="Normal 9 2 3 2" xfId="521" xr:uid="{00000000-0005-0000-0000-00000D1F0000}"/>
    <cellStyle name="Normal 9 2 3 2 10" xfId="19294" xr:uid="{74070753-30C6-43D5-A5CC-E1CE01914DE1}"/>
    <cellStyle name="Normal 9 2 3 2 11" xfId="27741" xr:uid="{C1C6C4C0-2FEA-42AE-B67F-C2A511E843CA}"/>
    <cellStyle name="Normal 9 2 3 2 12" xfId="36188" xr:uid="{D8318B7A-9A92-417D-8799-0D5180F56B3F}"/>
    <cellStyle name="Normal 9 2 3 2 13" xfId="9994" xr:uid="{7ACFDD4A-A959-453B-A0B3-562EBAFCD1C5}"/>
    <cellStyle name="Normal 9 2 3 2 2" xfId="522" xr:uid="{00000000-0005-0000-0000-00000E1F0000}"/>
    <cellStyle name="Normal 9 2 3 2 2 10" xfId="27742" xr:uid="{C8E0FA55-BDE2-4721-AF43-6518480700D0}"/>
    <cellStyle name="Normal 9 2 3 2 2 11" xfId="36189" xr:uid="{8E292654-5BDB-40E3-A8E5-35ACE5419F5A}"/>
    <cellStyle name="Normal 9 2 3 2 2 12" xfId="9995" xr:uid="{1CF448DB-E576-4B3E-973C-C7669DE1445F}"/>
    <cellStyle name="Normal 9 2 3 2 2 2" xfId="989" xr:uid="{00000000-0005-0000-0000-00000F1F0000}"/>
    <cellStyle name="Normal 9 2 3 2 2 2 2" xfId="3222" xr:uid="{00000000-0005-0000-0000-0000101F0000}"/>
    <cellStyle name="Normal 9 2 3 2 2 2 2 2" xfId="7444" xr:uid="{00000000-0005-0000-0000-0000111F0000}"/>
    <cellStyle name="Normal 9 2 3 2 2 2 2 2 2" xfId="26070" xr:uid="{0F61FE3B-20E3-4991-AB1F-578272BBCFD7}"/>
    <cellStyle name="Normal 9 2 3 2 2 2 2 2 3" xfId="34517" xr:uid="{C2939DD4-5B9D-4F39-83A2-EC7CBBC5BF50}"/>
    <cellStyle name="Normal 9 2 3 2 2 2 2 2 4" xfId="42964" xr:uid="{CE6BF51B-6CE3-41C7-B130-04C7FF55EBA7}"/>
    <cellStyle name="Normal 9 2 3 2 2 2 2 2 5" xfId="16770" xr:uid="{07A2925D-D58C-4ADD-A660-D7FBE801C9DE}"/>
    <cellStyle name="Normal 9 2 3 2 2 2 2 3" xfId="21853" xr:uid="{327B3D33-8783-4B08-B99D-63D060887958}"/>
    <cellStyle name="Normal 9 2 3 2 2 2 2 4" xfId="30300" xr:uid="{543574D7-B4C4-447E-AE2B-70BD51271AC3}"/>
    <cellStyle name="Normal 9 2 3 2 2 2 2 5" xfId="38747" xr:uid="{5E64F253-581E-4062-A9D1-471D45B58A2A}"/>
    <cellStyle name="Normal 9 2 3 2 2 2 2 6" xfId="12553" xr:uid="{1C8B33DE-474E-4616-A680-1EC68C0EAF02}"/>
    <cellStyle name="Normal 9 2 3 2 2 2 3" xfId="5299" xr:uid="{00000000-0005-0000-0000-0000121F0000}"/>
    <cellStyle name="Normal 9 2 3 2 2 2 3 2" xfId="23925" xr:uid="{3B8E8DF3-673B-4D29-8F2B-A93255638CDC}"/>
    <cellStyle name="Normal 9 2 3 2 2 2 3 3" xfId="32372" xr:uid="{BD9384E0-ABED-4DB6-9503-847893D8D0F0}"/>
    <cellStyle name="Normal 9 2 3 2 2 2 3 4" xfId="40819" xr:uid="{32D28CE0-39C2-47F3-8771-1DD1D61EEB24}"/>
    <cellStyle name="Normal 9 2 3 2 2 2 3 5" xfId="14625" xr:uid="{B0D05BB7-A1F6-4820-A415-3F759F352384}"/>
    <cellStyle name="Normal 9 2 3 2 2 2 4" xfId="9573" xr:uid="{376F8566-2407-40B8-9531-D3E757BE7A23}"/>
    <cellStyle name="Normal 9 2 3 2 2 2 4 2" xfId="18889" xr:uid="{59F4BC80-612D-4695-9ED7-AE648A63B5E6}"/>
    <cellStyle name="Normal 9 2 3 2 2 2 5" xfId="19708" xr:uid="{705B13EB-B13B-4F42-B484-CD82873BE6F2}"/>
    <cellStyle name="Normal 9 2 3 2 2 2 6" xfId="28155" xr:uid="{1D511BD5-4049-4F87-A34D-AD6D6EC1AA19}"/>
    <cellStyle name="Normal 9 2 3 2 2 2 7" xfId="36602" xr:uid="{77BFB9F7-67A5-457E-8E68-E68EB662C634}"/>
    <cellStyle name="Normal 9 2 3 2 2 2 8" xfId="10408" xr:uid="{CF868598-2E6F-4913-8574-E61AF43687E8}"/>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2 2 2" xfId="26483" xr:uid="{CF9864CD-7273-4DDD-88D9-E79901F77717}"/>
    <cellStyle name="Normal 9 2 3 2 2 3 2 2 3" xfId="34930" xr:uid="{4FDA1D03-0F35-474A-B0A7-C6C40285A32E}"/>
    <cellStyle name="Normal 9 2 3 2 2 3 2 2 4" xfId="43377" xr:uid="{19E91CA6-2140-4F29-A62E-B33CBBFB3E76}"/>
    <cellStyle name="Normal 9 2 3 2 2 3 2 2 5" xfId="17183" xr:uid="{44D2DC22-009B-4223-890F-426F125666EA}"/>
    <cellStyle name="Normal 9 2 3 2 2 3 2 3" xfId="22266" xr:uid="{EF2D0C75-47DA-4055-BCE9-D0EEFF89C605}"/>
    <cellStyle name="Normal 9 2 3 2 2 3 2 4" xfId="30713" xr:uid="{B694C164-A777-4934-8452-2F3E087CDAF3}"/>
    <cellStyle name="Normal 9 2 3 2 2 3 2 5" xfId="39160" xr:uid="{AA8179CD-2BB1-4983-9750-D8DCA48DE082}"/>
    <cellStyle name="Normal 9 2 3 2 2 3 2 6" xfId="12966" xr:uid="{1F0A6244-BF32-4CCE-AD69-FC3F811FB7E5}"/>
    <cellStyle name="Normal 9 2 3 2 2 3 3" xfId="5712" xr:uid="{00000000-0005-0000-0000-0000161F0000}"/>
    <cellStyle name="Normal 9 2 3 2 2 3 3 2" xfId="24338" xr:uid="{1400B3D7-8769-4206-B003-CB56C4681551}"/>
    <cellStyle name="Normal 9 2 3 2 2 3 3 3" xfId="32785" xr:uid="{C469E773-0196-46DE-BFFF-319E86843260}"/>
    <cellStyle name="Normal 9 2 3 2 2 3 3 4" xfId="41232" xr:uid="{A559CF9E-5A5E-413F-AC0B-08AC7A4D5379}"/>
    <cellStyle name="Normal 9 2 3 2 2 3 3 5" xfId="15038" xr:uid="{66B14553-0696-40CE-B110-9F9F507EBF0F}"/>
    <cellStyle name="Normal 9 2 3 2 2 3 4" xfId="20121" xr:uid="{D0E49DDE-AD42-45B4-9CA2-EB73A40B36C0}"/>
    <cellStyle name="Normal 9 2 3 2 2 3 5" xfId="28568" xr:uid="{51483511-14EA-490A-B451-EF9162F7D639}"/>
    <cellStyle name="Normal 9 2 3 2 2 3 6" xfId="37015" xr:uid="{3B8B5225-8AC5-4997-BF46-518F848E2030}"/>
    <cellStyle name="Normal 9 2 3 2 2 3 7" xfId="10821" xr:uid="{F18EBB7A-0379-420A-ABB1-A44C0FE9E372}"/>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2 2 2" xfId="26896" xr:uid="{F179529E-3602-40DD-8FCA-F988C868704E}"/>
    <cellStyle name="Normal 9 2 3 2 2 4 2 2 3" xfId="35343" xr:uid="{0051B381-7115-4E41-806C-1CBAE5159879}"/>
    <cellStyle name="Normal 9 2 3 2 2 4 2 2 4" xfId="43790" xr:uid="{876C38D4-9C84-4A4A-9ADF-214ECF80384E}"/>
    <cellStyle name="Normal 9 2 3 2 2 4 2 2 5" xfId="17596" xr:uid="{75824EF1-A17E-4EFA-A683-8DBED2D89A03}"/>
    <cellStyle name="Normal 9 2 3 2 2 4 2 3" xfId="22679" xr:uid="{8F8FC479-946B-4E20-BE2E-49EA482FC58E}"/>
    <cellStyle name="Normal 9 2 3 2 2 4 2 4" xfId="31126" xr:uid="{87F1652E-22B4-425B-897C-28DF6923E5BA}"/>
    <cellStyle name="Normal 9 2 3 2 2 4 2 5" xfId="39573" xr:uid="{F4196AB4-2515-49DA-BAB7-50C8486C1CEA}"/>
    <cellStyle name="Normal 9 2 3 2 2 4 2 6" xfId="13379" xr:uid="{E8113C6A-E701-4B80-97CD-D51EBB9BCE6B}"/>
    <cellStyle name="Normal 9 2 3 2 2 4 3" xfId="6125" xr:uid="{00000000-0005-0000-0000-00001A1F0000}"/>
    <cellStyle name="Normal 9 2 3 2 2 4 3 2" xfId="24751" xr:uid="{CDC85674-5B6E-4B4D-9D0D-E19F79704A9D}"/>
    <cellStyle name="Normal 9 2 3 2 2 4 3 3" xfId="33198" xr:uid="{1BB48DC1-B008-42ED-BD82-CE035D98CC53}"/>
    <cellStyle name="Normal 9 2 3 2 2 4 3 4" xfId="41645" xr:uid="{CBAAE9D0-5C9F-492C-AC69-78FE64EAC27B}"/>
    <cellStyle name="Normal 9 2 3 2 2 4 3 5" xfId="15451" xr:uid="{3905158F-2138-4A31-9294-5226A9E5BE5D}"/>
    <cellStyle name="Normal 9 2 3 2 2 4 4" xfId="20534" xr:uid="{19B8C795-8CCC-47B5-93F6-F44663DB122F}"/>
    <cellStyle name="Normal 9 2 3 2 2 4 5" xfId="28981" xr:uid="{870A064F-9FB7-42F0-ACFA-A4A5A86655CE}"/>
    <cellStyle name="Normal 9 2 3 2 2 4 6" xfId="37428" xr:uid="{DF22D692-4B19-4759-8A2C-EBA56B52164F}"/>
    <cellStyle name="Normal 9 2 3 2 2 4 7" xfId="11234" xr:uid="{3CD199A8-D520-408F-BB41-689B7DFC8375}"/>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2 2 2" xfId="27309" xr:uid="{79523C6E-7A91-4925-8946-77A8A1172D4D}"/>
    <cellStyle name="Normal 9 2 3 2 2 5 2 2 3" xfId="35756" xr:uid="{F808FBD8-16B8-4FD6-BD7F-09B7BEAF4BC0}"/>
    <cellStyle name="Normal 9 2 3 2 2 5 2 2 4" xfId="44203" xr:uid="{5CDC76E3-3CAC-4177-B008-BB59C21849DB}"/>
    <cellStyle name="Normal 9 2 3 2 2 5 2 2 5" xfId="18009" xr:uid="{9044A09C-68BE-4B69-99B9-4810F910ACF8}"/>
    <cellStyle name="Normal 9 2 3 2 2 5 2 3" xfId="23092" xr:uid="{195FE6E5-3494-49D2-BD7C-6A4C0F68406F}"/>
    <cellStyle name="Normal 9 2 3 2 2 5 2 4" xfId="31539" xr:uid="{7F0A6CA0-AC2F-467B-A278-06112D15B31C}"/>
    <cellStyle name="Normal 9 2 3 2 2 5 2 5" xfId="39986" xr:uid="{48B72249-CE64-488F-AE5F-261D6C37470D}"/>
    <cellStyle name="Normal 9 2 3 2 2 5 2 6" xfId="13792" xr:uid="{71B5BE82-5195-40A1-B232-F128F6C0DC3D}"/>
    <cellStyle name="Normal 9 2 3 2 2 5 3" xfId="6538" xr:uid="{00000000-0005-0000-0000-00001E1F0000}"/>
    <cellStyle name="Normal 9 2 3 2 2 5 3 2" xfId="25164" xr:uid="{D8E48C6E-8D37-40E6-B27B-EC21F7B533BB}"/>
    <cellStyle name="Normal 9 2 3 2 2 5 3 3" xfId="33611" xr:uid="{82AEF85A-04A5-4E0E-8B7C-8F86CF255394}"/>
    <cellStyle name="Normal 9 2 3 2 2 5 3 4" xfId="42058" xr:uid="{AEB76866-F0BD-49D6-A3B0-6C3A465E0703}"/>
    <cellStyle name="Normal 9 2 3 2 2 5 3 5" xfId="15864" xr:uid="{72F9C228-5DC8-481A-AA47-9408BC4114E1}"/>
    <cellStyle name="Normal 9 2 3 2 2 5 4" xfId="20947" xr:uid="{5EC43093-1A03-4A95-81A7-98113DC12A72}"/>
    <cellStyle name="Normal 9 2 3 2 2 5 5" xfId="29394" xr:uid="{7E6240E5-5920-4E7D-BA94-82A39B3F72D8}"/>
    <cellStyle name="Normal 9 2 3 2 2 5 6" xfId="37841" xr:uid="{6E79C9C5-A422-4AE0-925C-82DC1F9B8F16}"/>
    <cellStyle name="Normal 9 2 3 2 2 5 7" xfId="11647" xr:uid="{A472C97F-B44B-409C-9B73-9E8A7DDA2622}"/>
    <cellStyle name="Normal 9 2 3 2 2 6" xfId="2668" xr:uid="{00000000-0005-0000-0000-00001F1F0000}"/>
    <cellStyle name="Normal 9 2 3 2 2 6 2" xfId="6951" xr:uid="{00000000-0005-0000-0000-0000201F0000}"/>
    <cellStyle name="Normal 9 2 3 2 2 6 2 2" xfId="25577" xr:uid="{276E0F1D-A64B-4F16-825E-E2F7EDB9C02A}"/>
    <cellStyle name="Normal 9 2 3 2 2 6 2 3" xfId="34024" xr:uid="{25E5FBB5-2C51-4D2B-BD0F-2B97C205DA92}"/>
    <cellStyle name="Normal 9 2 3 2 2 6 2 4" xfId="42471" xr:uid="{59D7B1D0-D681-4072-B0B6-65E0D94C9C8C}"/>
    <cellStyle name="Normal 9 2 3 2 2 6 2 5" xfId="16277" xr:uid="{7179D31F-CA3A-41EE-878F-A7BEB3005B5E}"/>
    <cellStyle name="Normal 9 2 3 2 2 6 3" xfId="21360" xr:uid="{2F519071-B87A-4EF6-AC8E-4C3461DAD65C}"/>
    <cellStyle name="Normal 9 2 3 2 2 6 4" xfId="29807" xr:uid="{C48DAF3A-F2C8-48F1-9F7F-7E3CC20EE597}"/>
    <cellStyle name="Normal 9 2 3 2 2 6 5" xfId="38254" xr:uid="{BEAD0532-B612-4069-A4B6-928E5ED6270F}"/>
    <cellStyle name="Normal 9 2 3 2 2 6 6" xfId="12060" xr:uid="{8777BC17-53EC-4E92-8ADD-A579C5E32C20}"/>
    <cellStyle name="Normal 9 2 3 2 2 7" xfId="4886" xr:uid="{00000000-0005-0000-0000-0000211F0000}"/>
    <cellStyle name="Normal 9 2 3 2 2 7 2" xfId="23512" xr:uid="{33147D15-C311-4AA8-9F2E-F4CB7D951F9B}"/>
    <cellStyle name="Normal 9 2 3 2 2 7 3" xfId="31959" xr:uid="{C5F1CEB5-1A73-46D9-A7BC-68E6A3A11AA3}"/>
    <cellStyle name="Normal 9 2 3 2 2 7 4" xfId="40406" xr:uid="{8E88DC97-F604-416F-BE91-7D0D9F93522F}"/>
    <cellStyle name="Normal 9 2 3 2 2 7 5" xfId="14212" xr:uid="{53D37F6D-E11A-46F8-97D2-1B45B83594BD}"/>
    <cellStyle name="Normal 9 2 3 2 2 8" xfId="9148" xr:uid="{E1A2F3F0-C8EA-47FA-BB37-18F117041A87}"/>
    <cellStyle name="Normal 9 2 3 2 2 8 2" xfId="18472" xr:uid="{CE0400BC-3F1A-49F0-AF46-ABEB88168EA3}"/>
    <cellStyle name="Normal 9 2 3 2 2 9" xfId="19295" xr:uid="{8F7A060D-650F-47D0-BC45-A4F2E6985D8F}"/>
    <cellStyle name="Normal 9 2 3 2 3" xfId="988" xr:uid="{00000000-0005-0000-0000-0000221F0000}"/>
    <cellStyle name="Normal 9 2 3 2 3 2" xfId="3221" xr:uid="{00000000-0005-0000-0000-0000231F0000}"/>
    <cellStyle name="Normal 9 2 3 2 3 2 2" xfId="7443" xr:uid="{00000000-0005-0000-0000-0000241F0000}"/>
    <cellStyle name="Normal 9 2 3 2 3 2 2 2" xfId="26069" xr:uid="{27D63071-3195-4A0E-9F6E-8F12D9E809E2}"/>
    <cellStyle name="Normal 9 2 3 2 3 2 2 3" xfId="34516" xr:uid="{868A31BC-1556-4978-8EB6-4BD3AA56B571}"/>
    <cellStyle name="Normal 9 2 3 2 3 2 2 4" xfId="42963" xr:uid="{0A4D5376-FCC3-44B1-847C-3964E865705E}"/>
    <cellStyle name="Normal 9 2 3 2 3 2 2 5" xfId="16769" xr:uid="{3F3A4C20-A9C7-42AA-8A32-1FCF55E41A24}"/>
    <cellStyle name="Normal 9 2 3 2 3 2 3" xfId="21852" xr:uid="{18095C30-A195-4920-87FC-2893D88B8983}"/>
    <cellStyle name="Normal 9 2 3 2 3 2 4" xfId="30299" xr:uid="{1DB25955-8243-439A-92CA-40778ED74EDA}"/>
    <cellStyle name="Normal 9 2 3 2 3 2 5" xfId="38746" xr:uid="{0B04E754-197E-4F87-88B7-FC6F450925A0}"/>
    <cellStyle name="Normal 9 2 3 2 3 2 6" xfId="12552" xr:uid="{5B796E20-572C-406C-8ED5-455E11E03549}"/>
    <cellStyle name="Normal 9 2 3 2 3 3" xfId="5298" xr:uid="{00000000-0005-0000-0000-0000251F0000}"/>
    <cellStyle name="Normal 9 2 3 2 3 3 2" xfId="23924" xr:uid="{AF3BA2DB-6C42-4DAE-946C-077FB29B72C4}"/>
    <cellStyle name="Normal 9 2 3 2 3 3 3" xfId="32371" xr:uid="{6669C5B6-92E7-4B07-BEEF-AA29D2B9A22E}"/>
    <cellStyle name="Normal 9 2 3 2 3 3 4" xfId="40818" xr:uid="{EFA36103-019A-4EA9-877A-BC1BCB013A3D}"/>
    <cellStyle name="Normal 9 2 3 2 3 3 5" xfId="14624" xr:uid="{93DE5FC0-FF01-42FD-A0C8-564A918C4589}"/>
    <cellStyle name="Normal 9 2 3 2 3 4" xfId="9366" xr:uid="{136A6B94-9CAA-4F6C-B09D-7385900FCA38}"/>
    <cellStyle name="Normal 9 2 3 2 3 4 2" xfId="18682" xr:uid="{9CE85FCD-87F2-4E06-8E42-7B161CFA3942}"/>
    <cellStyle name="Normal 9 2 3 2 3 5" xfId="19707" xr:uid="{8AA67281-96BE-42B1-BE0B-ABEA4AF90686}"/>
    <cellStyle name="Normal 9 2 3 2 3 6" xfId="28154" xr:uid="{A778E4C3-F30E-42A4-A7A5-A341FECA9B40}"/>
    <cellStyle name="Normal 9 2 3 2 3 7" xfId="36601" xr:uid="{F4CCC5B9-0B35-434F-AB96-E2080DF7496B}"/>
    <cellStyle name="Normal 9 2 3 2 3 8" xfId="10407" xr:uid="{C6685503-C4FD-4C2C-BEB1-95C824DCEE42}"/>
    <cellStyle name="Normal 9 2 3 2 4" xfId="1404" xr:uid="{00000000-0005-0000-0000-0000261F0000}"/>
    <cellStyle name="Normal 9 2 3 2 4 2" xfId="3634" xr:uid="{00000000-0005-0000-0000-0000271F0000}"/>
    <cellStyle name="Normal 9 2 3 2 4 2 2" xfId="7856" xr:uid="{00000000-0005-0000-0000-0000281F0000}"/>
    <cellStyle name="Normal 9 2 3 2 4 2 2 2" xfId="26482" xr:uid="{CAD7A3BE-0BA9-4AF8-8A0A-6D140E6888B8}"/>
    <cellStyle name="Normal 9 2 3 2 4 2 2 3" xfId="34929" xr:uid="{3E594872-5449-45FA-974A-7FFB1029492F}"/>
    <cellStyle name="Normal 9 2 3 2 4 2 2 4" xfId="43376" xr:uid="{7E21FC56-4998-40FB-91F7-1E7E9A3536BC}"/>
    <cellStyle name="Normal 9 2 3 2 4 2 2 5" xfId="17182" xr:uid="{BAD0618A-A648-487E-B36D-31FFF1C00F9D}"/>
    <cellStyle name="Normal 9 2 3 2 4 2 3" xfId="22265" xr:uid="{3FCA7A03-9D19-4E7F-BDD6-9FE76D6863A9}"/>
    <cellStyle name="Normal 9 2 3 2 4 2 4" xfId="30712" xr:uid="{156D1312-48DE-4401-B504-2EB5A87F6FDE}"/>
    <cellStyle name="Normal 9 2 3 2 4 2 5" xfId="39159" xr:uid="{08807C63-F1F6-45A0-B0B8-8ABE30D9C6E9}"/>
    <cellStyle name="Normal 9 2 3 2 4 2 6" xfId="12965" xr:uid="{C926CEEB-9593-47D9-99BC-0C683B7AC10E}"/>
    <cellStyle name="Normal 9 2 3 2 4 3" xfId="5711" xr:uid="{00000000-0005-0000-0000-0000291F0000}"/>
    <cellStyle name="Normal 9 2 3 2 4 3 2" xfId="24337" xr:uid="{50BD0AB3-015F-4BFB-AF95-7F3AFDFB04B6}"/>
    <cellStyle name="Normal 9 2 3 2 4 3 3" xfId="32784" xr:uid="{F4514393-A94C-4C49-B812-13F4513D0CCD}"/>
    <cellStyle name="Normal 9 2 3 2 4 3 4" xfId="41231" xr:uid="{39836744-8720-4C73-8444-2E7C4357CC9C}"/>
    <cellStyle name="Normal 9 2 3 2 4 3 5" xfId="15037" xr:uid="{9FB80F20-32C1-4C08-837F-EF348524C1A0}"/>
    <cellStyle name="Normal 9 2 3 2 4 4" xfId="20120" xr:uid="{8D7607A7-D8B4-4AA7-9595-43E89EE199C3}"/>
    <cellStyle name="Normal 9 2 3 2 4 5" xfId="28567" xr:uid="{C0817D5F-721E-4A84-8F3B-EFC3F3E14902}"/>
    <cellStyle name="Normal 9 2 3 2 4 6" xfId="37014" xr:uid="{DE562108-5B85-4C97-9B32-2F9B9B46D9BB}"/>
    <cellStyle name="Normal 9 2 3 2 4 7" xfId="10820" xr:uid="{93AF9AC8-6EBF-4318-8612-75215EF11194}"/>
    <cellStyle name="Normal 9 2 3 2 5" xfId="1817" xr:uid="{00000000-0005-0000-0000-00002A1F0000}"/>
    <cellStyle name="Normal 9 2 3 2 5 2" xfId="4047" xr:uid="{00000000-0005-0000-0000-00002B1F0000}"/>
    <cellStyle name="Normal 9 2 3 2 5 2 2" xfId="8269" xr:uid="{00000000-0005-0000-0000-00002C1F0000}"/>
    <cellStyle name="Normal 9 2 3 2 5 2 2 2" xfId="26895" xr:uid="{BA75FA35-8717-44AB-AEF8-E2843CA4932D}"/>
    <cellStyle name="Normal 9 2 3 2 5 2 2 3" xfId="35342" xr:uid="{38E923C0-82D8-4AF1-9167-37A741B22B04}"/>
    <cellStyle name="Normal 9 2 3 2 5 2 2 4" xfId="43789" xr:uid="{3738869A-0874-4889-880C-D1B4A8048297}"/>
    <cellStyle name="Normal 9 2 3 2 5 2 2 5" xfId="17595" xr:uid="{FFBF85AB-ECCA-462A-A537-F8E223753C2C}"/>
    <cellStyle name="Normal 9 2 3 2 5 2 3" xfId="22678" xr:uid="{0097811C-2E19-4EB0-9F7D-883776EAAD65}"/>
    <cellStyle name="Normal 9 2 3 2 5 2 4" xfId="31125" xr:uid="{4E5E026C-F06C-4CF6-BE2E-4CBF5E00A634}"/>
    <cellStyle name="Normal 9 2 3 2 5 2 5" xfId="39572" xr:uid="{2B5955D9-20F7-48D0-9942-09EA8602A3DB}"/>
    <cellStyle name="Normal 9 2 3 2 5 2 6" xfId="13378" xr:uid="{E83901AB-50C2-4A67-9DD7-4585976C3BAB}"/>
    <cellStyle name="Normal 9 2 3 2 5 3" xfId="6124" xr:uid="{00000000-0005-0000-0000-00002D1F0000}"/>
    <cellStyle name="Normal 9 2 3 2 5 3 2" xfId="24750" xr:uid="{05611673-EADA-45B9-B64F-886F2CA16176}"/>
    <cellStyle name="Normal 9 2 3 2 5 3 3" xfId="33197" xr:uid="{B7139BDD-649B-4423-92A6-B90817C6706E}"/>
    <cellStyle name="Normal 9 2 3 2 5 3 4" xfId="41644" xr:uid="{355A3AC6-ADEA-4EF1-8DDF-D92D4BFBACBF}"/>
    <cellStyle name="Normal 9 2 3 2 5 3 5" xfId="15450" xr:uid="{A7AC8D4F-9331-4974-A415-6F8885005D82}"/>
    <cellStyle name="Normal 9 2 3 2 5 4" xfId="20533" xr:uid="{1BBF0F63-86AA-49DA-9E4F-2A3656AEA252}"/>
    <cellStyle name="Normal 9 2 3 2 5 5" xfId="28980" xr:uid="{C87506B9-5C1B-4176-95A8-8FE042D5D748}"/>
    <cellStyle name="Normal 9 2 3 2 5 6" xfId="37427" xr:uid="{ECB852C1-6BFD-4923-9034-80D26927B5F1}"/>
    <cellStyle name="Normal 9 2 3 2 5 7" xfId="11233" xr:uid="{7B5AEEC2-0141-4F5D-8DB9-A7E7F91B183D}"/>
    <cellStyle name="Normal 9 2 3 2 6" xfId="2231" xr:uid="{00000000-0005-0000-0000-00002E1F0000}"/>
    <cellStyle name="Normal 9 2 3 2 6 2" xfId="4460" xr:uid="{00000000-0005-0000-0000-00002F1F0000}"/>
    <cellStyle name="Normal 9 2 3 2 6 2 2" xfId="8682" xr:uid="{00000000-0005-0000-0000-0000301F0000}"/>
    <cellStyle name="Normal 9 2 3 2 6 2 2 2" xfId="27308" xr:uid="{9A15AFC0-C5A2-44C0-AF88-321CFF306320}"/>
    <cellStyle name="Normal 9 2 3 2 6 2 2 3" xfId="35755" xr:uid="{CF118B50-1B03-4996-863E-112A904C4C40}"/>
    <cellStyle name="Normal 9 2 3 2 6 2 2 4" xfId="44202" xr:uid="{40FFF1DB-5EC6-4605-A254-6E928EB39B8A}"/>
    <cellStyle name="Normal 9 2 3 2 6 2 2 5" xfId="18008" xr:uid="{6E3FDD9B-D949-4F91-9DC7-5A4FACBBDAA0}"/>
    <cellStyle name="Normal 9 2 3 2 6 2 3" xfId="23091" xr:uid="{3A789968-A435-4F8A-BED7-9B3E3D2A3D89}"/>
    <cellStyle name="Normal 9 2 3 2 6 2 4" xfId="31538" xr:uid="{FA3B280E-DAF1-471D-AAC2-00BF61E261BD}"/>
    <cellStyle name="Normal 9 2 3 2 6 2 5" xfId="39985" xr:uid="{EB42DF5B-E0AF-4FE9-9D80-D09A74097260}"/>
    <cellStyle name="Normal 9 2 3 2 6 2 6" xfId="13791" xr:uid="{08B367CB-01C9-4318-89A8-A12AE43DE9A7}"/>
    <cellStyle name="Normal 9 2 3 2 6 3" xfId="6537" xr:uid="{00000000-0005-0000-0000-0000311F0000}"/>
    <cellStyle name="Normal 9 2 3 2 6 3 2" xfId="25163" xr:uid="{8AA9E11E-5BEC-4564-ABB1-3FDB8D0B4E9C}"/>
    <cellStyle name="Normal 9 2 3 2 6 3 3" xfId="33610" xr:uid="{77A108C2-F1E3-4A4B-8EDA-06FEF9F8B195}"/>
    <cellStyle name="Normal 9 2 3 2 6 3 4" xfId="42057" xr:uid="{02B399DB-FA05-479A-A6CA-D36310091A53}"/>
    <cellStyle name="Normal 9 2 3 2 6 3 5" xfId="15863" xr:uid="{9E1A60E9-6AFC-4183-BFFD-8B20A3757434}"/>
    <cellStyle name="Normal 9 2 3 2 6 4" xfId="20946" xr:uid="{A01EABBD-DABC-4DB1-B4C7-A0BAC8E222EC}"/>
    <cellStyle name="Normal 9 2 3 2 6 5" xfId="29393" xr:uid="{F5A7A365-37A3-4812-8CF2-71A37A6A2532}"/>
    <cellStyle name="Normal 9 2 3 2 6 6" xfId="37840" xr:uid="{5170AE34-83FE-4C97-A2AA-425A48C08BE5}"/>
    <cellStyle name="Normal 9 2 3 2 6 7" xfId="11646" xr:uid="{68A46EF6-0E00-4D4A-A05D-4000B9F0B0C1}"/>
    <cellStyle name="Normal 9 2 3 2 7" xfId="2667" xr:uid="{00000000-0005-0000-0000-0000321F0000}"/>
    <cellStyle name="Normal 9 2 3 2 7 2" xfId="6950" xr:uid="{00000000-0005-0000-0000-0000331F0000}"/>
    <cellStyle name="Normal 9 2 3 2 7 2 2" xfId="25576" xr:uid="{6AA0AC9E-1A34-466F-9DAE-91EF30BC8299}"/>
    <cellStyle name="Normal 9 2 3 2 7 2 3" xfId="34023" xr:uid="{E93EEFA3-0BBF-4855-BE7F-AE0A630AF574}"/>
    <cellStyle name="Normal 9 2 3 2 7 2 4" xfId="42470" xr:uid="{E98CE185-0FCC-4B90-9436-05323A116A13}"/>
    <cellStyle name="Normal 9 2 3 2 7 2 5" xfId="16276" xr:uid="{C2A64569-8E56-4A63-AE5E-D6C785C30CD5}"/>
    <cellStyle name="Normal 9 2 3 2 7 3" xfId="21359" xr:uid="{377847F1-AF33-4D73-8754-FF2D9F0A9376}"/>
    <cellStyle name="Normal 9 2 3 2 7 4" xfId="29806" xr:uid="{F096B5A6-A6FA-4660-872E-1384E127FDEC}"/>
    <cellStyle name="Normal 9 2 3 2 7 5" xfId="38253" xr:uid="{B244B056-53FF-4850-B9F0-4A90DB0DF88D}"/>
    <cellStyle name="Normal 9 2 3 2 7 6" xfId="12059" xr:uid="{DBD3A853-7948-41FB-A49C-D89CBABF070F}"/>
    <cellStyle name="Normal 9 2 3 2 8" xfId="4885" xr:uid="{00000000-0005-0000-0000-0000341F0000}"/>
    <cellStyle name="Normal 9 2 3 2 8 2" xfId="23511" xr:uid="{8163B2B9-F38E-4259-822F-E0CED2558006}"/>
    <cellStyle name="Normal 9 2 3 2 8 3" xfId="31958" xr:uid="{AB7AB4E9-FB39-4FEE-AC85-665F5BC2BC8C}"/>
    <cellStyle name="Normal 9 2 3 2 8 4" xfId="40405" xr:uid="{13F56081-C848-4603-A35D-8349A1EE73E8}"/>
    <cellStyle name="Normal 9 2 3 2 8 5" xfId="14211" xr:uid="{DAEA1F45-2FC1-4595-94F9-AB52B17FA6A8}"/>
    <cellStyle name="Normal 9 2 3 2 9" xfId="8941" xr:uid="{DDA1E375-E708-45D0-9119-207D493A75BA}"/>
    <cellStyle name="Normal 9 2 3 2 9 2" xfId="18265" xr:uid="{4EC39E75-A4F1-45F8-8977-6A6452A3BDD4}"/>
    <cellStyle name="Normal 9 2 3 3" xfId="523" xr:uid="{00000000-0005-0000-0000-0000351F0000}"/>
    <cellStyle name="Normal 9 2 3 3 10" xfId="27743" xr:uid="{FCC811D4-6116-47FF-B222-CA371D730939}"/>
    <cellStyle name="Normal 9 2 3 3 11" xfId="36190" xr:uid="{2502097C-1DA3-4A76-9450-9056307E6F2A}"/>
    <cellStyle name="Normal 9 2 3 3 12" xfId="9996" xr:uid="{F83C1818-8CF8-42B2-B882-2DE7086EBB69}"/>
    <cellStyle name="Normal 9 2 3 3 2" xfId="990" xr:uid="{00000000-0005-0000-0000-0000361F0000}"/>
    <cellStyle name="Normal 9 2 3 3 2 2" xfId="3223" xr:uid="{00000000-0005-0000-0000-0000371F0000}"/>
    <cellStyle name="Normal 9 2 3 3 2 2 2" xfId="7445" xr:uid="{00000000-0005-0000-0000-0000381F0000}"/>
    <cellStyle name="Normal 9 2 3 3 2 2 2 2" xfId="26071" xr:uid="{395A0F2E-4F7D-43DE-A0BF-5132793CE355}"/>
    <cellStyle name="Normal 9 2 3 3 2 2 2 3" xfId="34518" xr:uid="{C70D296A-4BAD-4B1A-B571-D2DA72B3984A}"/>
    <cellStyle name="Normal 9 2 3 3 2 2 2 4" xfId="42965" xr:uid="{FB87D9A8-9CDA-4385-901A-CB842741A627}"/>
    <cellStyle name="Normal 9 2 3 3 2 2 2 5" xfId="16771" xr:uid="{1D16741E-6D53-4B57-8310-351ABE3F6462}"/>
    <cellStyle name="Normal 9 2 3 3 2 2 3" xfId="21854" xr:uid="{94FB21C4-FA2C-4FAB-B5D5-71C7F0E5C199}"/>
    <cellStyle name="Normal 9 2 3 3 2 2 4" xfId="30301" xr:uid="{816232D5-E649-4E09-B442-ED1089C61C8A}"/>
    <cellStyle name="Normal 9 2 3 3 2 2 5" xfId="38748" xr:uid="{5D82B0F2-D3D0-4D27-BBFD-762C4EF2376E}"/>
    <cellStyle name="Normal 9 2 3 3 2 2 6" xfId="12554" xr:uid="{CA1412BF-1FF3-4BC1-8333-33F3B31CFAE1}"/>
    <cellStyle name="Normal 9 2 3 3 2 3" xfId="5300" xr:uid="{00000000-0005-0000-0000-0000391F0000}"/>
    <cellStyle name="Normal 9 2 3 3 2 3 2" xfId="23926" xr:uid="{F4EED69C-F576-4C1A-A6D4-C816ECDCE6FD}"/>
    <cellStyle name="Normal 9 2 3 3 2 3 3" xfId="32373" xr:uid="{413EC437-F0C4-474E-9030-CE5B3D769BAD}"/>
    <cellStyle name="Normal 9 2 3 3 2 3 4" xfId="40820" xr:uid="{24ABD245-3ED4-4274-8787-EC25C26247E4}"/>
    <cellStyle name="Normal 9 2 3 3 2 3 5" xfId="14626" xr:uid="{98C0A88A-1C6B-4070-8B01-DD1D4D79B0F8}"/>
    <cellStyle name="Normal 9 2 3 3 2 4" xfId="9470" xr:uid="{B46EA5E7-4A9D-405A-94B0-2C155F0DE1F1}"/>
    <cellStyle name="Normal 9 2 3 3 2 4 2" xfId="18786" xr:uid="{34CED724-6007-4776-B1C8-1B6E5FBEED39}"/>
    <cellStyle name="Normal 9 2 3 3 2 5" xfId="19709" xr:uid="{41822F59-2B3D-47CB-AAAA-1D150101C783}"/>
    <cellStyle name="Normal 9 2 3 3 2 6" xfId="28156" xr:uid="{ED642A18-BA68-4F59-9B08-DE5615BA2596}"/>
    <cellStyle name="Normal 9 2 3 3 2 7" xfId="36603" xr:uid="{1FB44295-052D-4F7F-B9F2-F4BAC3503CF1}"/>
    <cellStyle name="Normal 9 2 3 3 2 8" xfId="10409" xr:uid="{25511E86-084B-4355-B60A-B6BDC8219981}"/>
    <cellStyle name="Normal 9 2 3 3 3" xfId="1406" xr:uid="{00000000-0005-0000-0000-00003A1F0000}"/>
    <cellStyle name="Normal 9 2 3 3 3 2" xfId="3636" xr:uid="{00000000-0005-0000-0000-00003B1F0000}"/>
    <cellStyle name="Normal 9 2 3 3 3 2 2" xfId="7858" xr:uid="{00000000-0005-0000-0000-00003C1F0000}"/>
    <cellStyle name="Normal 9 2 3 3 3 2 2 2" xfId="26484" xr:uid="{69BF5D03-C072-4B29-9425-92DC20C49699}"/>
    <cellStyle name="Normal 9 2 3 3 3 2 2 3" xfId="34931" xr:uid="{7BBF14F0-15FE-4C85-8308-2A446025C4A1}"/>
    <cellStyle name="Normal 9 2 3 3 3 2 2 4" xfId="43378" xr:uid="{52ACF289-7ADE-4B49-BFAB-792AC0E32A13}"/>
    <cellStyle name="Normal 9 2 3 3 3 2 2 5" xfId="17184" xr:uid="{2911F93A-D9C0-4336-8718-47E9EB607536}"/>
    <cellStyle name="Normal 9 2 3 3 3 2 3" xfId="22267" xr:uid="{5465CD2D-BC32-4ADD-A80A-0CA9A2CC4CBD}"/>
    <cellStyle name="Normal 9 2 3 3 3 2 4" xfId="30714" xr:uid="{BC3DABBE-16C7-4FA3-8E9F-DBABB365D1AF}"/>
    <cellStyle name="Normal 9 2 3 3 3 2 5" xfId="39161" xr:uid="{1D744EF5-7B4B-48F5-8E6A-47F2E6A0051E}"/>
    <cellStyle name="Normal 9 2 3 3 3 2 6" xfId="12967" xr:uid="{EE198747-B6E0-4F54-8887-0B66ADF321E7}"/>
    <cellStyle name="Normal 9 2 3 3 3 3" xfId="5713" xr:uid="{00000000-0005-0000-0000-00003D1F0000}"/>
    <cellStyle name="Normal 9 2 3 3 3 3 2" xfId="24339" xr:uid="{AAD3B40E-894D-4CA2-A104-462DD64CEA8C}"/>
    <cellStyle name="Normal 9 2 3 3 3 3 3" xfId="32786" xr:uid="{497F2CBD-8029-4383-87E4-F2BD9A0A576D}"/>
    <cellStyle name="Normal 9 2 3 3 3 3 4" xfId="41233" xr:uid="{2942EFD4-2C46-4244-AAD6-4476314FC525}"/>
    <cellStyle name="Normal 9 2 3 3 3 3 5" xfId="15039" xr:uid="{59485C5C-07E7-455F-B3FD-C04C2D715ED2}"/>
    <cellStyle name="Normal 9 2 3 3 3 4" xfId="20122" xr:uid="{F41BC759-83E1-4F5E-8A50-542C53DA6698}"/>
    <cellStyle name="Normal 9 2 3 3 3 5" xfId="28569" xr:uid="{0CCF9E41-EFA0-4188-813A-916A7F7AB96F}"/>
    <cellStyle name="Normal 9 2 3 3 3 6" xfId="37016" xr:uid="{E1E7ECAE-7A62-4A38-A11C-B0A4FEBED858}"/>
    <cellStyle name="Normal 9 2 3 3 3 7" xfId="10822" xr:uid="{1163F955-AEE1-4817-8AE6-47BE00F5C5AF}"/>
    <cellStyle name="Normal 9 2 3 3 4" xfId="1819" xr:uid="{00000000-0005-0000-0000-00003E1F0000}"/>
    <cellStyle name="Normal 9 2 3 3 4 2" xfId="4049" xr:uid="{00000000-0005-0000-0000-00003F1F0000}"/>
    <cellStyle name="Normal 9 2 3 3 4 2 2" xfId="8271" xr:uid="{00000000-0005-0000-0000-0000401F0000}"/>
    <cellStyle name="Normal 9 2 3 3 4 2 2 2" xfId="26897" xr:uid="{281F01FC-D12A-4A2F-90F7-0A2569740BC2}"/>
    <cellStyle name="Normal 9 2 3 3 4 2 2 3" xfId="35344" xr:uid="{72171EA1-5771-459D-A897-D14671CF9EE3}"/>
    <cellStyle name="Normal 9 2 3 3 4 2 2 4" xfId="43791" xr:uid="{AEB4B079-EA94-4EFB-92A1-7A0871D30540}"/>
    <cellStyle name="Normal 9 2 3 3 4 2 2 5" xfId="17597" xr:uid="{04192DA4-C00C-4041-AEC6-EFC35597E429}"/>
    <cellStyle name="Normal 9 2 3 3 4 2 3" xfId="22680" xr:uid="{7A9658B4-773D-46FE-9E31-73F2B2D38915}"/>
    <cellStyle name="Normal 9 2 3 3 4 2 4" xfId="31127" xr:uid="{037896F1-D120-4953-808B-E914341A2957}"/>
    <cellStyle name="Normal 9 2 3 3 4 2 5" xfId="39574" xr:uid="{B7442893-F450-465B-A8FC-5C14B55CC988}"/>
    <cellStyle name="Normal 9 2 3 3 4 2 6" xfId="13380" xr:uid="{9FD99A53-841E-4AFA-AC68-83A276F0C057}"/>
    <cellStyle name="Normal 9 2 3 3 4 3" xfId="6126" xr:uid="{00000000-0005-0000-0000-0000411F0000}"/>
    <cellStyle name="Normal 9 2 3 3 4 3 2" xfId="24752" xr:uid="{0E13BE22-4D60-4BF1-8127-D07E8A24552F}"/>
    <cellStyle name="Normal 9 2 3 3 4 3 3" xfId="33199" xr:uid="{1AC581CF-272F-4234-9946-AF4FF764F764}"/>
    <cellStyle name="Normal 9 2 3 3 4 3 4" xfId="41646" xr:uid="{D9B90E01-ABDD-4B08-AA58-68102C3E6BEA}"/>
    <cellStyle name="Normal 9 2 3 3 4 3 5" xfId="15452" xr:uid="{79371FB9-5252-4F92-A6B6-EB6A0FBADDC6}"/>
    <cellStyle name="Normal 9 2 3 3 4 4" xfId="20535" xr:uid="{18FE6CEC-61CE-41FB-B920-C9CB1ABF02C9}"/>
    <cellStyle name="Normal 9 2 3 3 4 5" xfId="28982" xr:uid="{E6D527A2-9266-4020-9970-35D8EC2899CC}"/>
    <cellStyle name="Normal 9 2 3 3 4 6" xfId="37429" xr:uid="{E170B8BC-6658-46DA-B84D-4DF6AF9D2EB4}"/>
    <cellStyle name="Normal 9 2 3 3 4 7" xfId="11235" xr:uid="{B2AD21CF-590B-4254-9C23-5B20346FFA6E}"/>
    <cellStyle name="Normal 9 2 3 3 5" xfId="2233" xr:uid="{00000000-0005-0000-0000-0000421F0000}"/>
    <cellStyle name="Normal 9 2 3 3 5 2" xfId="4462" xr:uid="{00000000-0005-0000-0000-0000431F0000}"/>
    <cellStyle name="Normal 9 2 3 3 5 2 2" xfId="8684" xr:uid="{00000000-0005-0000-0000-0000441F0000}"/>
    <cellStyle name="Normal 9 2 3 3 5 2 2 2" xfId="27310" xr:uid="{37642945-B725-4938-B06F-B46E5846E0E0}"/>
    <cellStyle name="Normal 9 2 3 3 5 2 2 3" xfId="35757" xr:uid="{50345E87-EAC1-445E-B255-D49289EA2B31}"/>
    <cellStyle name="Normal 9 2 3 3 5 2 2 4" xfId="44204" xr:uid="{59ECEC69-8589-4C64-86C1-882FF5567072}"/>
    <cellStyle name="Normal 9 2 3 3 5 2 2 5" xfId="18010" xr:uid="{366D69B2-6F17-4B5D-9241-8DE9B84B4FA3}"/>
    <cellStyle name="Normal 9 2 3 3 5 2 3" xfId="23093" xr:uid="{E8870D12-E893-43BB-A55F-98A8EC986CDC}"/>
    <cellStyle name="Normal 9 2 3 3 5 2 4" xfId="31540" xr:uid="{244A46A8-2989-45EB-8E70-89050F31E61F}"/>
    <cellStyle name="Normal 9 2 3 3 5 2 5" xfId="39987" xr:uid="{F42321F8-5FFB-41BB-8342-12120F41DFF8}"/>
    <cellStyle name="Normal 9 2 3 3 5 2 6" xfId="13793" xr:uid="{B2ED3F9C-7483-488B-9DC2-312802FEA0B6}"/>
    <cellStyle name="Normal 9 2 3 3 5 3" xfId="6539" xr:uid="{00000000-0005-0000-0000-0000451F0000}"/>
    <cellStyle name="Normal 9 2 3 3 5 3 2" xfId="25165" xr:uid="{34F63263-A845-44D3-AC71-4258CC6800E2}"/>
    <cellStyle name="Normal 9 2 3 3 5 3 3" xfId="33612" xr:uid="{AE0F66CB-B660-4C7F-92C4-B65562CB3CCA}"/>
    <cellStyle name="Normal 9 2 3 3 5 3 4" xfId="42059" xr:uid="{63EAEB4C-171C-4D2A-8E60-82AAFED48C53}"/>
    <cellStyle name="Normal 9 2 3 3 5 3 5" xfId="15865" xr:uid="{838C48D9-AC9E-4A15-B66B-23E19F3003C2}"/>
    <cellStyle name="Normal 9 2 3 3 5 4" xfId="20948" xr:uid="{4C17F23F-4A22-443A-AF69-1ED06A440BE4}"/>
    <cellStyle name="Normal 9 2 3 3 5 5" xfId="29395" xr:uid="{FCF802A7-EA34-44E4-AAC6-C2E837CA06C9}"/>
    <cellStyle name="Normal 9 2 3 3 5 6" xfId="37842" xr:uid="{1AEF208A-914A-41DB-A072-265C6E00A26F}"/>
    <cellStyle name="Normal 9 2 3 3 5 7" xfId="11648" xr:uid="{7B5DB839-03FC-49E5-AF93-56E065B104A9}"/>
    <cellStyle name="Normal 9 2 3 3 6" xfId="2669" xr:uid="{00000000-0005-0000-0000-0000461F0000}"/>
    <cellStyle name="Normal 9 2 3 3 6 2" xfId="6952" xr:uid="{00000000-0005-0000-0000-0000471F0000}"/>
    <cellStyle name="Normal 9 2 3 3 6 2 2" xfId="25578" xr:uid="{4DE54183-13F8-48A9-9430-0964C9CE2FEC}"/>
    <cellStyle name="Normal 9 2 3 3 6 2 3" xfId="34025" xr:uid="{849C8B75-D3AA-4B9E-9E26-43AD6D99AA6A}"/>
    <cellStyle name="Normal 9 2 3 3 6 2 4" xfId="42472" xr:uid="{4FFCEB7F-57E1-47F7-9D8B-D9107175E2B6}"/>
    <cellStyle name="Normal 9 2 3 3 6 2 5" xfId="16278" xr:uid="{B284198F-2FEB-446D-8A31-91328006B441}"/>
    <cellStyle name="Normal 9 2 3 3 6 3" xfId="21361" xr:uid="{CC7B0EBC-87EA-422B-828A-592FB70BEA79}"/>
    <cellStyle name="Normal 9 2 3 3 6 4" xfId="29808" xr:uid="{43D9BA08-B57A-40EE-994C-2BFD9AEE698D}"/>
    <cellStyle name="Normal 9 2 3 3 6 5" xfId="38255" xr:uid="{8F4FAFE0-F00C-4CA5-8456-C7D6AAAB8EAC}"/>
    <cellStyle name="Normal 9 2 3 3 6 6" xfId="12061" xr:uid="{52AFE08E-9181-4195-ABE8-50CBC200A9F8}"/>
    <cellStyle name="Normal 9 2 3 3 7" xfId="4887" xr:uid="{00000000-0005-0000-0000-0000481F0000}"/>
    <cellStyle name="Normal 9 2 3 3 7 2" xfId="23513" xr:uid="{3A8E1A40-A336-44F9-84FC-7BA60C5D467F}"/>
    <cellStyle name="Normal 9 2 3 3 7 3" xfId="31960" xr:uid="{C5D219C2-538D-4300-9E8E-22AD27107303}"/>
    <cellStyle name="Normal 9 2 3 3 7 4" xfId="40407" xr:uid="{11B2211F-FB90-41E5-95BD-BBCE23303FC6}"/>
    <cellStyle name="Normal 9 2 3 3 7 5" xfId="14213" xr:uid="{A6BE8D8B-7765-4C4C-BABD-4C64ACEDBAA0}"/>
    <cellStyle name="Normal 9 2 3 3 8" xfId="9045" xr:uid="{CD23D75F-FCE1-471A-A55A-DAC6FB15D069}"/>
    <cellStyle name="Normal 9 2 3 3 8 2" xfId="18369" xr:uid="{6F16D22F-8180-4310-BDA8-53A1A940513A}"/>
    <cellStyle name="Normal 9 2 3 3 9" xfId="19296" xr:uid="{F9919CF9-25D0-4773-946F-19DF2F36C17E}"/>
    <cellStyle name="Normal 9 2 3 4" xfId="987" xr:uid="{00000000-0005-0000-0000-0000491F0000}"/>
    <cellStyle name="Normal 9 2 3 4 2" xfId="3220" xr:uid="{00000000-0005-0000-0000-00004A1F0000}"/>
    <cellStyle name="Normal 9 2 3 4 2 2" xfId="7442" xr:uid="{00000000-0005-0000-0000-00004B1F0000}"/>
    <cellStyle name="Normal 9 2 3 4 2 2 2" xfId="26068" xr:uid="{4BDDA551-7B45-4101-88D5-BB61BABA8B1C}"/>
    <cellStyle name="Normal 9 2 3 4 2 2 3" xfId="34515" xr:uid="{CBF0E7FD-2DE3-4316-AD14-3C69DE9BDD6B}"/>
    <cellStyle name="Normal 9 2 3 4 2 2 4" xfId="42962" xr:uid="{F9264463-CAF2-4A82-B7FD-4FE75E00C2C1}"/>
    <cellStyle name="Normal 9 2 3 4 2 2 5" xfId="16768" xr:uid="{8E7590C1-E446-4072-B1D2-E1A663438776}"/>
    <cellStyle name="Normal 9 2 3 4 2 3" xfId="21851" xr:uid="{C76D50D9-E55A-4EC4-99C7-EA1DAD4C50FB}"/>
    <cellStyle name="Normal 9 2 3 4 2 4" xfId="30298" xr:uid="{79A95A33-ADE9-450D-87B6-60CEE074243E}"/>
    <cellStyle name="Normal 9 2 3 4 2 5" xfId="38745" xr:uid="{875F28B9-D3B5-4AFE-8A47-9CF5109B4380}"/>
    <cellStyle name="Normal 9 2 3 4 2 6" xfId="12551" xr:uid="{D019C839-6541-4E7C-B5E8-26FC4C1C2F22}"/>
    <cellStyle name="Normal 9 2 3 4 3" xfId="5297" xr:uid="{00000000-0005-0000-0000-00004C1F0000}"/>
    <cellStyle name="Normal 9 2 3 4 3 2" xfId="23923" xr:uid="{52C57BFF-D509-40B0-B6B4-B598B65C054E}"/>
    <cellStyle name="Normal 9 2 3 4 3 3" xfId="32370" xr:uid="{61A6E382-A4FB-431C-A075-23842FC54CB0}"/>
    <cellStyle name="Normal 9 2 3 4 3 4" xfId="40817" xr:uid="{25795BAB-24FC-4D0D-A918-030E7510BF02}"/>
    <cellStyle name="Normal 9 2 3 4 3 5" xfId="14623" xr:uid="{67D250CF-B4C4-43A5-A0EB-DC41981B96CB}"/>
    <cellStyle name="Normal 9 2 3 4 4" xfId="9263" xr:uid="{8E7B719A-F76B-4A2B-A5A7-1A883FD6976F}"/>
    <cellStyle name="Normal 9 2 3 4 4 2" xfId="18579" xr:uid="{2287A60E-1D6E-4346-B221-D918F0C6C6E4}"/>
    <cellStyle name="Normal 9 2 3 4 5" xfId="19706" xr:uid="{991A5E82-6E9C-4D9B-963F-60AF3FEB0955}"/>
    <cellStyle name="Normal 9 2 3 4 6" xfId="28153" xr:uid="{D3571D3B-03F8-45FC-88DC-216300AE9AB5}"/>
    <cellStyle name="Normal 9 2 3 4 7" xfId="36600" xr:uid="{4D6FE6BD-E6C4-4608-B88A-38FD2E402A6C}"/>
    <cellStyle name="Normal 9 2 3 4 8" xfId="10406" xr:uid="{02CAF5FD-EB1A-452F-9E31-7B1980A4A8D9}"/>
    <cellStyle name="Normal 9 2 3 5" xfId="1403" xr:uid="{00000000-0005-0000-0000-00004D1F0000}"/>
    <cellStyle name="Normal 9 2 3 5 2" xfId="3633" xr:uid="{00000000-0005-0000-0000-00004E1F0000}"/>
    <cellStyle name="Normal 9 2 3 5 2 2" xfId="7855" xr:uid="{00000000-0005-0000-0000-00004F1F0000}"/>
    <cellStyle name="Normal 9 2 3 5 2 2 2" xfId="26481" xr:uid="{EE1E1209-095B-4236-BF8F-1AE59EDCD637}"/>
    <cellStyle name="Normal 9 2 3 5 2 2 3" xfId="34928" xr:uid="{2006D358-1349-434F-894B-0601175D4B26}"/>
    <cellStyle name="Normal 9 2 3 5 2 2 4" xfId="43375" xr:uid="{66DD3C1D-3B2A-4C25-BC38-C1FB7E3A1F0D}"/>
    <cellStyle name="Normal 9 2 3 5 2 2 5" xfId="17181" xr:uid="{0D15FD87-A82B-4DE5-A7D4-6DB6878693A5}"/>
    <cellStyle name="Normal 9 2 3 5 2 3" xfId="22264" xr:uid="{7E09CF35-D0B7-4113-AF64-65F33E8F0586}"/>
    <cellStyle name="Normal 9 2 3 5 2 4" xfId="30711" xr:uid="{AB5FC734-6686-4B50-B7D7-D334032648C9}"/>
    <cellStyle name="Normal 9 2 3 5 2 5" xfId="39158" xr:uid="{B904F2FC-841D-4673-B4D0-AC4A317B25A9}"/>
    <cellStyle name="Normal 9 2 3 5 2 6" xfId="12964" xr:uid="{1E90C36D-B826-49E1-B08D-C35A865809C8}"/>
    <cellStyle name="Normal 9 2 3 5 3" xfId="5710" xr:uid="{00000000-0005-0000-0000-0000501F0000}"/>
    <cellStyle name="Normal 9 2 3 5 3 2" xfId="24336" xr:uid="{6569777A-865A-4701-826F-94A6B5C1B7C7}"/>
    <cellStyle name="Normal 9 2 3 5 3 3" xfId="32783" xr:uid="{11B24996-0F4A-4713-87E6-4255AF32FC5E}"/>
    <cellStyle name="Normal 9 2 3 5 3 4" xfId="41230" xr:uid="{01819360-DDBE-4A72-A822-3238111CBDEE}"/>
    <cellStyle name="Normal 9 2 3 5 3 5" xfId="15036" xr:uid="{8B9297DA-CC1A-4EFD-9AEE-43C52A113044}"/>
    <cellStyle name="Normal 9 2 3 5 4" xfId="20119" xr:uid="{0CAFAFC5-D245-49BF-9E68-A55F45C4D98E}"/>
    <cellStyle name="Normal 9 2 3 5 5" xfId="28566" xr:uid="{F1E29D74-240C-4CDF-8EDA-E5FF3BE52AAF}"/>
    <cellStyle name="Normal 9 2 3 5 6" xfId="37013" xr:uid="{0E7475FA-C25D-4445-AE40-49670A3ED187}"/>
    <cellStyle name="Normal 9 2 3 5 7" xfId="10819" xr:uid="{BCED03F9-CAEF-4C14-B125-0E754CB451C0}"/>
    <cellStyle name="Normal 9 2 3 6" xfId="1816" xr:uid="{00000000-0005-0000-0000-0000511F0000}"/>
    <cellStyle name="Normal 9 2 3 6 2" xfId="4046" xr:uid="{00000000-0005-0000-0000-0000521F0000}"/>
    <cellStyle name="Normal 9 2 3 6 2 2" xfId="8268" xr:uid="{00000000-0005-0000-0000-0000531F0000}"/>
    <cellStyle name="Normal 9 2 3 6 2 2 2" xfId="26894" xr:uid="{CEA04488-1A55-48F2-A39B-8D1F59BEF93E}"/>
    <cellStyle name="Normal 9 2 3 6 2 2 3" xfId="35341" xr:uid="{8009A873-7AA0-4380-8568-351A3818AE67}"/>
    <cellStyle name="Normal 9 2 3 6 2 2 4" xfId="43788" xr:uid="{E5B3AF97-4F5C-4393-BF82-E8D6B43187FF}"/>
    <cellStyle name="Normal 9 2 3 6 2 2 5" xfId="17594" xr:uid="{668ACB27-F82C-445E-B053-4D95F0BEC205}"/>
    <cellStyle name="Normal 9 2 3 6 2 3" xfId="22677" xr:uid="{D37FA292-073D-4ADF-A1AB-D2086F55CAE9}"/>
    <cellStyle name="Normal 9 2 3 6 2 4" xfId="31124" xr:uid="{98AFED8A-5249-488E-9C83-A03C928A6B30}"/>
    <cellStyle name="Normal 9 2 3 6 2 5" xfId="39571" xr:uid="{A701BEB0-363C-4817-BA39-8CD0AAA788B5}"/>
    <cellStyle name="Normal 9 2 3 6 2 6" xfId="13377" xr:uid="{7A4611A1-1131-4342-8D84-100FE1463FC8}"/>
    <cellStyle name="Normal 9 2 3 6 3" xfId="6123" xr:uid="{00000000-0005-0000-0000-0000541F0000}"/>
    <cellStyle name="Normal 9 2 3 6 3 2" xfId="24749" xr:uid="{99ED49AD-A86C-4AE9-892A-F8A225F91A9C}"/>
    <cellStyle name="Normal 9 2 3 6 3 3" xfId="33196" xr:uid="{3C67EE3B-77CD-489A-AE56-8A13EFF8E66B}"/>
    <cellStyle name="Normal 9 2 3 6 3 4" xfId="41643" xr:uid="{6C24CB97-D3EA-47DD-8586-68620141553F}"/>
    <cellStyle name="Normal 9 2 3 6 3 5" xfId="15449" xr:uid="{E902BAC5-36DE-4BD4-B9F7-F3BDACB52031}"/>
    <cellStyle name="Normal 9 2 3 6 4" xfId="20532" xr:uid="{4B52114C-CDC3-4426-9B6E-CE397B488B9B}"/>
    <cellStyle name="Normal 9 2 3 6 5" xfId="28979" xr:uid="{EBAEFDD6-3812-4D1B-AE6A-72D141F08BB7}"/>
    <cellStyle name="Normal 9 2 3 6 6" xfId="37426" xr:uid="{19FEFB06-FD1F-44FA-8737-AE4FF937D48D}"/>
    <cellStyle name="Normal 9 2 3 6 7" xfId="11232" xr:uid="{FDFCA224-153F-4051-AD4A-E8CABF0AF018}"/>
    <cellStyle name="Normal 9 2 3 7" xfId="2230" xr:uid="{00000000-0005-0000-0000-0000551F0000}"/>
    <cellStyle name="Normal 9 2 3 7 2" xfId="4459" xr:uid="{00000000-0005-0000-0000-0000561F0000}"/>
    <cellStyle name="Normal 9 2 3 7 2 2" xfId="8681" xr:uid="{00000000-0005-0000-0000-0000571F0000}"/>
    <cellStyle name="Normal 9 2 3 7 2 2 2" xfId="27307" xr:uid="{022CAFF8-05AD-4E27-9011-3FBDCC72BF21}"/>
    <cellStyle name="Normal 9 2 3 7 2 2 3" xfId="35754" xr:uid="{C86752DB-7368-4B8C-9590-2CF5B4180243}"/>
    <cellStyle name="Normal 9 2 3 7 2 2 4" xfId="44201" xr:uid="{56CBF350-2623-4DA9-88FC-9814FFD9AD5A}"/>
    <cellStyle name="Normal 9 2 3 7 2 2 5" xfId="18007" xr:uid="{D2F53426-8CD7-4707-BFB0-7A45E14B8C9F}"/>
    <cellStyle name="Normal 9 2 3 7 2 3" xfId="23090" xr:uid="{758BFBC1-B3FF-4A66-8B1B-0770A2F6FF4E}"/>
    <cellStyle name="Normal 9 2 3 7 2 4" xfId="31537" xr:uid="{0D0D6E11-72C8-48AC-9CF0-4E00A077280E}"/>
    <cellStyle name="Normal 9 2 3 7 2 5" xfId="39984" xr:uid="{9C8725CB-2C82-4DE4-9A3B-7BC6FB08D0BD}"/>
    <cellStyle name="Normal 9 2 3 7 2 6" xfId="13790" xr:uid="{C02530AD-9012-4448-9698-1CDBC5F54A0B}"/>
    <cellStyle name="Normal 9 2 3 7 3" xfId="6536" xr:uid="{00000000-0005-0000-0000-0000581F0000}"/>
    <cellStyle name="Normal 9 2 3 7 3 2" xfId="25162" xr:uid="{E301FBB5-1872-4E0A-B1D2-5280BE74A601}"/>
    <cellStyle name="Normal 9 2 3 7 3 3" xfId="33609" xr:uid="{F7DEB51B-0D32-4140-BE08-5997595423EE}"/>
    <cellStyle name="Normal 9 2 3 7 3 4" xfId="42056" xr:uid="{6041896A-22E0-4E8C-83FC-28B104579780}"/>
    <cellStyle name="Normal 9 2 3 7 3 5" xfId="15862" xr:uid="{F3CCD087-BBC4-4B19-A8C4-2AD3BBF9EF34}"/>
    <cellStyle name="Normal 9 2 3 7 4" xfId="20945" xr:uid="{BB48480B-73F4-45F8-9C00-DA70FF98D55D}"/>
    <cellStyle name="Normal 9 2 3 7 5" xfId="29392" xr:uid="{CFAAA5F9-0E4A-49BD-A8E6-578943B88E65}"/>
    <cellStyle name="Normal 9 2 3 7 6" xfId="37839" xr:uid="{E998EDAB-CDAC-4A6C-AC17-AAE6DD407974}"/>
    <cellStyle name="Normal 9 2 3 7 7" xfId="11645" xr:uid="{D0602B35-DDC3-4C4A-88EB-7FEF733B8E0C}"/>
    <cellStyle name="Normal 9 2 3 8" xfId="2666" xr:uid="{00000000-0005-0000-0000-0000591F0000}"/>
    <cellStyle name="Normal 9 2 3 8 2" xfId="6949" xr:uid="{00000000-0005-0000-0000-00005A1F0000}"/>
    <cellStyle name="Normal 9 2 3 8 2 2" xfId="25575" xr:uid="{4F1F9810-6247-4055-88E1-681F128F2A84}"/>
    <cellStyle name="Normal 9 2 3 8 2 3" xfId="34022" xr:uid="{D1C658AA-747F-41CC-9A86-791C72BB9CF0}"/>
    <cellStyle name="Normal 9 2 3 8 2 4" xfId="42469" xr:uid="{3410E8A6-4A80-41FA-9D79-EED19672B45E}"/>
    <cellStyle name="Normal 9 2 3 8 2 5" xfId="16275" xr:uid="{A8215950-7AE3-4CB6-BFE6-2E1CDE8A634A}"/>
    <cellStyle name="Normal 9 2 3 8 3" xfId="21358" xr:uid="{437BF928-2B19-4AE8-811E-EDC3C7E86FAC}"/>
    <cellStyle name="Normal 9 2 3 8 4" xfId="29805" xr:uid="{6A292721-A57F-49EE-A694-E4CE6505B3D2}"/>
    <cellStyle name="Normal 9 2 3 8 5" xfId="38252" xr:uid="{2153A1A7-3882-4EE1-BA25-AEDCF38FA03E}"/>
    <cellStyle name="Normal 9 2 3 8 6" xfId="12058" xr:uid="{EBD301C6-20AC-4464-8D80-8F91D2CDD1D5}"/>
    <cellStyle name="Normal 9 2 3 9" xfId="4884" xr:uid="{00000000-0005-0000-0000-00005B1F0000}"/>
    <cellStyle name="Normal 9 2 3 9 2" xfId="23510" xr:uid="{EBAD6AD4-5E6A-4373-A3B8-A65E28643D5C}"/>
    <cellStyle name="Normal 9 2 3 9 3" xfId="31957" xr:uid="{DD227BA1-9A86-4E75-8729-78AA92027EFD}"/>
    <cellStyle name="Normal 9 2 3 9 4" xfId="40404" xr:uid="{49E557FB-0E7D-4A26-B6C4-9BEE2546CE57}"/>
    <cellStyle name="Normal 9 2 3 9 5" xfId="14210" xr:uid="{33159496-5620-41DC-9D26-A95A13A920B7}"/>
    <cellStyle name="Normal 9 2 4" xfId="524" xr:uid="{00000000-0005-0000-0000-00005C1F0000}"/>
    <cellStyle name="Normal 9 2 4 10" xfId="19297" xr:uid="{CC9C0488-D8D4-404B-919F-573893CA5523}"/>
    <cellStyle name="Normal 9 2 4 11" xfId="27744" xr:uid="{938147B4-5C41-4957-8E64-4A44DFE75007}"/>
    <cellStyle name="Normal 9 2 4 12" xfId="36191" xr:uid="{46DBFEC6-5019-46E0-AC21-FCC5CF7D563D}"/>
    <cellStyle name="Normal 9 2 4 13" xfId="9997" xr:uid="{FFAFFF88-E7E1-4F01-80D8-CA09CE6699D1}"/>
    <cellStyle name="Normal 9 2 4 2" xfId="525" xr:uid="{00000000-0005-0000-0000-00005D1F0000}"/>
    <cellStyle name="Normal 9 2 4 2 10" xfId="27745" xr:uid="{6BD6A135-54AF-4852-87C2-17F203B5C84A}"/>
    <cellStyle name="Normal 9 2 4 2 11" xfId="36192" xr:uid="{2CAFF787-90B6-4E74-876E-D68E8D8983FB}"/>
    <cellStyle name="Normal 9 2 4 2 12" xfId="9998" xr:uid="{0D8377E3-21BC-4F73-B935-E5E84042D20E}"/>
    <cellStyle name="Normal 9 2 4 2 2" xfId="992" xr:uid="{00000000-0005-0000-0000-00005E1F0000}"/>
    <cellStyle name="Normal 9 2 4 2 2 2" xfId="3225" xr:uid="{00000000-0005-0000-0000-00005F1F0000}"/>
    <cellStyle name="Normal 9 2 4 2 2 2 2" xfId="7447" xr:uid="{00000000-0005-0000-0000-0000601F0000}"/>
    <cellStyle name="Normal 9 2 4 2 2 2 2 2" xfId="26073" xr:uid="{B1541FBE-5791-47D0-8A97-02936DFAA776}"/>
    <cellStyle name="Normal 9 2 4 2 2 2 2 3" xfId="34520" xr:uid="{93E09B9E-B805-45B2-9040-BB241A66E3B6}"/>
    <cellStyle name="Normal 9 2 4 2 2 2 2 4" xfId="42967" xr:uid="{688DDF4B-62D1-49F6-8794-3EDA7C04909E}"/>
    <cellStyle name="Normal 9 2 4 2 2 2 2 5" xfId="16773" xr:uid="{CD3FF59D-D133-4F85-947D-F65BF9AFA0D5}"/>
    <cellStyle name="Normal 9 2 4 2 2 2 3" xfId="21856" xr:uid="{AAD66D40-33CA-4B35-96A8-AAD6EB0CCBF8}"/>
    <cellStyle name="Normal 9 2 4 2 2 2 4" xfId="30303" xr:uid="{DDC49630-180A-4FAD-B8DD-3D5319EDAC2F}"/>
    <cellStyle name="Normal 9 2 4 2 2 2 5" xfId="38750" xr:uid="{CBA08173-776E-440C-A589-78E9A31B71F6}"/>
    <cellStyle name="Normal 9 2 4 2 2 2 6" xfId="12556" xr:uid="{748895B5-5866-4F01-A7A8-35BD26F7314A}"/>
    <cellStyle name="Normal 9 2 4 2 2 3" xfId="5302" xr:uid="{00000000-0005-0000-0000-0000611F0000}"/>
    <cellStyle name="Normal 9 2 4 2 2 3 2" xfId="23928" xr:uid="{BD4E92C2-D71F-45C7-91A2-CB1176BC9434}"/>
    <cellStyle name="Normal 9 2 4 2 2 3 3" xfId="32375" xr:uid="{ADF28918-9EED-485D-A539-7AC11DB1AD06}"/>
    <cellStyle name="Normal 9 2 4 2 2 3 4" xfId="40822" xr:uid="{726CDCE2-481C-43B7-9789-E293D948722A}"/>
    <cellStyle name="Normal 9 2 4 2 2 3 5" xfId="14628" xr:uid="{6A2C7AAB-BFB6-484B-9C18-9B4B30B3E3E3}"/>
    <cellStyle name="Normal 9 2 4 2 2 4" xfId="9489" xr:uid="{4BA9DC16-58A7-4D6B-90A6-6BB0C51A0279}"/>
    <cellStyle name="Normal 9 2 4 2 2 4 2" xfId="18805" xr:uid="{760088E2-C906-421C-A794-A58F3AA4A76E}"/>
    <cellStyle name="Normal 9 2 4 2 2 5" xfId="19711" xr:uid="{CBFFE011-7820-4CC7-9C51-4F91F2661C3E}"/>
    <cellStyle name="Normal 9 2 4 2 2 6" xfId="28158" xr:uid="{020CABB3-4A8A-444A-BC78-D36887E2A25D}"/>
    <cellStyle name="Normal 9 2 4 2 2 7" xfId="36605" xr:uid="{674D91F4-6D7E-44A6-817E-C71BBF9B4800}"/>
    <cellStyle name="Normal 9 2 4 2 2 8" xfId="10411" xr:uid="{D5529548-5471-4A8F-95D4-F973EA8691AC}"/>
    <cellStyle name="Normal 9 2 4 2 3" xfId="1408" xr:uid="{00000000-0005-0000-0000-0000621F0000}"/>
    <cellStyle name="Normal 9 2 4 2 3 2" xfId="3638" xr:uid="{00000000-0005-0000-0000-0000631F0000}"/>
    <cellStyle name="Normal 9 2 4 2 3 2 2" xfId="7860" xr:uid="{00000000-0005-0000-0000-0000641F0000}"/>
    <cellStyle name="Normal 9 2 4 2 3 2 2 2" xfId="26486" xr:uid="{13A77E45-7328-4908-8EB7-B0E9B210E377}"/>
    <cellStyle name="Normal 9 2 4 2 3 2 2 3" xfId="34933" xr:uid="{B68A4242-F8E9-4041-B03C-83EBDE9EC0BA}"/>
    <cellStyle name="Normal 9 2 4 2 3 2 2 4" xfId="43380" xr:uid="{E539D790-F9B0-4F93-9ADD-50D2120B13D3}"/>
    <cellStyle name="Normal 9 2 4 2 3 2 2 5" xfId="17186" xr:uid="{A23AE38E-BB50-4B68-8D25-AE039DAC49EA}"/>
    <cellStyle name="Normal 9 2 4 2 3 2 3" xfId="22269" xr:uid="{8EEDA7A1-DE02-43F0-A152-C06588A1521F}"/>
    <cellStyle name="Normal 9 2 4 2 3 2 4" xfId="30716" xr:uid="{9A8A8CDC-4536-49FB-B13B-AF01AB911EA3}"/>
    <cellStyle name="Normal 9 2 4 2 3 2 5" xfId="39163" xr:uid="{0F3D6AFA-31D2-4035-9D9E-A1AAB6D6919D}"/>
    <cellStyle name="Normal 9 2 4 2 3 2 6" xfId="12969" xr:uid="{987F9EDF-9948-41FA-B671-D4ED383C4EC8}"/>
    <cellStyle name="Normal 9 2 4 2 3 3" xfId="5715" xr:uid="{00000000-0005-0000-0000-0000651F0000}"/>
    <cellStyle name="Normal 9 2 4 2 3 3 2" xfId="24341" xr:uid="{A8C36DCB-787C-4570-B747-DE9E0B6821FF}"/>
    <cellStyle name="Normal 9 2 4 2 3 3 3" xfId="32788" xr:uid="{201855AD-974D-4B99-94BE-4EAC6C3C56A4}"/>
    <cellStyle name="Normal 9 2 4 2 3 3 4" xfId="41235" xr:uid="{B365F4F8-446E-4774-B104-5387E0DAE7AC}"/>
    <cellStyle name="Normal 9 2 4 2 3 3 5" xfId="15041" xr:uid="{0089955E-13F1-46F0-8C23-275DD3DD6F87}"/>
    <cellStyle name="Normal 9 2 4 2 3 4" xfId="20124" xr:uid="{8EAFBBBB-F14A-4B7A-A7D3-80332F7F7533}"/>
    <cellStyle name="Normal 9 2 4 2 3 5" xfId="28571" xr:uid="{0BE028B5-6C06-43B7-923F-4AECFAB0F416}"/>
    <cellStyle name="Normal 9 2 4 2 3 6" xfId="37018" xr:uid="{7B1F7758-9801-45FA-93E4-9B86D3ACA12A}"/>
    <cellStyle name="Normal 9 2 4 2 3 7" xfId="10824" xr:uid="{70F65BA1-8042-446F-B00B-FCC3267578AD}"/>
    <cellStyle name="Normal 9 2 4 2 4" xfId="1821" xr:uid="{00000000-0005-0000-0000-0000661F0000}"/>
    <cellStyle name="Normal 9 2 4 2 4 2" xfId="4051" xr:uid="{00000000-0005-0000-0000-0000671F0000}"/>
    <cellStyle name="Normal 9 2 4 2 4 2 2" xfId="8273" xr:uid="{00000000-0005-0000-0000-0000681F0000}"/>
    <cellStyle name="Normal 9 2 4 2 4 2 2 2" xfId="26899" xr:uid="{BF5707CF-8478-4D80-BAD2-682D22A8EBB0}"/>
    <cellStyle name="Normal 9 2 4 2 4 2 2 3" xfId="35346" xr:uid="{B60707C2-D3FF-44AE-8B7E-4354811B8680}"/>
    <cellStyle name="Normal 9 2 4 2 4 2 2 4" xfId="43793" xr:uid="{4EF14BEE-3774-4DFC-B713-029C31A8288D}"/>
    <cellStyle name="Normal 9 2 4 2 4 2 2 5" xfId="17599" xr:uid="{60C2E4EA-201F-4812-98CA-57FE347379F8}"/>
    <cellStyle name="Normal 9 2 4 2 4 2 3" xfId="22682" xr:uid="{D207CC81-9B2B-48BC-8B50-6D661947AF0B}"/>
    <cellStyle name="Normal 9 2 4 2 4 2 4" xfId="31129" xr:uid="{117421E6-A041-4B3E-8AA7-14D63515D7BD}"/>
    <cellStyle name="Normal 9 2 4 2 4 2 5" xfId="39576" xr:uid="{3D47C7FD-C0D5-4280-AC9A-6F72062B6D5E}"/>
    <cellStyle name="Normal 9 2 4 2 4 2 6" xfId="13382" xr:uid="{8D0D0CE5-54F4-483A-B85A-0683185E105F}"/>
    <cellStyle name="Normal 9 2 4 2 4 3" xfId="6128" xr:uid="{00000000-0005-0000-0000-0000691F0000}"/>
    <cellStyle name="Normal 9 2 4 2 4 3 2" xfId="24754" xr:uid="{3C8713F3-F412-41AA-8D95-173B89A3E474}"/>
    <cellStyle name="Normal 9 2 4 2 4 3 3" xfId="33201" xr:uid="{6E7DD7D7-2231-4F72-8F84-B16C1CB15822}"/>
    <cellStyle name="Normal 9 2 4 2 4 3 4" xfId="41648" xr:uid="{2786160D-7890-41B0-99F8-0C4A352EF219}"/>
    <cellStyle name="Normal 9 2 4 2 4 3 5" xfId="15454" xr:uid="{4AD6D759-4F80-4F84-961F-9730D8C77B05}"/>
    <cellStyle name="Normal 9 2 4 2 4 4" xfId="20537" xr:uid="{815C55BB-A724-44A2-ABF6-66BBB3A2A98F}"/>
    <cellStyle name="Normal 9 2 4 2 4 5" xfId="28984" xr:uid="{99F54770-C69E-41FB-AD8A-D9717247EDCA}"/>
    <cellStyle name="Normal 9 2 4 2 4 6" xfId="37431" xr:uid="{356884AC-8CF8-4187-AA29-894C30EBBD50}"/>
    <cellStyle name="Normal 9 2 4 2 4 7" xfId="11237" xr:uid="{E27FCA04-06BB-48DF-B435-417484F2642A}"/>
    <cellStyle name="Normal 9 2 4 2 5" xfId="2235" xr:uid="{00000000-0005-0000-0000-00006A1F0000}"/>
    <cellStyle name="Normal 9 2 4 2 5 2" xfId="4464" xr:uid="{00000000-0005-0000-0000-00006B1F0000}"/>
    <cellStyle name="Normal 9 2 4 2 5 2 2" xfId="8686" xr:uid="{00000000-0005-0000-0000-00006C1F0000}"/>
    <cellStyle name="Normal 9 2 4 2 5 2 2 2" xfId="27312" xr:uid="{44751AFA-FC7F-409F-A745-DCE6D4602304}"/>
    <cellStyle name="Normal 9 2 4 2 5 2 2 3" xfId="35759" xr:uid="{5612A152-E051-4867-8A8B-5E4DC0D8FD84}"/>
    <cellStyle name="Normal 9 2 4 2 5 2 2 4" xfId="44206" xr:uid="{32B9548E-EA1E-41AE-85FC-4452D394C8CA}"/>
    <cellStyle name="Normal 9 2 4 2 5 2 2 5" xfId="18012" xr:uid="{18AE6832-5843-445D-B6A4-425A5DB61D25}"/>
    <cellStyle name="Normal 9 2 4 2 5 2 3" xfId="23095" xr:uid="{8131CCC4-3AEC-4D0B-B166-14D5E81BA245}"/>
    <cellStyle name="Normal 9 2 4 2 5 2 4" xfId="31542" xr:uid="{BE5DC912-EFC6-47FB-A3A8-DF0FEFF813B9}"/>
    <cellStyle name="Normal 9 2 4 2 5 2 5" xfId="39989" xr:uid="{420B141E-E31D-4247-9FB9-5F9680421BFF}"/>
    <cellStyle name="Normal 9 2 4 2 5 2 6" xfId="13795" xr:uid="{BF6911FF-968B-4145-8B7C-DFD3CAC67155}"/>
    <cellStyle name="Normal 9 2 4 2 5 3" xfId="6541" xr:uid="{00000000-0005-0000-0000-00006D1F0000}"/>
    <cellStyle name="Normal 9 2 4 2 5 3 2" xfId="25167" xr:uid="{0F002944-73CB-468A-9488-D22C33379995}"/>
    <cellStyle name="Normal 9 2 4 2 5 3 3" xfId="33614" xr:uid="{B9B0698F-755C-4381-A24A-8F32865C3A6F}"/>
    <cellStyle name="Normal 9 2 4 2 5 3 4" xfId="42061" xr:uid="{DA753CF3-F3E9-47D4-831F-151F0B4ADDB3}"/>
    <cellStyle name="Normal 9 2 4 2 5 3 5" xfId="15867" xr:uid="{419F2A3F-B10F-408E-B656-34CB9F3F06E5}"/>
    <cellStyle name="Normal 9 2 4 2 5 4" xfId="20950" xr:uid="{C63501FF-211F-4411-A121-1EC8CEF77534}"/>
    <cellStyle name="Normal 9 2 4 2 5 5" xfId="29397" xr:uid="{249B0081-4562-4EBB-AA5F-371C2BA06DF2}"/>
    <cellStyle name="Normal 9 2 4 2 5 6" xfId="37844" xr:uid="{49C70C13-40B8-4933-A14E-20B4D05AEF16}"/>
    <cellStyle name="Normal 9 2 4 2 5 7" xfId="11650" xr:uid="{9643B208-5B5A-4213-86A4-825993A6C984}"/>
    <cellStyle name="Normal 9 2 4 2 6" xfId="2671" xr:uid="{00000000-0005-0000-0000-00006E1F0000}"/>
    <cellStyle name="Normal 9 2 4 2 6 2" xfId="6954" xr:uid="{00000000-0005-0000-0000-00006F1F0000}"/>
    <cellStyle name="Normal 9 2 4 2 6 2 2" xfId="25580" xr:uid="{D39A5324-4B0F-455E-92B9-6E1F911778AE}"/>
    <cellStyle name="Normal 9 2 4 2 6 2 3" xfId="34027" xr:uid="{E6830517-25A2-4185-B3D1-8A0037DED97B}"/>
    <cellStyle name="Normal 9 2 4 2 6 2 4" xfId="42474" xr:uid="{BD60FA69-6EA1-4880-838D-EABA5917BE73}"/>
    <cellStyle name="Normal 9 2 4 2 6 2 5" xfId="16280" xr:uid="{F0E3FCAE-63FB-4CBA-9968-9FCFF1991EBB}"/>
    <cellStyle name="Normal 9 2 4 2 6 3" xfId="21363" xr:uid="{1C8EF1C3-2182-4A82-B1DB-FF5F401B54BD}"/>
    <cellStyle name="Normal 9 2 4 2 6 4" xfId="29810" xr:uid="{CD639AC1-356F-4A3B-8D97-ACE9132025A8}"/>
    <cellStyle name="Normal 9 2 4 2 6 5" xfId="38257" xr:uid="{2B69BF99-3F81-4602-A587-594F52E5E2B9}"/>
    <cellStyle name="Normal 9 2 4 2 6 6" xfId="12063" xr:uid="{EB4187C3-B5A1-414E-B3E0-4E88B0C584F9}"/>
    <cellStyle name="Normal 9 2 4 2 7" xfId="4889" xr:uid="{00000000-0005-0000-0000-0000701F0000}"/>
    <cellStyle name="Normal 9 2 4 2 7 2" xfId="23515" xr:uid="{B76F179B-A450-44B3-9200-81AA86911918}"/>
    <cellStyle name="Normal 9 2 4 2 7 3" xfId="31962" xr:uid="{89AE8F24-DF36-4F7E-BB32-7822666C9D60}"/>
    <cellStyle name="Normal 9 2 4 2 7 4" xfId="40409" xr:uid="{9DAD5FC6-072B-4C20-AE90-34DFE1DCE8A0}"/>
    <cellStyle name="Normal 9 2 4 2 7 5" xfId="14215" xr:uid="{5D018D08-E04C-4BB2-814F-CAE99F537715}"/>
    <cellStyle name="Normal 9 2 4 2 8" xfId="9064" xr:uid="{7D4090C3-C767-4FFF-8A1F-282B2C8BAE68}"/>
    <cellStyle name="Normal 9 2 4 2 8 2" xfId="18388" xr:uid="{F4CC728D-0620-4903-97A3-CE533A462C26}"/>
    <cellStyle name="Normal 9 2 4 2 9" xfId="19298" xr:uid="{4EE1F927-868B-4D68-ADA7-ED8B8E139514}"/>
    <cellStyle name="Normal 9 2 4 3" xfId="991" xr:uid="{00000000-0005-0000-0000-0000711F0000}"/>
    <cellStyle name="Normal 9 2 4 3 2" xfId="3224" xr:uid="{00000000-0005-0000-0000-0000721F0000}"/>
    <cellStyle name="Normal 9 2 4 3 2 2" xfId="7446" xr:uid="{00000000-0005-0000-0000-0000731F0000}"/>
    <cellStyle name="Normal 9 2 4 3 2 2 2" xfId="26072" xr:uid="{D0BD456B-0E9D-4979-BB6E-4A52595554F8}"/>
    <cellStyle name="Normal 9 2 4 3 2 2 3" xfId="34519" xr:uid="{4BD874AA-58EA-4A52-AC72-6359F5EFC059}"/>
    <cellStyle name="Normal 9 2 4 3 2 2 4" xfId="42966" xr:uid="{F0BAC5AF-6EEF-46EA-8C61-7E1DE2EAD4F9}"/>
    <cellStyle name="Normal 9 2 4 3 2 2 5" xfId="16772" xr:uid="{B17FE64A-D3B3-40B4-9CF5-4FF57373B7B2}"/>
    <cellStyle name="Normal 9 2 4 3 2 3" xfId="21855" xr:uid="{9BF46612-231E-477D-9071-9C6C72E3AAAB}"/>
    <cellStyle name="Normal 9 2 4 3 2 4" xfId="30302" xr:uid="{2D91BB06-8A45-4CDA-BBD6-FC01FFC65A49}"/>
    <cellStyle name="Normal 9 2 4 3 2 5" xfId="38749" xr:uid="{F7D51E65-8132-4084-946C-BB86DB39C94C}"/>
    <cellStyle name="Normal 9 2 4 3 2 6" xfId="12555" xr:uid="{B3574832-1256-4580-88A7-A758AE650C29}"/>
    <cellStyle name="Normal 9 2 4 3 3" xfId="5301" xr:uid="{00000000-0005-0000-0000-0000741F0000}"/>
    <cellStyle name="Normal 9 2 4 3 3 2" xfId="23927" xr:uid="{2B1DE0D9-CCEC-4B01-A844-AFE183B0A732}"/>
    <cellStyle name="Normal 9 2 4 3 3 3" xfId="32374" xr:uid="{2114F104-8FDA-4C8E-9D31-2772E5C0021C}"/>
    <cellStyle name="Normal 9 2 4 3 3 4" xfId="40821" xr:uid="{2754283D-193E-4EE4-A291-5A878C7D5208}"/>
    <cellStyle name="Normal 9 2 4 3 3 5" xfId="14627" xr:uid="{CFB2F699-C6E1-4F64-A4A4-9AE540E27EC4}"/>
    <cellStyle name="Normal 9 2 4 3 4" xfId="9282" xr:uid="{2471E5AC-3D06-4E90-9462-C54FACA9B22B}"/>
    <cellStyle name="Normal 9 2 4 3 4 2" xfId="18598" xr:uid="{8B6381EA-40BB-4944-B186-E31E3574BDED}"/>
    <cellStyle name="Normal 9 2 4 3 5" xfId="19710" xr:uid="{68F145F7-D566-4F13-86DD-DBFA32102B0D}"/>
    <cellStyle name="Normal 9 2 4 3 6" xfId="28157" xr:uid="{EE158D77-48A5-4BAC-B108-98D69CA4253D}"/>
    <cellStyle name="Normal 9 2 4 3 7" xfId="36604" xr:uid="{6D198212-BBFD-4D9E-8360-D4AA243D35F6}"/>
    <cellStyle name="Normal 9 2 4 3 8" xfId="10410" xr:uid="{9562AF83-4D97-4D56-94CC-ADF339B38AC3}"/>
    <cellStyle name="Normal 9 2 4 4" xfId="1407" xr:uid="{00000000-0005-0000-0000-0000751F0000}"/>
    <cellStyle name="Normal 9 2 4 4 2" xfId="3637" xr:uid="{00000000-0005-0000-0000-0000761F0000}"/>
    <cellStyle name="Normal 9 2 4 4 2 2" xfId="7859" xr:uid="{00000000-0005-0000-0000-0000771F0000}"/>
    <cellStyle name="Normal 9 2 4 4 2 2 2" xfId="26485" xr:uid="{D33E0BED-F6B4-46C3-B702-838AAB163389}"/>
    <cellStyle name="Normal 9 2 4 4 2 2 3" xfId="34932" xr:uid="{B361261F-D3A8-43A4-9259-D88D4C39FE89}"/>
    <cellStyle name="Normal 9 2 4 4 2 2 4" xfId="43379" xr:uid="{5BD951FD-DE93-4165-A703-35A4CDFCB85A}"/>
    <cellStyle name="Normal 9 2 4 4 2 2 5" xfId="17185" xr:uid="{329E6584-0E3E-4251-8CF9-A0890503B04B}"/>
    <cellStyle name="Normal 9 2 4 4 2 3" xfId="22268" xr:uid="{83640B6B-C20F-4536-A03B-8E5E1B030024}"/>
    <cellStyle name="Normal 9 2 4 4 2 4" xfId="30715" xr:uid="{DDC4E87A-12EE-4EF3-910D-B4EF8116BEEF}"/>
    <cellStyle name="Normal 9 2 4 4 2 5" xfId="39162" xr:uid="{DDF77FC0-578D-488D-868C-C3B1E4F05567}"/>
    <cellStyle name="Normal 9 2 4 4 2 6" xfId="12968" xr:uid="{3DE5B662-A9D4-45F7-9775-600E4B8BB680}"/>
    <cellStyle name="Normal 9 2 4 4 3" xfId="5714" xr:uid="{00000000-0005-0000-0000-0000781F0000}"/>
    <cellStyle name="Normal 9 2 4 4 3 2" xfId="24340" xr:uid="{FCDCA7C4-80D9-47F0-ADEC-509A73B89429}"/>
    <cellStyle name="Normal 9 2 4 4 3 3" xfId="32787" xr:uid="{DE201A54-7798-4181-A8CA-A85A99197278}"/>
    <cellStyle name="Normal 9 2 4 4 3 4" xfId="41234" xr:uid="{CA49213F-6EB5-40A1-83D4-558DEC162832}"/>
    <cellStyle name="Normal 9 2 4 4 3 5" xfId="15040" xr:uid="{ACE8F932-9294-4948-A311-BD9F2D33372D}"/>
    <cellStyle name="Normal 9 2 4 4 4" xfId="20123" xr:uid="{41FC55B2-B560-49B8-ADC1-65E4A101FD7E}"/>
    <cellStyle name="Normal 9 2 4 4 5" xfId="28570" xr:uid="{0A9C8678-8F6B-473A-A582-0B2FCF5AC540}"/>
    <cellStyle name="Normal 9 2 4 4 6" xfId="37017" xr:uid="{ED303880-4DE0-4EC3-95A0-CD7DCBE58523}"/>
    <cellStyle name="Normal 9 2 4 4 7" xfId="10823" xr:uid="{E68EE070-8487-43F0-8D1D-5C78887053BC}"/>
    <cellStyle name="Normal 9 2 4 5" xfId="1820" xr:uid="{00000000-0005-0000-0000-0000791F0000}"/>
    <cellStyle name="Normal 9 2 4 5 2" xfId="4050" xr:uid="{00000000-0005-0000-0000-00007A1F0000}"/>
    <cellStyle name="Normal 9 2 4 5 2 2" xfId="8272" xr:uid="{00000000-0005-0000-0000-00007B1F0000}"/>
    <cellStyle name="Normal 9 2 4 5 2 2 2" xfId="26898" xr:uid="{36C04F3A-80C3-4F47-AEBA-E9C0D754751D}"/>
    <cellStyle name="Normal 9 2 4 5 2 2 3" xfId="35345" xr:uid="{48571646-11B4-47E7-AADB-29B09FD09475}"/>
    <cellStyle name="Normal 9 2 4 5 2 2 4" xfId="43792" xr:uid="{B361E4DC-7B0C-4D46-832E-F9F6C70AA526}"/>
    <cellStyle name="Normal 9 2 4 5 2 2 5" xfId="17598" xr:uid="{FF1AA9F2-1CB7-465A-82D3-FA9E01E93967}"/>
    <cellStyle name="Normal 9 2 4 5 2 3" xfId="22681" xr:uid="{A74AA514-CFF6-4851-8B16-51B94901D54A}"/>
    <cellStyle name="Normal 9 2 4 5 2 4" xfId="31128" xr:uid="{E9B2C4CA-061E-40BB-9D37-BB4F20097306}"/>
    <cellStyle name="Normal 9 2 4 5 2 5" xfId="39575" xr:uid="{E965C6D7-8236-4CCC-95F0-74AA5056DF6C}"/>
    <cellStyle name="Normal 9 2 4 5 2 6" xfId="13381" xr:uid="{D014F7BD-EE11-4A09-8AE8-DA850928004F}"/>
    <cellStyle name="Normal 9 2 4 5 3" xfId="6127" xr:uid="{00000000-0005-0000-0000-00007C1F0000}"/>
    <cellStyle name="Normal 9 2 4 5 3 2" xfId="24753" xr:uid="{0D89F0C4-06D9-400A-8CD8-44ABAA9248C2}"/>
    <cellStyle name="Normal 9 2 4 5 3 3" xfId="33200" xr:uid="{58364592-BCAD-4C39-A7AE-3557E394AE19}"/>
    <cellStyle name="Normal 9 2 4 5 3 4" xfId="41647" xr:uid="{34919D3D-55FD-4BBA-84B7-952B29BFAFCF}"/>
    <cellStyle name="Normal 9 2 4 5 3 5" xfId="15453" xr:uid="{D84388D2-44FF-41DF-942A-96DE6B214CB3}"/>
    <cellStyle name="Normal 9 2 4 5 4" xfId="20536" xr:uid="{91FE20A2-9CED-4A1B-8953-4F9F04F984A8}"/>
    <cellStyle name="Normal 9 2 4 5 5" xfId="28983" xr:uid="{5FD0DA7E-9A20-4E8C-8616-C32128F5CE86}"/>
    <cellStyle name="Normal 9 2 4 5 6" xfId="37430" xr:uid="{E80FF572-D9DA-46BE-A628-2F03B130A363}"/>
    <cellStyle name="Normal 9 2 4 5 7" xfId="11236" xr:uid="{563149BD-8DB1-4C5C-9BAA-56E0F96537A8}"/>
    <cellStyle name="Normal 9 2 4 6" xfId="2234" xr:uid="{00000000-0005-0000-0000-00007D1F0000}"/>
    <cellStyle name="Normal 9 2 4 6 2" xfId="4463" xr:uid="{00000000-0005-0000-0000-00007E1F0000}"/>
    <cellStyle name="Normal 9 2 4 6 2 2" xfId="8685" xr:uid="{00000000-0005-0000-0000-00007F1F0000}"/>
    <cellStyle name="Normal 9 2 4 6 2 2 2" xfId="27311" xr:uid="{A29045EF-55CC-458B-B060-D8CF6D57DE52}"/>
    <cellStyle name="Normal 9 2 4 6 2 2 3" xfId="35758" xr:uid="{D20D6FC8-F10A-4F7E-94C1-022B1F5BB1F3}"/>
    <cellStyle name="Normal 9 2 4 6 2 2 4" xfId="44205" xr:uid="{B49EB1EC-DDF2-48A2-9C9D-DC286EBEF347}"/>
    <cellStyle name="Normal 9 2 4 6 2 2 5" xfId="18011" xr:uid="{65A078FF-067B-44A0-B7AD-FCC06C1A8E90}"/>
    <cellStyle name="Normal 9 2 4 6 2 3" xfId="23094" xr:uid="{374DDB0B-5138-4CDE-B231-7A15E157FD25}"/>
    <cellStyle name="Normal 9 2 4 6 2 4" xfId="31541" xr:uid="{8F5BCE91-7EDC-40EC-B645-3205B2062C0D}"/>
    <cellStyle name="Normal 9 2 4 6 2 5" xfId="39988" xr:uid="{A89FE734-CFEE-4338-B792-A261442F8C91}"/>
    <cellStyle name="Normal 9 2 4 6 2 6" xfId="13794" xr:uid="{D717534F-E9DC-4915-B0A4-986FBFD00823}"/>
    <cellStyle name="Normal 9 2 4 6 3" xfId="6540" xr:uid="{00000000-0005-0000-0000-0000801F0000}"/>
    <cellStyle name="Normal 9 2 4 6 3 2" xfId="25166" xr:uid="{FBF49EE4-C39D-4C69-91FC-D8CAD9B5580A}"/>
    <cellStyle name="Normal 9 2 4 6 3 3" xfId="33613" xr:uid="{848E731D-2ABB-4E68-A0A7-470462267E6C}"/>
    <cellStyle name="Normal 9 2 4 6 3 4" xfId="42060" xr:uid="{09A783B1-C383-483D-96B5-8869B750CC4E}"/>
    <cellStyle name="Normal 9 2 4 6 3 5" xfId="15866" xr:uid="{A7580427-E1F7-4E79-9C72-FE85B4FDE6CE}"/>
    <cellStyle name="Normal 9 2 4 6 4" xfId="20949" xr:uid="{19F0BC3F-85D2-40FD-96BD-E18ADB7FE307}"/>
    <cellStyle name="Normal 9 2 4 6 5" xfId="29396" xr:uid="{8A01A6CD-E82B-40AD-B0B8-35AA337542BB}"/>
    <cellStyle name="Normal 9 2 4 6 6" xfId="37843" xr:uid="{78107738-EDBD-4FC6-BA67-FC324FBF09E6}"/>
    <cellStyle name="Normal 9 2 4 6 7" xfId="11649" xr:uid="{C76B7CF5-0882-4A02-AC0A-05FE032D99A3}"/>
    <cellStyle name="Normal 9 2 4 7" xfId="2670" xr:uid="{00000000-0005-0000-0000-0000811F0000}"/>
    <cellStyle name="Normal 9 2 4 7 2" xfId="6953" xr:uid="{00000000-0005-0000-0000-0000821F0000}"/>
    <cellStyle name="Normal 9 2 4 7 2 2" xfId="25579" xr:uid="{5E52AB1E-A466-4A98-8131-8FE71825CE8C}"/>
    <cellStyle name="Normal 9 2 4 7 2 3" xfId="34026" xr:uid="{367FEF94-F2D1-40D6-BED2-4AB453895252}"/>
    <cellStyle name="Normal 9 2 4 7 2 4" xfId="42473" xr:uid="{6D6909DE-8DB7-436C-98D8-587127C4926D}"/>
    <cellStyle name="Normal 9 2 4 7 2 5" xfId="16279" xr:uid="{4B9AA80C-F912-4B4F-981B-F114165B20F4}"/>
    <cellStyle name="Normal 9 2 4 7 3" xfId="21362" xr:uid="{571FC21C-C0B9-4DC9-9564-6A9302E66AA6}"/>
    <cellStyle name="Normal 9 2 4 7 4" xfId="29809" xr:uid="{728304A8-5845-4C07-A71D-A353C258D99F}"/>
    <cellStyle name="Normal 9 2 4 7 5" xfId="38256" xr:uid="{43E9E7A7-1A59-46B3-9183-FEB331328D23}"/>
    <cellStyle name="Normal 9 2 4 7 6" xfId="12062" xr:uid="{738BBDA3-27C3-43B3-9FEB-3EAC9E5D4F0A}"/>
    <cellStyle name="Normal 9 2 4 8" xfId="4888" xr:uid="{00000000-0005-0000-0000-0000831F0000}"/>
    <cellStyle name="Normal 9 2 4 8 2" xfId="23514" xr:uid="{D1CD851B-9098-4C8E-AE2B-77DA48A86094}"/>
    <cellStyle name="Normal 9 2 4 8 3" xfId="31961" xr:uid="{1FE00CB5-6461-470E-992C-662982BCDB01}"/>
    <cellStyle name="Normal 9 2 4 8 4" xfId="40408" xr:uid="{CDD92E66-D532-4970-BDAB-1643413AAE4E}"/>
    <cellStyle name="Normal 9 2 4 8 5" xfId="14214" xr:uid="{60B249E9-6BF0-443B-A132-0FAA52563D3D}"/>
    <cellStyle name="Normal 9 2 4 9" xfId="8857" xr:uid="{D785C0E6-B403-4CCC-AB0B-78E822EF1E40}"/>
    <cellStyle name="Normal 9 2 4 9 2" xfId="18181" xr:uid="{3E8D8AE6-78ED-454C-B138-F6B72A765551}"/>
    <cellStyle name="Normal 9 2 5" xfId="526" xr:uid="{00000000-0005-0000-0000-0000841F0000}"/>
    <cellStyle name="Normal 9 2 5 10" xfId="27746" xr:uid="{0EE58EF3-ACF6-44AB-8CC5-905B949B3355}"/>
    <cellStyle name="Normal 9 2 5 11" xfId="36193" xr:uid="{B617BCCD-F7B2-461E-B69E-70B7A342DEC2}"/>
    <cellStyle name="Normal 9 2 5 12" xfId="9999" xr:uid="{28E9CE17-503A-4852-A319-46D2C854E6F3}"/>
    <cellStyle name="Normal 9 2 5 2" xfId="993" xr:uid="{00000000-0005-0000-0000-0000851F0000}"/>
    <cellStyle name="Normal 9 2 5 2 2" xfId="3226" xr:uid="{00000000-0005-0000-0000-0000861F0000}"/>
    <cellStyle name="Normal 9 2 5 2 2 2" xfId="7448" xr:uid="{00000000-0005-0000-0000-0000871F0000}"/>
    <cellStyle name="Normal 9 2 5 2 2 2 2" xfId="26074" xr:uid="{D488E268-5859-4FA9-BAB5-95356D371A7D}"/>
    <cellStyle name="Normal 9 2 5 2 2 2 3" xfId="34521" xr:uid="{D32A19D4-B27C-4C88-8173-2F8FE76B1B1A}"/>
    <cellStyle name="Normal 9 2 5 2 2 2 4" xfId="42968" xr:uid="{A0DDBAF9-95E7-4A91-95DC-DAD63FA4BD61}"/>
    <cellStyle name="Normal 9 2 5 2 2 2 5" xfId="16774" xr:uid="{E36C0E7A-CC4A-494F-B082-67AD475D744A}"/>
    <cellStyle name="Normal 9 2 5 2 2 3" xfId="21857" xr:uid="{2FB01515-B69D-4F74-937D-31D676F2F2C6}"/>
    <cellStyle name="Normal 9 2 5 2 2 4" xfId="30304" xr:uid="{D02D8274-4D1B-424D-A3AF-F543A36746C7}"/>
    <cellStyle name="Normal 9 2 5 2 2 5" xfId="38751" xr:uid="{439CA91D-702A-4CDE-BC93-D9D43C662C98}"/>
    <cellStyle name="Normal 9 2 5 2 2 6" xfId="12557" xr:uid="{FCBBB0E9-473F-48FB-B88E-AB40A7BB5829}"/>
    <cellStyle name="Normal 9 2 5 2 3" xfId="5303" xr:uid="{00000000-0005-0000-0000-0000881F0000}"/>
    <cellStyle name="Normal 9 2 5 2 3 2" xfId="23929" xr:uid="{BA43EA00-0786-41E2-A6D5-F1B1D8B725DD}"/>
    <cellStyle name="Normal 9 2 5 2 3 3" xfId="32376" xr:uid="{35AFC381-8D3C-4B62-BF96-7FF3E19E0A4D}"/>
    <cellStyle name="Normal 9 2 5 2 3 4" xfId="40823" xr:uid="{7DC0E196-E4A4-4675-B553-8064F67015F0}"/>
    <cellStyle name="Normal 9 2 5 2 3 5" xfId="14629" xr:uid="{EA5DD18D-360A-4438-8BF7-7A0D5781ACD1}"/>
    <cellStyle name="Normal 9 2 5 2 4" xfId="9398" xr:uid="{5B2A416E-986C-4898-8893-9EAFDDDBCDD4}"/>
    <cellStyle name="Normal 9 2 5 2 4 2" xfId="18714" xr:uid="{F5A8448A-9BF8-4C90-AE25-6659C20EA0C8}"/>
    <cellStyle name="Normal 9 2 5 2 5" xfId="19712" xr:uid="{511C8419-0C9C-4519-B90D-8A2ACA635861}"/>
    <cellStyle name="Normal 9 2 5 2 6" xfId="28159" xr:uid="{1F488445-77AB-4355-9B47-85C59F156066}"/>
    <cellStyle name="Normal 9 2 5 2 7" xfId="36606" xr:uid="{A46C36F6-0AE8-4C45-AEA0-A6983F3BF67C}"/>
    <cellStyle name="Normal 9 2 5 2 8" xfId="10412" xr:uid="{4805B991-DB19-4BAD-8657-5FB907F7D220}"/>
    <cellStyle name="Normal 9 2 5 3" xfId="1409" xr:uid="{00000000-0005-0000-0000-0000891F0000}"/>
    <cellStyle name="Normal 9 2 5 3 2" xfId="3639" xr:uid="{00000000-0005-0000-0000-00008A1F0000}"/>
    <cellStyle name="Normal 9 2 5 3 2 2" xfId="7861" xr:uid="{00000000-0005-0000-0000-00008B1F0000}"/>
    <cellStyle name="Normal 9 2 5 3 2 2 2" xfId="26487" xr:uid="{22DEB051-E569-43D4-BD5B-51E2EBB7AE0E}"/>
    <cellStyle name="Normal 9 2 5 3 2 2 3" xfId="34934" xr:uid="{EBF6F719-61A1-4F08-BCF4-BE86DE0E178F}"/>
    <cellStyle name="Normal 9 2 5 3 2 2 4" xfId="43381" xr:uid="{7B5ABD28-0E00-4CDB-BD81-4C122F682958}"/>
    <cellStyle name="Normal 9 2 5 3 2 2 5" xfId="17187" xr:uid="{9534D6A9-94D6-4D34-B214-4108D1B0F2AD}"/>
    <cellStyle name="Normal 9 2 5 3 2 3" xfId="22270" xr:uid="{C3E2DD3B-58C7-462D-884C-B1FF8AC52575}"/>
    <cellStyle name="Normal 9 2 5 3 2 4" xfId="30717" xr:uid="{83F147D9-8D74-46F2-8210-43C258D9EB6D}"/>
    <cellStyle name="Normal 9 2 5 3 2 5" xfId="39164" xr:uid="{1412C4FF-7973-4393-9760-0DA937238B91}"/>
    <cellStyle name="Normal 9 2 5 3 2 6" xfId="12970" xr:uid="{60EE34BA-2D30-465A-B28A-56BC92035F30}"/>
    <cellStyle name="Normal 9 2 5 3 3" xfId="5716" xr:uid="{00000000-0005-0000-0000-00008C1F0000}"/>
    <cellStyle name="Normal 9 2 5 3 3 2" xfId="24342" xr:uid="{45BAFAB2-0C56-499E-B784-423DEDEA0E9B}"/>
    <cellStyle name="Normal 9 2 5 3 3 3" xfId="32789" xr:uid="{FC3735DB-8A63-4214-A655-826D6F003974}"/>
    <cellStyle name="Normal 9 2 5 3 3 4" xfId="41236" xr:uid="{83C9E2E0-589E-4DC8-A048-D9AC08CFB84D}"/>
    <cellStyle name="Normal 9 2 5 3 3 5" xfId="15042" xr:uid="{BEDFB3B2-4E29-4770-AC06-5BD27F8BB35A}"/>
    <cellStyle name="Normal 9 2 5 3 4" xfId="20125" xr:uid="{1960D008-3512-43C7-943D-090B7543C9FC}"/>
    <cellStyle name="Normal 9 2 5 3 5" xfId="28572" xr:uid="{4272594B-75DA-4A90-80D7-54E41CC5868D}"/>
    <cellStyle name="Normal 9 2 5 3 6" xfId="37019" xr:uid="{92B83E89-1562-4534-9C04-AF971C811257}"/>
    <cellStyle name="Normal 9 2 5 3 7" xfId="10825" xr:uid="{BD0E9631-B99E-44FB-806F-FC783B3A3979}"/>
    <cellStyle name="Normal 9 2 5 4" xfId="1822" xr:uid="{00000000-0005-0000-0000-00008D1F0000}"/>
    <cellStyle name="Normal 9 2 5 4 2" xfId="4052" xr:uid="{00000000-0005-0000-0000-00008E1F0000}"/>
    <cellStyle name="Normal 9 2 5 4 2 2" xfId="8274" xr:uid="{00000000-0005-0000-0000-00008F1F0000}"/>
    <cellStyle name="Normal 9 2 5 4 2 2 2" xfId="26900" xr:uid="{17F1F2C3-A4FC-4CD7-A39E-5910F066E60F}"/>
    <cellStyle name="Normal 9 2 5 4 2 2 3" xfId="35347" xr:uid="{32774924-CC9F-4587-83E9-1AB3DB30FAEC}"/>
    <cellStyle name="Normal 9 2 5 4 2 2 4" xfId="43794" xr:uid="{464235D9-DDBD-48C4-97EC-BADCF08A715F}"/>
    <cellStyle name="Normal 9 2 5 4 2 2 5" xfId="17600" xr:uid="{9984019C-27DB-4D07-811C-32D345BED6D5}"/>
    <cellStyle name="Normal 9 2 5 4 2 3" xfId="22683" xr:uid="{D1722C72-EDAB-4F99-A84B-6739A6AE7E8A}"/>
    <cellStyle name="Normal 9 2 5 4 2 4" xfId="31130" xr:uid="{95731AC1-71D8-4C98-9020-136945E8EB3E}"/>
    <cellStyle name="Normal 9 2 5 4 2 5" xfId="39577" xr:uid="{677333F9-D35A-4933-8AB2-2D5F8ABEA837}"/>
    <cellStyle name="Normal 9 2 5 4 2 6" xfId="13383" xr:uid="{6AB70883-2704-423A-8BA9-11D5F0501779}"/>
    <cellStyle name="Normal 9 2 5 4 3" xfId="6129" xr:uid="{00000000-0005-0000-0000-0000901F0000}"/>
    <cellStyle name="Normal 9 2 5 4 3 2" xfId="24755" xr:uid="{D284D8BC-C73B-47E4-8552-57BD8CEE6F50}"/>
    <cellStyle name="Normal 9 2 5 4 3 3" xfId="33202" xr:uid="{25422908-BD69-4333-97C5-C50578A7BB09}"/>
    <cellStyle name="Normal 9 2 5 4 3 4" xfId="41649" xr:uid="{ACE9FFD1-80CD-4E6D-A00E-EF323F3A9BF5}"/>
    <cellStyle name="Normal 9 2 5 4 3 5" xfId="15455" xr:uid="{4F5FC22A-D4DA-43AB-96C5-133C6B16AA3B}"/>
    <cellStyle name="Normal 9 2 5 4 4" xfId="20538" xr:uid="{9205E1AC-626C-4A47-9A1E-B2FD623B5715}"/>
    <cellStyle name="Normal 9 2 5 4 5" xfId="28985" xr:uid="{79521490-593C-43E3-B6D2-EC5BE7B70258}"/>
    <cellStyle name="Normal 9 2 5 4 6" xfId="37432" xr:uid="{40F5A58B-E844-477C-A704-0897AAACFC1A}"/>
    <cellStyle name="Normal 9 2 5 4 7" xfId="11238" xr:uid="{6F7BB9E9-DBCD-43EA-96BF-925F3653E144}"/>
    <cellStyle name="Normal 9 2 5 5" xfId="2236" xr:uid="{00000000-0005-0000-0000-0000911F0000}"/>
    <cellStyle name="Normal 9 2 5 5 2" xfId="4465" xr:uid="{00000000-0005-0000-0000-0000921F0000}"/>
    <cellStyle name="Normal 9 2 5 5 2 2" xfId="8687" xr:uid="{00000000-0005-0000-0000-0000931F0000}"/>
    <cellStyle name="Normal 9 2 5 5 2 2 2" xfId="27313" xr:uid="{060DD7EA-8D65-4BC9-BF84-0F845F00330D}"/>
    <cellStyle name="Normal 9 2 5 5 2 2 3" xfId="35760" xr:uid="{6E866DCC-E9B5-496D-B00B-B24C8E57C687}"/>
    <cellStyle name="Normal 9 2 5 5 2 2 4" xfId="44207" xr:uid="{255E78BF-38DE-4397-B51B-940A231D2CA6}"/>
    <cellStyle name="Normal 9 2 5 5 2 2 5" xfId="18013" xr:uid="{1A1D442E-AE30-41AF-A32A-EA8152EE30E3}"/>
    <cellStyle name="Normal 9 2 5 5 2 3" xfId="23096" xr:uid="{5CEDC859-DE72-45CF-B112-B8B54F783ACA}"/>
    <cellStyle name="Normal 9 2 5 5 2 4" xfId="31543" xr:uid="{D7D39D9F-8227-49DF-BC1C-4A29256E43C2}"/>
    <cellStyle name="Normal 9 2 5 5 2 5" xfId="39990" xr:uid="{9CCFCECC-5D07-4B9D-86CA-59E336152121}"/>
    <cellStyle name="Normal 9 2 5 5 2 6" xfId="13796" xr:uid="{4A18F212-32EA-4383-95E9-2558E6103881}"/>
    <cellStyle name="Normal 9 2 5 5 3" xfId="6542" xr:uid="{00000000-0005-0000-0000-0000941F0000}"/>
    <cellStyle name="Normal 9 2 5 5 3 2" xfId="25168" xr:uid="{CC6BB0AC-1E87-4CA5-9FC2-A9D9B22F43C4}"/>
    <cellStyle name="Normal 9 2 5 5 3 3" xfId="33615" xr:uid="{CB3363B7-0A9F-447A-B47D-E4BB9EC9C8D2}"/>
    <cellStyle name="Normal 9 2 5 5 3 4" xfId="42062" xr:uid="{4E1465A4-106C-4AB3-9D41-88A6E7514627}"/>
    <cellStyle name="Normal 9 2 5 5 3 5" xfId="15868" xr:uid="{52C2491D-3097-4069-A631-C9A252C27967}"/>
    <cellStyle name="Normal 9 2 5 5 4" xfId="20951" xr:uid="{B2771C54-71FB-41D7-9F6C-A48C52FA296D}"/>
    <cellStyle name="Normal 9 2 5 5 5" xfId="29398" xr:uid="{6ED55EBD-25B2-4FAF-A880-2AE9E2B7E477}"/>
    <cellStyle name="Normal 9 2 5 5 6" xfId="37845" xr:uid="{76640D6B-53DB-458A-8DE6-9949DEA2D934}"/>
    <cellStyle name="Normal 9 2 5 5 7" xfId="11651" xr:uid="{DCD7415D-31B2-4F83-874B-F93FF31F361C}"/>
    <cellStyle name="Normal 9 2 5 6" xfId="2672" xr:uid="{00000000-0005-0000-0000-0000951F0000}"/>
    <cellStyle name="Normal 9 2 5 6 2" xfId="6955" xr:uid="{00000000-0005-0000-0000-0000961F0000}"/>
    <cellStyle name="Normal 9 2 5 6 2 2" xfId="25581" xr:uid="{3A30431D-4BC5-4AD3-9754-6B477C606A54}"/>
    <cellStyle name="Normal 9 2 5 6 2 3" xfId="34028" xr:uid="{2A6A7F1F-DE18-437D-BAFA-D21F5E358092}"/>
    <cellStyle name="Normal 9 2 5 6 2 4" xfId="42475" xr:uid="{200D2ACD-3D5C-4563-B126-6CDEB9865870}"/>
    <cellStyle name="Normal 9 2 5 6 2 5" xfId="16281" xr:uid="{B5BDDE18-A155-41DE-8948-22B6A1D1386F}"/>
    <cellStyle name="Normal 9 2 5 6 3" xfId="21364" xr:uid="{64724F59-E746-474A-9101-A74A72A9CF37}"/>
    <cellStyle name="Normal 9 2 5 6 4" xfId="29811" xr:uid="{94BE648F-7D01-41D9-8C04-09CCD50D5402}"/>
    <cellStyle name="Normal 9 2 5 6 5" xfId="38258" xr:uid="{97F9E715-93D7-42B2-ADA4-571AD09EC068}"/>
    <cellStyle name="Normal 9 2 5 6 6" xfId="12064" xr:uid="{8BADE4D1-0C83-4F2B-8F96-BD80D8135B8F}"/>
    <cellStyle name="Normal 9 2 5 7" xfId="4890" xr:uid="{00000000-0005-0000-0000-0000971F0000}"/>
    <cellStyle name="Normal 9 2 5 7 2" xfId="23516" xr:uid="{8B26B543-329F-459F-B2FF-508277C35380}"/>
    <cellStyle name="Normal 9 2 5 7 3" xfId="31963" xr:uid="{D5D07B35-C695-4003-ADD1-CD9D3DD04095}"/>
    <cellStyle name="Normal 9 2 5 7 4" xfId="40410" xr:uid="{C1C1AC60-5D3D-40F7-ABF3-17F799FD394B}"/>
    <cellStyle name="Normal 9 2 5 7 5" xfId="14216" xr:uid="{81BA79CB-0D4B-4BEA-AFC2-E713BF2E8236}"/>
    <cellStyle name="Normal 9 2 5 8" xfId="8973" xr:uid="{BA9464C2-72F7-4B38-B1BD-6986FFA433D9}"/>
    <cellStyle name="Normal 9 2 5 8 2" xfId="18297" xr:uid="{8D890191-85CA-46E7-8543-D1C48995FA43}"/>
    <cellStyle name="Normal 9 2 5 9" xfId="19299" xr:uid="{46C05B62-3250-40C6-9E37-63DAC2831E5A}"/>
    <cellStyle name="Normal 9 2 6" xfId="978" xr:uid="{00000000-0005-0000-0000-0000981F0000}"/>
    <cellStyle name="Normal 9 2 6 2" xfId="3211" xr:uid="{00000000-0005-0000-0000-0000991F0000}"/>
    <cellStyle name="Normal 9 2 6 2 2" xfId="7433" xr:uid="{00000000-0005-0000-0000-00009A1F0000}"/>
    <cellStyle name="Normal 9 2 6 2 2 2" xfId="26059" xr:uid="{96FBA896-64D4-4762-AB80-2EFBDF07AA42}"/>
    <cellStyle name="Normal 9 2 6 2 2 3" xfId="34506" xr:uid="{8C667303-C3BC-4C25-97E2-60CC40254E9A}"/>
    <cellStyle name="Normal 9 2 6 2 2 4" xfId="42953" xr:uid="{93F611E3-55AE-4711-9F89-F98772DD6A99}"/>
    <cellStyle name="Normal 9 2 6 2 2 5" xfId="16759" xr:uid="{3A957C5A-6FF6-4B79-A1AA-CB0D5B137300}"/>
    <cellStyle name="Normal 9 2 6 2 3" xfId="21842" xr:uid="{4CF1E5B7-DFDF-448F-B513-E0F4E3CF35B5}"/>
    <cellStyle name="Normal 9 2 6 2 4" xfId="30289" xr:uid="{6BE6DAA2-FA4A-4662-B7D6-8FD7A4C9C8E2}"/>
    <cellStyle name="Normal 9 2 6 2 5" xfId="38736" xr:uid="{0BCA3499-FBB7-4F75-A55B-3E348CE823F3}"/>
    <cellStyle name="Normal 9 2 6 2 6" xfId="12542" xr:uid="{99EB75D7-21D3-4EAC-8BC9-BE212BB485EF}"/>
    <cellStyle name="Normal 9 2 6 3" xfId="5288" xr:uid="{00000000-0005-0000-0000-00009B1F0000}"/>
    <cellStyle name="Normal 9 2 6 3 2" xfId="23914" xr:uid="{CA26E5E9-7F37-4FE3-99D9-60C7988F8A95}"/>
    <cellStyle name="Normal 9 2 6 3 3" xfId="32361" xr:uid="{176E76A4-307A-4265-A52A-AAE55752BCD3}"/>
    <cellStyle name="Normal 9 2 6 3 4" xfId="40808" xr:uid="{7688683C-0F96-43F2-B09B-AE78CD2AEC2A}"/>
    <cellStyle name="Normal 9 2 6 3 5" xfId="14614" xr:uid="{C71FDBF9-B1B2-42B3-B351-00703BBEFEA9}"/>
    <cellStyle name="Normal 9 2 6 4" xfId="9176" xr:uid="{F3933A08-5B20-47C9-B0FC-7B73F4B0BA7D}"/>
    <cellStyle name="Normal 9 2 6 4 2" xfId="18495" xr:uid="{404020B1-51D9-4986-A6C1-C59412A00223}"/>
    <cellStyle name="Normal 9 2 6 5" xfId="19697" xr:uid="{A0C696B9-6ED8-469D-971F-BC9B4FFF4798}"/>
    <cellStyle name="Normal 9 2 6 6" xfId="28144" xr:uid="{FCF006BA-2A2A-408C-8F92-D31E0C614082}"/>
    <cellStyle name="Normal 9 2 6 7" xfId="36591" xr:uid="{EE12E605-DEFE-4DB3-B109-545FC738BBDD}"/>
    <cellStyle name="Normal 9 2 6 8" xfId="10397" xr:uid="{6C92DBBB-4806-4F41-896A-98A2E7EE9420}"/>
    <cellStyle name="Normal 9 2 7" xfId="1394" xr:uid="{00000000-0005-0000-0000-00009C1F0000}"/>
    <cellStyle name="Normal 9 2 7 2" xfId="3624" xr:uid="{00000000-0005-0000-0000-00009D1F0000}"/>
    <cellStyle name="Normal 9 2 7 2 2" xfId="7846" xr:uid="{00000000-0005-0000-0000-00009E1F0000}"/>
    <cellStyle name="Normal 9 2 7 2 2 2" xfId="26472" xr:uid="{CDD42170-9275-48E0-A47D-BEF3B908ADAB}"/>
    <cellStyle name="Normal 9 2 7 2 2 3" xfId="34919" xr:uid="{2F7F0E9F-A559-4DEF-8E9C-D74434592BBE}"/>
    <cellStyle name="Normal 9 2 7 2 2 4" xfId="43366" xr:uid="{207E1BBF-FE21-4C63-A192-B59C8C72996B}"/>
    <cellStyle name="Normal 9 2 7 2 2 5" xfId="17172" xr:uid="{89EE34D3-BE2A-4B3F-A8F4-08DDF7020AFC}"/>
    <cellStyle name="Normal 9 2 7 2 3" xfId="22255" xr:uid="{836C6DA1-9F9D-43F3-A217-E2E4BE0A7FA7}"/>
    <cellStyle name="Normal 9 2 7 2 4" xfId="30702" xr:uid="{38A5C4F8-1DE7-4BB7-8345-2C751C388181}"/>
    <cellStyle name="Normal 9 2 7 2 5" xfId="39149" xr:uid="{0BE2FECC-8994-43EC-9E5A-D82E32CD8E81}"/>
    <cellStyle name="Normal 9 2 7 2 6" xfId="12955" xr:uid="{191F1FF2-B36E-44FA-A598-2D8F91A0FE5E}"/>
    <cellStyle name="Normal 9 2 7 3" xfId="5701" xr:uid="{00000000-0005-0000-0000-00009F1F0000}"/>
    <cellStyle name="Normal 9 2 7 3 2" xfId="24327" xr:uid="{85324BA6-A402-4FC3-8694-4A85CFA64DF9}"/>
    <cellStyle name="Normal 9 2 7 3 3" xfId="32774" xr:uid="{871D01CA-F6BF-47A2-826B-7CB5BEF08AC1}"/>
    <cellStyle name="Normal 9 2 7 3 4" xfId="41221" xr:uid="{5C181B6C-20F8-435C-BB22-D50AAD2D32C8}"/>
    <cellStyle name="Normal 9 2 7 3 5" xfId="15027" xr:uid="{4CF37DB4-F6FD-4959-A571-2D8A7257A5EF}"/>
    <cellStyle name="Normal 9 2 7 4" xfId="20110" xr:uid="{69AB1E2A-73AB-41B0-B43F-2A3A989F5D92}"/>
    <cellStyle name="Normal 9 2 7 5" xfId="28557" xr:uid="{C2FF5419-B098-4744-B14A-520408CCCEF1}"/>
    <cellStyle name="Normal 9 2 7 6" xfId="37004" xr:uid="{4C01E8AD-D144-4BF5-92F6-60E7D3FA0B1B}"/>
    <cellStyle name="Normal 9 2 7 7" xfId="10810" xr:uid="{BDC2B0CD-6AB8-4887-A696-E508E406BA74}"/>
    <cellStyle name="Normal 9 2 8" xfId="1807" xr:uid="{00000000-0005-0000-0000-0000A01F0000}"/>
    <cellStyle name="Normal 9 2 8 2" xfId="4037" xr:uid="{00000000-0005-0000-0000-0000A11F0000}"/>
    <cellStyle name="Normal 9 2 8 2 2" xfId="8259" xr:uid="{00000000-0005-0000-0000-0000A21F0000}"/>
    <cellStyle name="Normal 9 2 8 2 2 2" xfId="26885" xr:uid="{5602F7DB-B463-4D85-9557-CE02ABF320AA}"/>
    <cellStyle name="Normal 9 2 8 2 2 3" xfId="35332" xr:uid="{EA73FE52-B9F5-4315-9AF6-B37EA860F7ED}"/>
    <cellStyle name="Normal 9 2 8 2 2 4" xfId="43779" xr:uid="{130AD8B5-B340-4FD9-AD8F-0CD4763744DC}"/>
    <cellStyle name="Normal 9 2 8 2 2 5" xfId="17585" xr:uid="{AE0E1B44-7897-4687-B924-5D7336548343}"/>
    <cellStyle name="Normal 9 2 8 2 3" xfId="22668" xr:uid="{D3AF8EA6-16D1-47FD-AE19-60236C23C66C}"/>
    <cellStyle name="Normal 9 2 8 2 4" xfId="31115" xr:uid="{294F5BC0-308E-4619-9ACB-74BF546536B0}"/>
    <cellStyle name="Normal 9 2 8 2 5" xfId="39562" xr:uid="{F2F594EF-6131-42C7-A7B5-773B1C0D07E9}"/>
    <cellStyle name="Normal 9 2 8 2 6" xfId="13368" xr:uid="{F6812785-EAA9-4369-B621-F65A56408A46}"/>
    <cellStyle name="Normal 9 2 8 3" xfId="6114" xr:uid="{00000000-0005-0000-0000-0000A31F0000}"/>
    <cellStyle name="Normal 9 2 8 3 2" xfId="24740" xr:uid="{E0E68059-A960-4448-97C2-E447D3A93EA8}"/>
    <cellStyle name="Normal 9 2 8 3 3" xfId="33187" xr:uid="{BF7B32CB-75A9-4D09-BA75-1C5283E86BD9}"/>
    <cellStyle name="Normal 9 2 8 3 4" xfId="41634" xr:uid="{2EA13870-F906-4395-97BD-F9242305C93F}"/>
    <cellStyle name="Normal 9 2 8 3 5" xfId="15440" xr:uid="{34EF8874-337F-47EB-84F2-20CB60F74F8A}"/>
    <cellStyle name="Normal 9 2 8 4" xfId="20523" xr:uid="{FFBC5661-E656-4C13-B28C-37B0F6FFA985}"/>
    <cellStyle name="Normal 9 2 8 5" xfId="28970" xr:uid="{30E07DF1-C3B2-49F2-9D08-D1C556964ECA}"/>
    <cellStyle name="Normal 9 2 8 6" xfId="37417" xr:uid="{978D0CD4-9C2F-4C1E-BD0E-844C7649B5F2}"/>
    <cellStyle name="Normal 9 2 8 7" xfId="11223" xr:uid="{1DD40D9E-072E-47C1-888D-E481B6EFB925}"/>
    <cellStyle name="Normal 9 2 9" xfId="2221" xr:uid="{00000000-0005-0000-0000-0000A41F0000}"/>
    <cellStyle name="Normal 9 2 9 2" xfId="4450" xr:uid="{00000000-0005-0000-0000-0000A51F0000}"/>
    <cellStyle name="Normal 9 2 9 2 2" xfId="8672" xr:uid="{00000000-0005-0000-0000-0000A61F0000}"/>
    <cellStyle name="Normal 9 2 9 2 2 2" xfId="27298" xr:uid="{60ECBAA4-6470-4290-85F9-4468E25D0102}"/>
    <cellStyle name="Normal 9 2 9 2 2 3" xfId="35745" xr:uid="{56AAE80E-EB3E-4638-ABC8-73C772D9299D}"/>
    <cellStyle name="Normal 9 2 9 2 2 4" xfId="44192" xr:uid="{D12BD1CA-6EBE-4B81-84B8-3CC6C2D11D5D}"/>
    <cellStyle name="Normal 9 2 9 2 2 5" xfId="17998" xr:uid="{85E2AB40-C5AC-47C4-99F1-8DA5C9EA554B}"/>
    <cellStyle name="Normal 9 2 9 2 3" xfId="23081" xr:uid="{1216D7B7-38ED-4ADA-8C98-DA74D97150AE}"/>
    <cellStyle name="Normal 9 2 9 2 4" xfId="31528" xr:uid="{D49BB3EF-54DB-4BFE-858E-79EE149BCC66}"/>
    <cellStyle name="Normal 9 2 9 2 5" xfId="39975" xr:uid="{583F2384-24B2-47DE-9128-F571AD14FE32}"/>
    <cellStyle name="Normal 9 2 9 2 6" xfId="13781" xr:uid="{30278B1C-3102-4A4D-B232-D51700DDF9F6}"/>
    <cellStyle name="Normal 9 2 9 3" xfId="6527" xr:uid="{00000000-0005-0000-0000-0000A71F0000}"/>
    <cellStyle name="Normal 9 2 9 3 2" xfId="25153" xr:uid="{6E724421-86BA-4610-B117-FF6EB3E6B616}"/>
    <cellStyle name="Normal 9 2 9 3 3" xfId="33600" xr:uid="{224E1CE9-4E71-4C8B-A517-8CDF9BACC430}"/>
    <cellStyle name="Normal 9 2 9 3 4" xfId="42047" xr:uid="{AF6DCADA-195B-4D82-B5D6-E1BAECACE4AE}"/>
    <cellStyle name="Normal 9 2 9 3 5" xfId="15853" xr:uid="{53E79908-08AC-4AAB-A7DE-F639FE7F7BF7}"/>
    <cellStyle name="Normal 9 2 9 4" xfId="20936" xr:uid="{C1592410-63BF-4DD2-877E-0DE9B082F1BE}"/>
    <cellStyle name="Normal 9 2 9 5" xfId="29383" xr:uid="{663FB143-05B7-4AFB-8CFA-D2CF685E546C}"/>
    <cellStyle name="Normal 9 2 9 6" xfId="37830" xr:uid="{EA472A56-EF51-497A-AE63-028580948497}"/>
    <cellStyle name="Normal 9 2 9 7" xfId="11636" xr:uid="{A6F94614-02CD-4CAC-BD47-5C1B77BACEB3}"/>
    <cellStyle name="Normal 9 3" xfId="527" xr:uid="{00000000-0005-0000-0000-0000A81F0000}"/>
    <cellStyle name="Normal 9 3 10" xfId="4891" xr:uid="{00000000-0005-0000-0000-0000A91F0000}"/>
    <cellStyle name="Normal 9 3 10 2" xfId="23517" xr:uid="{B9507DCB-16B4-43FF-AF86-7A34794AF37A}"/>
    <cellStyle name="Normal 9 3 10 3" xfId="31964" xr:uid="{69A572CA-2449-4ADE-BD03-ECA2434500C8}"/>
    <cellStyle name="Normal 9 3 10 4" xfId="40411" xr:uid="{182AA3A2-15DE-4FC9-9A81-760961B10ED9}"/>
    <cellStyle name="Normal 9 3 10 5" xfId="14217" xr:uid="{D2F7DA8A-DC0F-4F12-B53E-3F7EE93C1E83}"/>
    <cellStyle name="Normal 9 3 11" xfId="8777" xr:uid="{1F3D7E21-FC22-4F0C-9371-3D8250746BB7}"/>
    <cellStyle name="Normal 9 3 11 2" xfId="18101" xr:uid="{157A6064-F4E0-4CBE-BE82-DEA042C229AE}"/>
    <cellStyle name="Normal 9 3 12" xfId="19300" xr:uid="{59B28496-3A2A-4D3F-BA35-9A665BEE4419}"/>
    <cellStyle name="Normal 9 3 13" xfId="27747" xr:uid="{519F0929-69FE-49F8-9437-CD6A46A8A7DB}"/>
    <cellStyle name="Normal 9 3 14" xfId="36194" xr:uid="{C78646A4-C036-48DA-84F4-437DA62105CC}"/>
    <cellStyle name="Normal 9 3 15" xfId="10000" xr:uid="{500E5CCB-542F-4A99-A14E-918967E72CF9}"/>
    <cellStyle name="Normal 9 3 2" xfId="528" xr:uid="{00000000-0005-0000-0000-0000AA1F0000}"/>
    <cellStyle name="Normal 9 3 2 10" xfId="8840" xr:uid="{94797BE2-1721-4871-A768-79D4D45F48BB}"/>
    <cellStyle name="Normal 9 3 2 10 2" xfId="18164" xr:uid="{283635E6-A0AF-4602-B537-07DD85C7793A}"/>
    <cellStyle name="Normal 9 3 2 11" xfId="19301" xr:uid="{CBB4A537-D2FA-4D9D-8903-7542E5F8D80B}"/>
    <cellStyle name="Normal 9 3 2 12" xfId="27748" xr:uid="{91AC6E8A-0131-4D7B-AE3D-62DBA30CC4A0}"/>
    <cellStyle name="Normal 9 3 2 13" xfId="36195" xr:uid="{E9908DFE-1338-4799-AF71-300AE7EBA14E}"/>
    <cellStyle name="Normal 9 3 2 14" xfId="10001" xr:uid="{79AB942A-7C9E-4FBC-9C71-89E28CFCEF58}"/>
    <cellStyle name="Normal 9 3 2 2" xfId="529" xr:uid="{00000000-0005-0000-0000-0000AB1F0000}"/>
    <cellStyle name="Normal 9 3 2 2 10" xfId="19302" xr:uid="{A451683B-07CA-467E-876A-4EE279579934}"/>
    <cellStyle name="Normal 9 3 2 2 11" xfId="27749" xr:uid="{96833866-EB3B-42D8-86F1-FEB68347C590}"/>
    <cellStyle name="Normal 9 3 2 2 12" xfId="36196" xr:uid="{D1304E1B-FFAA-4E9A-A59C-F3CADE55B2DA}"/>
    <cellStyle name="Normal 9 3 2 2 13" xfId="10002" xr:uid="{A43A61D2-1CFD-414E-B8B5-E8432AC8A172}"/>
    <cellStyle name="Normal 9 3 2 2 2" xfId="530" xr:uid="{00000000-0005-0000-0000-0000AC1F0000}"/>
    <cellStyle name="Normal 9 3 2 2 2 10" xfId="27750" xr:uid="{4ADDC5AC-596F-4581-86C2-FE31F7E39606}"/>
    <cellStyle name="Normal 9 3 2 2 2 11" xfId="36197" xr:uid="{E2152603-ECF3-4606-BB47-F35EEC9FB8F4}"/>
    <cellStyle name="Normal 9 3 2 2 2 12" xfId="10003" xr:uid="{785076D0-AB2E-429E-99FC-7293070C63AA}"/>
    <cellStyle name="Normal 9 3 2 2 2 2" xfId="997" xr:uid="{00000000-0005-0000-0000-0000AD1F0000}"/>
    <cellStyle name="Normal 9 3 2 2 2 2 2" xfId="3230" xr:uid="{00000000-0005-0000-0000-0000AE1F0000}"/>
    <cellStyle name="Normal 9 3 2 2 2 2 2 2" xfId="7452" xr:uid="{00000000-0005-0000-0000-0000AF1F0000}"/>
    <cellStyle name="Normal 9 3 2 2 2 2 2 2 2" xfId="26078" xr:uid="{9FCBD264-5E17-4338-9065-981981E1587C}"/>
    <cellStyle name="Normal 9 3 2 2 2 2 2 2 3" xfId="34525" xr:uid="{47AE6708-6607-495B-A386-DC42BACA913A}"/>
    <cellStyle name="Normal 9 3 2 2 2 2 2 2 4" xfId="42972" xr:uid="{4F7E2EC5-5895-4CB4-853F-5AAEA164AA4B}"/>
    <cellStyle name="Normal 9 3 2 2 2 2 2 2 5" xfId="16778" xr:uid="{D5AC92A6-3283-4E21-9C62-6522C746FCBE}"/>
    <cellStyle name="Normal 9 3 2 2 2 2 2 3" xfId="21861" xr:uid="{EA5EC32F-F994-4981-ABDC-5C2836B00E29}"/>
    <cellStyle name="Normal 9 3 2 2 2 2 2 4" xfId="30308" xr:uid="{8183BB95-5BA7-4559-A08D-9EC15FFCB89C}"/>
    <cellStyle name="Normal 9 3 2 2 2 2 2 5" xfId="38755" xr:uid="{EE188912-69BC-44EB-885F-F862B4324AFA}"/>
    <cellStyle name="Normal 9 3 2 2 2 2 2 6" xfId="12561" xr:uid="{5DB4EC5A-F878-45B3-B8F5-70AE735047CC}"/>
    <cellStyle name="Normal 9 3 2 2 2 2 3" xfId="5307" xr:uid="{00000000-0005-0000-0000-0000B01F0000}"/>
    <cellStyle name="Normal 9 3 2 2 2 2 3 2" xfId="23933" xr:uid="{D735A37A-4E03-4C67-9113-FED236B2484E}"/>
    <cellStyle name="Normal 9 3 2 2 2 2 3 3" xfId="32380" xr:uid="{87DDE21F-94F2-43B9-ACFC-004FAB7A8396}"/>
    <cellStyle name="Normal 9 3 2 2 2 2 3 4" xfId="40827" xr:uid="{380A41F8-FFF8-4094-9B96-58DB1D8D84B8}"/>
    <cellStyle name="Normal 9 3 2 2 2 2 3 5" xfId="14633" xr:uid="{374F33A2-4A25-44FD-AF74-0273D57B7DA0}"/>
    <cellStyle name="Normal 9 3 2 2 2 2 4" xfId="9575" xr:uid="{DA05DE06-1987-4B8E-8439-C692853FF296}"/>
    <cellStyle name="Normal 9 3 2 2 2 2 4 2" xfId="18891" xr:uid="{FFF3A3C3-1311-41F0-9498-FB31CB496C57}"/>
    <cellStyle name="Normal 9 3 2 2 2 2 5" xfId="19716" xr:uid="{0B6B453B-6F83-4603-9C91-FBDD7CE64B70}"/>
    <cellStyle name="Normal 9 3 2 2 2 2 6" xfId="28163" xr:uid="{65A12018-07C3-4FD4-8B74-1032C9DA854C}"/>
    <cellStyle name="Normal 9 3 2 2 2 2 7" xfId="36610" xr:uid="{6AACA044-F250-46BB-8D85-B50861FD3F4D}"/>
    <cellStyle name="Normal 9 3 2 2 2 2 8" xfId="10416" xr:uid="{6CC740D4-8865-4130-9D0F-D128B2ECBAB7}"/>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2 2 2" xfId="26491" xr:uid="{49EF94BB-8815-4D2F-A704-D630E4A4F54A}"/>
    <cellStyle name="Normal 9 3 2 2 2 3 2 2 3" xfId="34938" xr:uid="{5F4D9174-8389-4DF9-80C5-6AE0A1E60BEA}"/>
    <cellStyle name="Normal 9 3 2 2 2 3 2 2 4" xfId="43385" xr:uid="{469489CF-00FC-4EA5-8B44-B5523668F9B9}"/>
    <cellStyle name="Normal 9 3 2 2 2 3 2 2 5" xfId="17191" xr:uid="{2D9871AD-9D85-425F-A710-FBBDE59225F6}"/>
    <cellStyle name="Normal 9 3 2 2 2 3 2 3" xfId="22274" xr:uid="{2ADF70DF-5B4D-4659-9CBD-BD16D4F535C4}"/>
    <cellStyle name="Normal 9 3 2 2 2 3 2 4" xfId="30721" xr:uid="{992FB05D-1EA1-44C2-AC12-7673C78C7A0A}"/>
    <cellStyle name="Normal 9 3 2 2 2 3 2 5" xfId="39168" xr:uid="{ABCD5042-E530-4CAF-A931-D8E44DB24C57}"/>
    <cellStyle name="Normal 9 3 2 2 2 3 2 6" xfId="12974" xr:uid="{AF7C780A-913B-4712-AA6B-4AA54A23FDFF}"/>
    <cellStyle name="Normal 9 3 2 2 2 3 3" xfId="5720" xr:uid="{00000000-0005-0000-0000-0000B41F0000}"/>
    <cellStyle name="Normal 9 3 2 2 2 3 3 2" xfId="24346" xr:uid="{25EBD70A-5106-4E79-A828-CCA9C0308CC8}"/>
    <cellStyle name="Normal 9 3 2 2 2 3 3 3" xfId="32793" xr:uid="{552E9DB9-DACC-49D3-8D86-8DD6F67037F3}"/>
    <cellStyle name="Normal 9 3 2 2 2 3 3 4" xfId="41240" xr:uid="{7244261F-2656-442D-AC17-4CC280058245}"/>
    <cellStyle name="Normal 9 3 2 2 2 3 3 5" xfId="15046" xr:uid="{81A2F2D0-2BE5-4B16-98B7-CF0D70E841BB}"/>
    <cellStyle name="Normal 9 3 2 2 2 3 4" xfId="20129" xr:uid="{0F831E7A-3172-47A4-9661-1B4B5146402F}"/>
    <cellStyle name="Normal 9 3 2 2 2 3 5" xfId="28576" xr:uid="{7A3B4A90-56D9-4D1B-A86E-88A30CF12755}"/>
    <cellStyle name="Normal 9 3 2 2 2 3 6" xfId="37023" xr:uid="{6B66CA33-4DF6-4087-9E25-79686ABEF7C8}"/>
    <cellStyle name="Normal 9 3 2 2 2 3 7" xfId="10829" xr:uid="{C8C28B6A-D7C1-4AB0-9867-22360403350C}"/>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2 2 2" xfId="26904" xr:uid="{7BA2D38C-9680-4EE4-9167-42D8B30A27CD}"/>
    <cellStyle name="Normal 9 3 2 2 2 4 2 2 3" xfId="35351" xr:uid="{A6BB0CA2-C69E-47F2-94A0-B5E16321EFD3}"/>
    <cellStyle name="Normal 9 3 2 2 2 4 2 2 4" xfId="43798" xr:uid="{7C0DF023-C7D3-469F-AF5F-0969ECBD2C84}"/>
    <cellStyle name="Normal 9 3 2 2 2 4 2 2 5" xfId="17604" xr:uid="{B232F237-165D-4F14-A425-4CA026AD8748}"/>
    <cellStyle name="Normal 9 3 2 2 2 4 2 3" xfId="22687" xr:uid="{5246DB9C-E542-47AF-ADE2-8950919305DD}"/>
    <cellStyle name="Normal 9 3 2 2 2 4 2 4" xfId="31134" xr:uid="{67DDACF2-9DE3-40F4-AADC-F2EC93E373C9}"/>
    <cellStyle name="Normal 9 3 2 2 2 4 2 5" xfId="39581" xr:uid="{1CFCD7EE-93B5-41A7-917D-5CC5D8601496}"/>
    <cellStyle name="Normal 9 3 2 2 2 4 2 6" xfId="13387" xr:uid="{2A579148-5588-4F06-BCF8-41E9CF2D1C0D}"/>
    <cellStyle name="Normal 9 3 2 2 2 4 3" xfId="6133" xr:uid="{00000000-0005-0000-0000-0000B81F0000}"/>
    <cellStyle name="Normal 9 3 2 2 2 4 3 2" xfId="24759" xr:uid="{99AAD013-CDB5-4B61-A817-6731E67180D8}"/>
    <cellStyle name="Normal 9 3 2 2 2 4 3 3" xfId="33206" xr:uid="{88DF0157-7945-44BD-8017-7DC2E7AD4842}"/>
    <cellStyle name="Normal 9 3 2 2 2 4 3 4" xfId="41653" xr:uid="{226C327F-61BB-490A-BC02-E13D321C731B}"/>
    <cellStyle name="Normal 9 3 2 2 2 4 3 5" xfId="15459" xr:uid="{D4AD721D-0E96-467D-A5F9-299EFDCA86E7}"/>
    <cellStyle name="Normal 9 3 2 2 2 4 4" xfId="20542" xr:uid="{AAEF1A82-4986-4FB4-9E1B-126527D3AC33}"/>
    <cellStyle name="Normal 9 3 2 2 2 4 5" xfId="28989" xr:uid="{56FAB72F-4BE9-46CF-A084-54867E99BFE2}"/>
    <cellStyle name="Normal 9 3 2 2 2 4 6" xfId="37436" xr:uid="{B9A8890A-FB2D-496C-B49D-DFCB1B1A674D}"/>
    <cellStyle name="Normal 9 3 2 2 2 4 7" xfId="11242" xr:uid="{8DE26493-E239-4D3D-97AA-D14A3DC17D23}"/>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2 2 2" xfId="27317" xr:uid="{8FA916D3-D0B5-4F16-8AAB-D37BC0BD460C}"/>
    <cellStyle name="Normal 9 3 2 2 2 5 2 2 3" xfId="35764" xr:uid="{3697550B-8F18-4ED1-BCE6-2778303411E9}"/>
    <cellStyle name="Normal 9 3 2 2 2 5 2 2 4" xfId="44211" xr:uid="{8BA5541E-FCDA-4928-BE8F-EE7DF573537E}"/>
    <cellStyle name="Normal 9 3 2 2 2 5 2 2 5" xfId="18017" xr:uid="{C7581226-6CB0-4824-A53E-FD4C75A83A92}"/>
    <cellStyle name="Normal 9 3 2 2 2 5 2 3" xfId="23100" xr:uid="{DF40C05C-0780-4CA3-A036-4C98272B12F8}"/>
    <cellStyle name="Normal 9 3 2 2 2 5 2 4" xfId="31547" xr:uid="{BC191B6F-BA39-4AAF-A35C-3AF81456C7D7}"/>
    <cellStyle name="Normal 9 3 2 2 2 5 2 5" xfId="39994" xr:uid="{80C0569B-1DE4-41E7-B229-08B8632EF8D1}"/>
    <cellStyle name="Normal 9 3 2 2 2 5 2 6" xfId="13800" xr:uid="{8334EAA2-262A-4022-BE38-C20825FE8C53}"/>
    <cellStyle name="Normal 9 3 2 2 2 5 3" xfId="6546" xr:uid="{00000000-0005-0000-0000-0000BC1F0000}"/>
    <cellStyle name="Normal 9 3 2 2 2 5 3 2" xfId="25172" xr:uid="{3E452F2A-8CE2-44D2-ADE0-4E9C39C924EC}"/>
    <cellStyle name="Normal 9 3 2 2 2 5 3 3" xfId="33619" xr:uid="{8844F819-3B88-4FA1-A1CD-FD7A72F54C77}"/>
    <cellStyle name="Normal 9 3 2 2 2 5 3 4" xfId="42066" xr:uid="{8F641E35-ED78-4DF2-9C40-2C12C3F6F06B}"/>
    <cellStyle name="Normal 9 3 2 2 2 5 3 5" xfId="15872" xr:uid="{A29A6633-822B-49F1-BB4F-AF2A0A9791AB}"/>
    <cellStyle name="Normal 9 3 2 2 2 5 4" xfId="20955" xr:uid="{E12B726D-FB14-43E5-8306-EE4D10294734}"/>
    <cellStyle name="Normal 9 3 2 2 2 5 5" xfId="29402" xr:uid="{9EC0AEB1-AEB1-4E20-A6CF-55ACDD0E6DA4}"/>
    <cellStyle name="Normal 9 3 2 2 2 5 6" xfId="37849" xr:uid="{6E614288-470F-4A00-AD52-46D2C4DFB821}"/>
    <cellStyle name="Normal 9 3 2 2 2 5 7" xfId="11655" xr:uid="{A2D48D96-552E-4E8F-8FDC-EB2199CA7B21}"/>
    <cellStyle name="Normal 9 3 2 2 2 6" xfId="2676" xr:uid="{00000000-0005-0000-0000-0000BD1F0000}"/>
    <cellStyle name="Normal 9 3 2 2 2 6 2" xfId="6959" xr:uid="{00000000-0005-0000-0000-0000BE1F0000}"/>
    <cellStyle name="Normal 9 3 2 2 2 6 2 2" xfId="25585" xr:uid="{9C45FAD3-401C-47D4-8E2D-3D7499F12FEB}"/>
    <cellStyle name="Normal 9 3 2 2 2 6 2 3" xfId="34032" xr:uid="{5176DEDA-7266-48E8-A94F-2BEE3050CDA3}"/>
    <cellStyle name="Normal 9 3 2 2 2 6 2 4" xfId="42479" xr:uid="{A3C2D6F6-4192-4387-B20B-7FAD006D239C}"/>
    <cellStyle name="Normal 9 3 2 2 2 6 2 5" xfId="16285" xr:uid="{7EBF9C44-64D0-4121-BF36-9ABB7B7549C4}"/>
    <cellStyle name="Normal 9 3 2 2 2 6 3" xfId="21368" xr:uid="{45C4807B-31EB-4C82-B67A-D0E6CC8BDC39}"/>
    <cellStyle name="Normal 9 3 2 2 2 6 4" xfId="29815" xr:uid="{0E92E55C-9407-4A0C-8600-E0A11FD709D4}"/>
    <cellStyle name="Normal 9 3 2 2 2 6 5" xfId="38262" xr:uid="{A048128F-1916-4DDB-83D7-07B1CC52EA8D}"/>
    <cellStyle name="Normal 9 3 2 2 2 6 6" xfId="12068" xr:uid="{2FAA1ADE-E486-4F41-BA26-CFA865152EAA}"/>
    <cellStyle name="Normal 9 3 2 2 2 7" xfId="4894" xr:uid="{00000000-0005-0000-0000-0000BF1F0000}"/>
    <cellStyle name="Normal 9 3 2 2 2 7 2" xfId="23520" xr:uid="{F769A349-E4C1-4B49-865F-C7C682A875E7}"/>
    <cellStyle name="Normal 9 3 2 2 2 7 3" xfId="31967" xr:uid="{02480009-D5D4-4CD6-A285-2A24E35AB204}"/>
    <cellStyle name="Normal 9 3 2 2 2 7 4" xfId="40414" xr:uid="{77F1FBEE-FDA5-4E29-9FD8-D844A0393188}"/>
    <cellStyle name="Normal 9 3 2 2 2 7 5" xfId="14220" xr:uid="{5F3988D4-3B9D-4B31-9E63-53971D3026E4}"/>
    <cellStyle name="Normal 9 3 2 2 2 8" xfId="9150" xr:uid="{F54F74BE-A583-4C94-A198-8E0D27AD7F4F}"/>
    <cellStyle name="Normal 9 3 2 2 2 8 2" xfId="18474" xr:uid="{34FB8B17-FFF5-4786-B873-545C761FB953}"/>
    <cellStyle name="Normal 9 3 2 2 2 9" xfId="19303" xr:uid="{EAC94DAD-FF6E-4CA4-89DA-C84052060169}"/>
    <cellStyle name="Normal 9 3 2 2 3" xfId="996" xr:uid="{00000000-0005-0000-0000-0000C01F0000}"/>
    <cellStyle name="Normal 9 3 2 2 3 2" xfId="3229" xr:uid="{00000000-0005-0000-0000-0000C11F0000}"/>
    <cellStyle name="Normal 9 3 2 2 3 2 2" xfId="7451" xr:uid="{00000000-0005-0000-0000-0000C21F0000}"/>
    <cellStyle name="Normal 9 3 2 2 3 2 2 2" xfId="26077" xr:uid="{C662724A-086D-4226-A234-2F1B67A1E5A7}"/>
    <cellStyle name="Normal 9 3 2 2 3 2 2 3" xfId="34524" xr:uid="{D387DD2C-BAC6-4E80-B148-37B88673874E}"/>
    <cellStyle name="Normal 9 3 2 2 3 2 2 4" xfId="42971" xr:uid="{6A591A08-A3CB-48AB-B684-EBD7CCAD22BE}"/>
    <cellStyle name="Normal 9 3 2 2 3 2 2 5" xfId="16777" xr:uid="{F2139DF1-85EA-4436-8E75-85A7B23A28E8}"/>
    <cellStyle name="Normal 9 3 2 2 3 2 3" xfId="21860" xr:uid="{55CF7B26-08EE-4C01-8009-0AD3DF11C65D}"/>
    <cellStyle name="Normal 9 3 2 2 3 2 4" xfId="30307" xr:uid="{B716B026-4529-42B2-845D-33C81D802610}"/>
    <cellStyle name="Normal 9 3 2 2 3 2 5" xfId="38754" xr:uid="{45E5B991-3DEC-468E-AF3C-7F564E95A774}"/>
    <cellStyle name="Normal 9 3 2 2 3 2 6" xfId="12560" xr:uid="{6524AB2A-D25E-4A55-B2CA-2481CC258B60}"/>
    <cellStyle name="Normal 9 3 2 2 3 3" xfId="5306" xr:uid="{00000000-0005-0000-0000-0000C31F0000}"/>
    <cellStyle name="Normal 9 3 2 2 3 3 2" xfId="23932" xr:uid="{19379B06-6C5F-4650-954F-B37E939AB25C}"/>
    <cellStyle name="Normal 9 3 2 2 3 3 3" xfId="32379" xr:uid="{B6993152-BE44-41CB-B355-F9E4153C9F0C}"/>
    <cellStyle name="Normal 9 3 2 2 3 3 4" xfId="40826" xr:uid="{293B6911-B9CE-454A-98B4-00482DB55C6C}"/>
    <cellStyle name="Normal 9 3 2 2 3 3 5" xfId="14632" xr:uid="{EE4DBC58-900F-4007-8CB8-B9AC3DDC6839}"/>
    <cellStyle name="Normal 9 3 2 2 3 4" xfId="9368" xr:uid="{B3189122-1774-442D-BD5B-8DA329618536}"/>
    <cellStyle name="Normal 9 3 2 2 3 4 2" xfId="18684" xr:uid="{45DA436E-2B1A-4D00-8292-B19292F608EC}"/>
    <cellStyle name="Normal 9 3 2 2 3 5" xfId="19715" xr:uid="{ACAA0312-F9D7-47EC-ABAF-C9F930246E5F}"/>
    <cellStyle name="Normal 9 3 2 2 3 6" xfId="28162" xr:uid="{E8239B78-2B25-47D6-9314-4009082CA050}"/>
    <cellStyle name="Normal 9 3 2 2 3 7" xfId="36609" xr:uid="{1D16212E-A0BF-4B2F-9BA7-79C07381A5B1}"/>
    <cellStyle name="Normal 9 3 2 2 3 8" xfId="10415" xr:uid="{F6E231EE-7BF1-405C-AFA1-38391652B4B1}"/>
    <cellStyle name="Normal 9 3 2 2 4" xfId="1412" xr:uid="{00000000-0005-0000-0000-0000C41F0000}"/>
    <cellStyle name="Normal 9 3 2 2 4 2" xfId="3642" xr:uid="{00000000-0005-0000-0000-0000C51F0000}"/>
    <cellStyle name="Normal 9 3 2 2 4 2 2" xfId="7864" xr:uid="{00000000-0005-0000-0000-0000C61F0000}"/>
    <cellStyle name="Normal 9 3 2 2 4 2 2 2" xfId="26490" xr:uid="{F8FCEE8B-B596-42F2-B92F-B0A2E39FF28C}"/>
    <cellStyle name="Normal 9 3 2 2 4 2 2 3" xfId="34937" xr:uid="{9BE89146-883A-49B4-8C67-61A4499DE8F5}"/>
    <cellStyle name="Normal 9 3 2 2 4 2 2 4" xfId="43384" xr:uid="{51EC56C0-AAB2-431B-B5A6-65C394806C2C}"/>
    <cellStyle name="Normal 9 3 2 2 4 2 2 5" xfId="17190" xr:uid="{19258566-D737-4A44-B3E0-FC9450A2F5A9}"/>
    <cellStyle name="Normal 9 3 2 2 4 2 3" xfId="22273" xr:uid="{1BB5C7D5-05E5-4651-89D4-EEABF595835E}"/>
    <cellStyle name="Normal 9 3 2 2 4 2 4" xfId="30720" xr:uid="{504B06DE-C48D-4946-ADEE-CDE9301A6A84}"/>
    <cellStyle name="Normal 9 3 2 2 4 2 5" xfId="39167" xr:uid="{960C0ACB-4350-4957-BEB5-D8CAB65B38EF}"/>
    <cellStyle name="Normal 9 3 2 2 4 2 6" xfId="12973" xr:uid="{EDCEC1B1-D6AA-4C75-80EF-18F88BA232F2}"/>
    <cellStyle name="Normal 9 3 2 2 4 3" xfId="5719" xr:uid="{00000000-0005-0000-0000-0000C71F0000}"/>
    <cellStyle name="Normal 9 3 2 2 4 3 2" xfId="24345" xr:uid="{BC49A4A1-E778-48DF-9286-8FBA68C7D57A}"/>
    <cellStyle name="Normal 9 3 2 2 4 3 3" xfId="32792" xr:uid="{26977989-52B4-4594-B622-C28457E043BF}"/>
    <cellStyle name="Normal 9 3 2 2 4 3 4" xfId="41239" xr:uid="{32DF2FBD-B355-4A7E-964C-32EA53817679}"/>
    <cellStyle name="Normal 9 3 2 2 4 3 5" xfId="15045" xr:uid="{31B381CD-8419-4322-840B-7EB737BD6650}"/>
    <cellStyle name="Normal 9 3 2 2 4 4" xfId="20128" xr:uid="{EEE44FCA-DF94-443E-91CD-9201B2CBC1E9}"/>
    <cellStyle name="Normal 9 3 2 2 4 5" xfId="28575" xr:uid="{1D68ADDB-03A2-4CD5-AB91-0BBC65007B53}"/>
    <cellStyle name="Normal 9 3 2 2 4 6" xfId="37022" xr:uid="{EAA186F5-ADE0-49C7-ADFB-1F149A107722}"/>
    <cellStyle name="Normal 9 3 2 2 4 7" xfId="10828" xr:uid="{FD654951-B361-45C4-8DB0-239537720D21}"/>
    <cellStyle name="Normal 9 3 2 2 5" xfId="1825" xr:uid="{00000000-0005-0000-0000-0000C81F0000}"/>
    <cellStyle name="Normal 9 3 2 2 5 2" xfId="4055" xr:uid="{00000000-0005-0000-0000-0000C91F0000}"/>
    <cellStyle name="Normal 9 3 2 2 5 2 2" xfId="8277" xr:uid="{00000000-0005-0000-0000-0000CA1F0000}"/>
    <cellStyle name="Normal 9 3 2 2 5 2 2 2" xfId="26903" xr:uid="{D4EF56FD-D942-41CB-8E62-3188100A08AD}"/>
    <cellStyle name="Normal 9 3 2 2 5 2 2 3" xfId="35350" xr:uid="{BADC9E0E-4EDE-4FDB-BB20-54E2A7C838B2}"/>
    <cellStyle name="Normal 9 3 2 2 5 2 2 4" xfId="43797" xr:uid="{B101F4CE-702B-4221-A3C3-2D9AA116EBAA}"/>
    <cellStyle name="Normal 9 3 2 2 5 2 2 5" xfId="17603" xr:uid="{D095ED39-1AED-4624-8CEF-FC45861616A0}"/>
    <cellStyle name="Normal 9 3 2 2 5 2 3" xfId="22686" xr:uid="{EF4BE15C-9E4A-47B2-99B3-AAADC526BCE2}"/>
    <cellStyle name="Normal 9 3 2 2 5 2 4" xfId="31133" xr:uid="{BA2D0222-DAE8-4D69-9F09-9484B1D8C247}"/>
    <cellStyle name="Normal 9 3 2 2 5 2 5" xfId="39580" xr:uid="{255548CD-969B-46DE-B989-5055E1BBFA0E}"/>
    <cellStyle name="Normal 9 3 2 2 5 2 6" xfId="13386" xr:uid="{5338DA75-2D9C-4826-9799-D0B5952D3E8D}"/>
    <cellStyle name="Normal 9 3 2 2 5 3" xfId="6132" xr:uid="{00000000-0005-0000-0000-0000CB1F0000}"/>
    <cellStyle name="Normal 9 3 2 2 5 3 2" xfId="24758" xr:uid="{952678AC-D8EF-45C2-A29C-109A7496F70D}"/>
    <cellStyle name="Normal 9 3 2 2 5 3 3" xfId="33205" xr:uid="{2A468E76-1415-4C58-9862-5813A115D8AB}"/>
    <cellStyle name="Normal 9 3 2 2 5 3 4" xfId="41652" xr:uid="{FDCA281C-44AA-4083-AE97-A9A9AB128548}"/>
    <cellStyle name="Normal 9 3 2 2 5 3 5" xfId="15458" xr:uid="{7DE5A225-7913-41D7-81DF-E2A745B83251}"/>
    <cellStyle name="Normal 9 3 2 2 5 4" xfId="20541" xr:uid="{A2BC1A52-252A-4FAC-B6F7-4462EB9DA798}"/>
    <cellStyle name="Normal 9 3 2 2 5 5" xfId="28988" xr:uid="{6AE88D84-42DF-46B9-B798-4194B2304DD2}"/>
    <cellStyle name="Normal 9 3 2 2 5 6" xfId="37435" xr:uid="{5569BA55-5148-40C6-9366-9794E9DDD40E}"/>
    <cellStyle name="Normal 9 3 2 2 5 7" xfId="11241" xr:uid="{493578D6-BCF2-4866-9B82-907B82FFCCE4}"/>
    <cellStyle name="Normal 9 3 2 2 6" xfId="2239" xr:uid="{00000000-0005-0000-0000-0000CC1F0000}"/>
    <cellStyle name="Normal 9 3 2 2 6 2" xfId="4468" xr:uid="{00000000-0005-0000-0000-0000CD1F0000}"/>
    <cellStyle name="Normal 9 3 2 2 6 2 2" xfId="8690" xr:uid="{00000000-0005-0000-0000-0000CE1F0000}"/>
    <cellStyle name="Normal 9 3 2 2 6 2 2 2" xfId="27316" xr:uid="{4ADA5D72-3694-44C6-8C74-EC64E2F11A18}"/>
    <cellStyle name="Normal 9 3 2 2 6 2 2 3" xfId="35763" xr:uid="{B1E9E42D-6B03-4D70-93BC-F0930973F085}"/>
    <cellStyle name="Normal 9 3 2 2 6 2 2 4" xfId="44210" xr:uid="{BC1C8B60-D481-41EA-B34E-D521C255EB72}"/>
    <cellStyle name="Normal 9 3 2 2 6 2 2 5" xfId="18016" xr:uid="{DE5959A9-55F7-4824-8D71-F8586DA1BF37}"/>
    <cellStyle name="Normal 9 3 2 2 6 2 3" xfId="23099" xr:uid="{B2638254-F714-4E31-A1F2-8C0DD7A009A5}"/>
    <cellStyle name="Normal 9 3 2 2 6 2 4" xfId="31546" xr:uid="{3A56C08F-CC72-4E10-8037-56B94D5CD9B1}"/>
    <cellStyle name="Normal 9 3 2 2 6 2 5" xfId="39993" xr:uid="{33226B87-EBD6-46C8-A44E-D1ADD2323C3B}"/>
    <cellStyle name="Normal 9 3 2 2 6 2 6" xfId="13799" xr:uid="{2AA3B210-CFA2-4888-A9A2-FFC63170D365}"/>
    <cellStyle name="Normal 9 3 2 2 6 3" xfId="6545" xr:uid="{00000000-0005-0000-0000-0000CF1F0000}"/>
    <cellStyle name="Normal 9 3 2 2 6 3 2" xfId="25171" xr:uid="{680748B6-AE1E-456F-B072-F90F4C5D602A}"/>
    <cellStyle name="Normal 9 3 2 2 6 3 3" xfId="33618" xr:uid="{2849A4C7-EC30-481F-967A-59C22A37DB88}"/>
    <cellStyle name="Normal 9 3 2 2 6 3 4" xfId="42065" xr:uid="{6D914155-86A6-4ED3-9E6A-D6F51208A48E}"/>
    <cellStyle name="Normal 9 3 2 2 6 3 5" xfId="15871" xr:uid="{58F7063A-ED16-4A8A-9972-9BE2113908BF}"/>
    <cellStyle name="Normal 9 3 2 2 6 4" xfId="20954" xr:uid="{3093C705-D196-4E7C-9ADC-17B28BC33698}"/>
    <cellStyle name="Normal 9 3 2 2 6 5" xfId="29401" xr:uid="{5ECFCD9A-51AD-434F-89A3-1F646E368FBD}"/>
    <cellStyle name="Normal 9 3 2 2 6 6" xfId="37848" xr:uid="{256DBDD7-4714-4AC8-902E-4684DC1FC8E3}"/>
    <cellStyle name="Normal 9 3 2 2 6 7" xfId="11654" xr:uid="{5F7BF98F-2FC4-4227-BE07-23DF6F7BD19F}"/>
    <cellStyle name="Normal 9 3 2 2 7" xfId="2675" xr:uid="{00000000-0005-0000-0000-0000D01F0000}"/>
    <cellStyle name="Normal 9 3 2 2 7 2" xfId="6958" xr:uid="{00000000-0005-0000-0000-0000D11F0000}"/>
    <cellStyle name="Normal 9 3 2 2 7 2 2" xfId="25584" xr:uid="{DF17F038-E1F4-4F19-B6FF-0EC18C21FF06}"/>
    <cellStyle name="Normal 9 3 2 2 7 2 3" xfId="34031" xr:uid="{FF528BFE-BC04-498B-8D83-8AE8C345C06E}"/>
    <cellStyle name="Normal 9 3 2 2 7 2 4" xfId="42478" xr:uid="{06F0BC7B-F90C-4F9A-9304-825AAD1E7F48}"/>
    <cellStyle name="Normal 9 3 2 2 7 2 5" xfId="16284" xr:uid="{78BE4E85-D719-4854-B240-4BC908452C9F}"/>
    <cellStyle name="Normal 9 3 2 2 7 3" xfId="21367" xr:uid="{2060A970-A4ED-4C8F-B133-B8AE1B13BB95}"/>
    <cellStyle name="Normal 9 3 2 2 7 4" xfId="29814" xr:uid="{2D03AD02-C2DB-43AF-939D-2186F1F31F43}"/>
    <cellStyle name="Normal 9 3 2 2 7 5" xfId="38261" xr:uid="{3B12186D-AA21-42C4-ABBC-387FF6F804B9}"/>
    <cellStyle name="Normal 9 3 2 2 7 6" xfId="12067" xr:uid="{DE37E4D7-1891-429B-BF81-858DB59C89CA}"/>
    <cellStyle name="Normal 9 3 2 2 8" xfId="4893" xr:uid="{00000000-0005-0000-0000-0000D21F0000}"/>
    <cellStyle name="Normal 9 3 2 2 8 2" xfId="23519" xr:uid="{D8781CBD-23D6-4384-A774-2480A40AF556}"/>
    <cellStyle name="Normal 9 3 2 2 8 3" xfId="31966" xr:uid="{810DDB18-FC6A-4DE0-A3DF-C8E6C0AC155C}"/>
    <cellStyle name="Normal 9 3 2 2 8 4" xfId="40413" xr:uid="{2049183D-51F6-4612-BA44-26114FB7EF77}"/>
    <cellStyle name="Normal 9 3 2 2 8 5" xfId="14219" xr:uid="{D3CE23E2-220C-4F5E-BB66-C7A8CFB2CB36}"/>
    <cellStyle name="Normal 9 3 2 2 9" xfId="8943" xr:uid="{1E59706A-169E-45B8-A6E4-1A0514B9DDBD}"/>
    <cellStyle name="Normal 9 3 2 2 9 2" xfId="18267" xr:uid="{EA3BC7F9-64B9-4E26-B279-8580FBD66207}"/>
    <cellStyle name="Normal 9 3 2 3" xfId="531" xr:uid="{00000000-0005-0000-0000-0000D31F0000}"/>
    <cellStyle name="Normal 9 3 2 3 10" xfId="27751" xr:uid="{87CFA680-5E4F-4247-A329-E09CBAB9684F}"/>
    <cellStyle name="Normal 9 3 2 3 11" xfId="36198" xr:uid="{0EF8E1A3-7113-4A4B-A782-62E6FC24E7A5}"/>
    <cellStyle name="Normal 9 3 2 3 12" xfId="10004" xr:uid="{D12850CA-6603-48DA-9DAB-9DD3D14F4545}"/>
    <cellStyle name="Normal 9 3 2 3 2" xfId="998" xr:uid="{00000000-0005-0000-0000-0000D41F0000}"/>
    <cellStyle name="Normal 9 3 2 3 2 2" xfId="3231" xr:uid="{00000000-0005-0000-0000-0000D51F0000}"/>
    <cellStyle name="Normal 9 3 2 3 2 2 2" xfId="7453" xr:uid="{00000000-0005-0000-0000-0000D61F0000}"/>
    <cellStyle name="Normal 9 3 2 3 2 2 2 2" xfId="26079" xr:uid="{A2123F05-B462-4FB4-B09B-1A3920D7ABE6}"/>
    <cellStyle name="Normal 9 3 2 3 2 2 2 3" xfId="34526" xr:uid="{22B780E8-032E-47EB-A3C6-236A7E1BBD60}"/>
    <cellStyle name="Normal 9 3 2 3 2 2 2 4" xfId="42973" xr:uid="{41E103EF-3D33-40AD-90F6-46AF85121F2C}"/>
    <cellStyle name="Normal 9 3 2 3 2 2 2 5" xfId="16779" xr:uid="{04142D46-9286-4DC9-B15C-82EB63E8E85C}"/>
    <cellStyle name="Normal 9 3 2 3 2 2 3" xfId="21862" xr:uid="{28468DCA-75E8-4862-BA9E-B16942DB1B52}"/>
    <cellStyle name="Normal 9 3 2 3 2 2 4" xfId="30309" xr:uid="{3E8725D7-26D1-4220-8F6F-953353791F20}"/>
    <cellStyle name="Normal 9 3 2 3 2 2 5" xfId="38756" xr:uid="{879455DB-7C26-4700-8640-293490D2A021}"/>
    <cellStyle name="Normal 9 3 2 3 2 2 6" xfId="12562" xr:uid="{2BD301A8-C6C7-484A-A0D1-95BA8752C789}"/>
    <cellStyle name="Normal 9 3 2 3 2 3" xfId="5308" xr:uid="{00000000-0005-0000-0000-0000D71F0000}"/>
    <cellStyle name="Normal 9 3 2 3 2 3 2" xfId="23934" xr:uid="{A4E0777A-62BF-4C7E-9E8E-928516129936}"/>
    <cellStyle name="Normal 9 3 2 3 2 3 3" xfId="32381" xr:uid="{C11C7F85-65CF-4090-9D23-F00ACF9634E4}"/>
    <cellStyle name="Normal 9 3 2 3 2 3 4" xfId="40828" xr:uid="{9A5122CD-BBF4-4AEE-8657-B9AB890BAE43}"/>
    <cellStyle name="Normal 9 3 2 3 2 3 5" xfId="14634" xr:uid="{E56DD951-EE4F-4512-B60F-0A2F4D697E3E}"/>
    <cellStyle name="Normal 9 3 2 3 2 4" xfId="9472" xr:uid="{427A8E71-9BC4-47C0-A855-6886AF96C97E}"/>
    <cellStyle name="Normal 9 3 2 3 2 4 2" xfId="18788" xr:uid="{3888D448-9CCE-4939-944C-06C4C4BA46D6}"/>
    <cellStyle name="Normal 9 3 2 3 2 5" xfId="19717" xr:uid="{6E7F7010-D6AE-472D-BD63-94E12BBC7630}"/>
    <cellStyle name="Normal 9 3 2 3 2 6" xfId="28164" xr:uid="{6342C122-D2B1-4A23-95BE-5E9D825D6D42}"/>
    <cellStyle name="Normal 9 3 2 3 2 7" xfId="36611" xr:uid="{6D3ADA0A-9CBD-4309-A216-B619FD192F2F}"/>
    <cellStyle name="Normal 9 3 2 3 2 8" xfId="10417" xr:uid="{42A82C6F-C184-4D41-A21E-EC2DAD6F35E5}"/>
    <cellStyle name="Normal 9 3 2 3 3" xfId="1414" xr:uid="{00000000-0005-0000-0000-0000D81F0000}"/>
    <cellStyle name="Normal 9 3 2 3 3 2" xfId="3644" xr:uid="{00000000-0005-0000-0000-0000D91F0000}"/>
    <cellStyle name="Normal 9 3 2 3 3 2 2" xfId="7866" xr:uid="{00000000-0005-0000-0000-0000DA1F0000}"/>
    <cellStyle name="Normal 9 3 2 3 3 2 2 2" xfId="26492" xr:uid="{ACFF845D-DF07-4823-976E-34C93653B6A0}"/>
    <cellStyle name="Normal 9 3 2 3 3 2 2 3" xfId="34939" xr:uid="{9EC45CA0-5522-475E-B4A1-BE73FD2441C6}"/>
    <cellStyle name="Normal 9 3 2 3 3 2 2 4" xfId="43386" xr:uid="{DF12A824-B96E-474C-8AA4-F9D55ED2845E}"/>
    <cellStyle name="Normal 9 3 2 3 3 2 2 5" xfId="17192" xr:uid="{3F5A42FF-E0D0-4F9B-AA14-9AD1C71C7F06}"/>
    <cellStyle name="Normal 9 3 2 3 3 2 3" xfId="22275" xr:uid="{6C236C4D-720C-4F01-A541-9531C7B7F721}"/>
    <cellStyle name="Normal 9 3 2 3 3 2 4" xfId="30722" xr:uid="{E90D2EAD-AD50-4D6E-AAD6-81C5C9D42190}"/>
    <cellStyle name="Normal 9 3 2 3 3 2 5" xfId="39169" xr:uid="{BF6043CB-B77B-4655-A3FD-A85A2E408655}"/>
    <cellStyle name="Normal 9 3 2 3 3 2 6" xfId="12975" xr:uid="{FC5B7A38-46EC-410D-BAC6-0BEE2E0ACCD5}"/>
    <cellStyle name="Normal 9 3 2 3 3 3" xfId="5721" xr:uid="{00000000-0005-0000-0000-0000DB1F0000}"/>
    <cellStyle name="Normal 9 3 2 3 3 3 2" xfId="24347" xr:uid="{A3BFC2FB-6DDD-4713-9216-3D40CED08795}"/>
    <cellStyle name="Normal 9 3 2 3 3 3 3" xfId="32794" xr:uid="{13A27B95-B4AD-4B4C-A89E-A057AE745168}"/>
    <cellStyle name="Normal 9 3 2 3 3 3 4" xfId="41241" xr:uid="{1D4F9432-8758-4160-970D-2A4A1082F161}"/>
    <cellStyle name="Normal 9 3 2 3 3 3 5" xfId="15047" xr:uid="{1931A8BF-BE4E-4509-A42F-CEA92C919284}"/>
    <cellStyle name="Normal 9 3 2 3 3 4" xfId="20130" xr:uid="{3DE8792C-A2D8-4135-AA3C-6FD498E31AEE}"/>
    <cellStyle name="Normal 9 3 2 3 3 5" xfId="28577" xr:uid="{6090DFC5-25A2-4842-991E-371179FD237A}"/>
    <cellStyle name="Normal 9 3 2 3 3 6" xfId="37024" xr:uid="{09D2AE6C-302B-4487-9A31-A9D9C91C50B8}"/>
    <cellStyle name="Normal 9 3 2 3 3 7" xfId="10830" xr:uid="{06967CB2-CD23-4F10-9F8F-A1C3F090FFFE}"/>
    <cellStyle name="Normal 9 3 2 3 4" xfId="1827" xr:uid="{00000000-0005-0000-0000-0000DC1F0000}"/>
    <cellStyle name="Normal 9 3 2 3 4 2" xfId="4057" xr:uid="{00000000-0005-0000-0000-0000DD1F0000}"/>
    <cellStyle name="Normal 9 3 2 3 4 2 2" xfId="8279" xr:uid="{00000000-0005-0000-0000-0000DE1F0000}"/>
    <cellStyle name="Normal 9 3 2 3 4 2 2 2" xfId="26905" xr:uid="{744F7DC5-35DD-43FD-A96E-DEDDD7031F2A}"/>
    <cellStyle name="Normal 9 3 2 3 4 2 2 3" xfId="35352" xr:uid="{D50CBDCB-BF38-4B98-BC72-D729C9C8DED4}"/>
    <cellStyle name="Normal 9 3 2 3 4 2 2 4" xfId="43799" xr:uid="{BF98518F-D877-49DA-A954-A05B83C8AF9B}"/>
    <cellStyle name="Normal 9 3 2 3 4 2 2 5" xfId="17605" xr:uid="{6469E8EA-F47A-4B50-92B8-BB951060C08E}"/>
    <cellStyle name="Normal 9 3 2 3 4 2 3" xfId="22688" xr:uid="{D52245BD-3705-4096-8A0B-514973B9A951}"/>
    <cellStyle name="Normal 9 3 2 3 4 2 4" xfId="31135" xr:uid="{BB842BAE-035B-41FA-9E82-F3680198A2B7}"/>
    <cellStyle name="Normal 9 3 2 3 4 2 5" xfId="39582" xr:uid="{3A1A3B77-C66A-4236-AB5A-DD4ED84E6184}"/>
    <cellStyle name="Normal 9 3 2 3 4 2 6" xfId="13388" xr:uid="{1128E6F7-BE7D-4784-88C4-34FAC2D1F571}"/>
    <cellStyle name="Normal 9 3 2 3 4 3" xfId="6134" xr:uid="{00000000-0005-0000-0000-0000DF1F0000}"/>
    <cellStyle name="Normal 9 3 2 3 4 3 2" xfId="24760" xr:uid="{1F8081C5-283C-4152-9F6D-0CC95D808213}"/>
    <cellStyle name="Normal 9 3 2 3 4 3 3" xfId="33207" xr:uid="{3BE7D2E9-8D53-433E-923E-0667C828F664}"/>
    <cellStyle name="Normal 9 3 2 3 4 3 4" xfId="41654" xr:uid="{0A5B3515-D1F0-4D0C-8D6F-9E5F3D489657}"/>
    <cellStyle name="Normal 9 3 2 3 4 3 5" xfId="15460" xr:uid="{EB15CE3E-53EA-4B74-AF96-C22940A7B7DB}"/>
    <cellStyle name="Normal 9 3 2 3 4 4" xfId="20543" xr:uid="{BB98FCFB-B1AD-4F15-907E-076D65727D69}"/>
    <cellStyle name="Normal 9 3 2 3 4 5" xfId="28990" xr:uid="{6D4ECD9D-E3F6-4071-9634-A98B37C03E57}"/>
    <cellStyle name="Normal 9 3 2 3 4 6" xfId="37437" xr:uid="{393655C7-BBE4-46EF-BBBF-B70331955C65}"/>
    <cellStyle name="Normal 9 3 2 3 4 7" xfId="11243" xr:uid="{C2303BCD-79A8-4FE8-8187-661533ECB024}"/>
    <cellStyle name="Normal 9 3 2 3 5" xfId="2241" xr:uid="{00000000-0005-0000-0000-0000E01F0000}"/>
    <cellStyle name="Normal 9 3 2 3 5 2" xfId="4470" xr:uid="{00000000-0005-0000-0000-0000E11F0000}"/>
    <cellStyle name="Normal 9 3 2 3 5 2 2" xfId="8692" xr:uid="{00000000-0005-0000-0000-0000E21F0000}"/>
    <cellStyle name="Normal 9 3 2 3 5 2 2 2" xfId="27318" xr:uid="{1B5D980E-166F-4877-A1E9-2DCC55FE4F29}"/>
    <cellStyle name="Normal 9 3 2 3 5 2 2 3" xfId="35765" xr:uid="{8F430380-B489-421B-BB5C-CEC837381912}"/>
    <cellStyle name="Normal 9 3 2 3 5 2 2 4" xfId="44212" xr:uid="{A7E73638-523D-4C6C-936A-1C39819B7A07}"/>
    <cellStyle name="Normal 9 3 2 3 5 2 2 5" xfId="18018" xr:uid="{CCFFD801-F0A2-45A3-985D-873CEA07F6B3}"/>
    <cellStyle name="Normal 9 3 2 3 5 2 3" xfId="23101" xr:uid="{BF424140-F06C-4403-916B-91A443B5A2B3}"/>
    <cellStyle name="Normal 9 3 2 3 5 2 4" xfId="31548" xr:uid="{55115043-34FD-4311-B817-7D7779BEFBE2}"/>
    <cellStyle name="Normal 9 3 2 3 5 2 5" xfId="39995" xr:uid="{681C82F8-0FDA-4896-8601-CD7B7C190E27}"/>
    <cellStyle name="Normal 9 3 2 3 5 2 6" xfId="13801" xr:uid="{CD56D3AD-977A-4C84-B65F-17172BCF1E2D}"/>
    <cellStyle name="Normal 9 3 2 3 5 3" xfId="6547" xr:uid="{00000000-0005-0000-0000-0000E31F0000}"/>
    <cellStyle name="Normal 9 3 2 3 5 3 2" xfId="25173" xr:uid="{12586F2E-268B-4931-8345-029BF644807C}"/>
    <cellStyle name="Normal 9 3 2 3 5 3 3" xfId="33620" xr:uid="{CA3524F4-DEA2-4E16-87FB-5044C8542D13}"/>
    <cellStyle name="Normal 9 3 2 3 5 3 4" xfId="42067" xr:uid="{18B4E6EB-0F1B-4B76-8FF4-5EC099E3BBC0}"/>
    <cellStyle name="Normal 9 3 2 3 5 3 5" xfId="15873" xr:uid="{3E749B31-9C4B-44FC-A7C4-531C6DD36AFD}"/>
    <cellStyle name="Normal 9 3 2 3 5 4" xfId="20956" xr:uid="{DBBBE184-5639-46B2-B22E-8200A7EDE33C}"/>
    <cellStyle name="Normal 9 3 2 3 5 5" xfId="29403" xr:uid="{3E874BC5-3FFC-4AA7-B2C6-5538FD903D6B}"/>
    <cellStyle name="Normal 9 3 2 3 5 6" xfId="37850" xr:uid="{0C3F4498-AA31-40EF-8E67-0E9D5E77A9CD}"/>
    <cellStyle name="Normal 9 3 2 3 5 7" xfId="11656" xr:uid="{5D6E10C4-AD68-49EE-9B24-0ACC2B90A310}"/>
    <cellStyle name="Normal 9 3 2 3 6" xfId="2677" xr:uid="{00000000-0005-0000-0000-0000E41F0000}"/>
    <cellStyle name="Normal 9 3 2 3 6 2" xfId="6960" xr:uid="{00000000-0005-0000-0000-0000E51F0000}"/>
    <cellStyle name="Normal 9 3 2 3 6 2 2" xfId="25586" xr:uid="{F2B1E93F-0114-4D7E-874F-86D0843DBBEA}"/>
    <cellStyle name="Normal 9 3 2 3 6 2 3" xfId="34033" xr:uid="{F70FF9B8-7162-4B4C-8480-947DD9DA6811}"/>
    <cellStyle name="Normal 9 3 2 3 6 2 4" xfId="42480" xr:uid="{C3CAAD02-E90B-4B40-8BDB-6621D7B26010}"/>
    <cellStyle name="Normal 9 3 2 3 6 2 5" xfId="16286" xr:uid="{27A041A3-6A40-4054-8087-6BD025A3C7EB}"/>
    <cellStyle name="Normal 9 3 2 3 6 3" xfId="21369" xr:uid="{46B996F2-0D54-46A0-BA77-A6728656C558}"/>
    <cellStyle name="Normal 9 3 2 3 6 4" xfId="29816" xr:uid="{832D22D7-24FD-47E4-97F5-B40350C2FAA7}"/>
    <cellStyle name="Normal 9 3 2 3 6 5" xfId="38263" xr:uid="{FEB77A47-BE7B-4154-B50C-EAA33A7EEDC3}"/>
    <cellStyle name="Normal 9 3 2 3 6 6" xfId="12069" xr:uid="{19E5ED94-ECF9-43CF-8138-93D9E2A4AD5C}"/>
    <cellStyle name="Normal 9 3 2 3 7" xfId="4895" xr:uid="{00000000-0005-0000-0000-0000E61F0000}"/>
    <cellStyle name="Normal 9 3 2 3 7 2" xfId="23521" xr:uid="{217E786A-0598-4251-9914-57E9A5D7270E}"/>
    <cellStyle name="Normal 9 3 2 3 7 3" xfId="31968" xr:uid="{72ADAC20-67B3-4070-9BAD-E272DD731417}"/>
    <cellStyle name="Normal 9 3 2 3 7 4" xfId="40415" xr:uid="{3D75A443-21B8-48FA-BB62-49C8A65EFE2E}"/>
    <cellStyle name="Normal 9 3 2 3 7 5" xfId="14221" xr:uid="{7F2AE93E-0D89-4F86-A450-FA735EF6F37E}"/>
    <cellStyle name="Normal 9 3 2 3 8" xfId="9047" xr:uid="{4CBBBE80-D24B-484D-910E-0072EA0E95DD}"/>
    <cellStyle name="Normal 9 3 2 3 8 2" xfId="18371" xr:uid="{70D6D2CE-6F8F-4344-9DF6-EF5DEA27FB31}"/>
    <cellStyle name="Normal 9 3 2 3 9" xfId="19304" xr:uid="{1C6958E4-8789-44A3-AD98-2934FC0D9EA4}"/>
    <cellStyle name="Normal 9 3 2 4" xfId="995" xr:uid="{00000000-0005-0000-0000-0000E71F0000}"/>
    <cellStyle name="Normal 9 3 2 4 2" xfId="3228" xr:uid="{00000000-0005-0000-0000-0000E81F0000}"/>
    <cellStyle name="Normal 9 3 2 4 2 2" xfId="7450" xr:uid="{00000000-0005-0000-0000-0000E91F0000}"/>
    <cellStyle name="Normal 9 3 2 4 2 2 2" xfId="26076" xr:uid="{02B46320-FAC9-4542-B549-2C1877181694}"/>
    <cellStyle name="Normal 9 3 2 4 2 2 3" xfId="34523" xr:uid="{8201BF47-6078-4351-8B2A-939BEABF10C7}"/>
    <cellStyle name="Normal 9 3 2 4 2 2 4" xfId="42970" xr:uid="{6762E09A-5DB5-48D5-8A27-5F0850EC1420}"/>
    <cellStyle name="Normal 9 3 2 4 2 2 5" xfId="16776" xr:uid="{2A7ADF7C-BEC0-45A8-906A-1E60A9776051}"/>
    <cellStyle name="Normal 9 3 2 4 2 3" xfId="21859" xr:uid="{06461E87-B461-4509-B659-83A9FA258521}"/>
    <cellStyle name="Normal 9 3 2 4 2 4" xfId="30306" xr:uid="{71C879F3-1345-48AD-8BA9-606F05E9D10A}"/>
    <cellStyle name="Normal 9 3 2 4 2 5" xfId="38753" xr:uid="{B94D7BB3-B906-4FF0-86C3-62ADCCC286F2}"/>
    <cellStyle name="Normal 9 3 2 4 2 6" xfId="12559" xr:uid="{9ED4DFA1-03FE-491D-9FE5-18DF10825F67}"/>
    <cellStyle name="Normal 9 3 2 4 3" xfId="5305" xr:uid="{00000000-0005-0000-0000-0000EA1F0000}"/>
    <cellStyle name="Normal 9 3 2 4 3 2" xfId="23931" xr:uid="{3512AC09-0071-4710-B4F2-5DF892612412}"/>
    <cellStyle name="Normal 9 3 2 4 3 3" xfId="32378" xr:uid="{884AB13A-3D7E-4221-AF3A-1B4BB79255EF}"/>
    <cellStyle name="Normal 9 3 2 4 3 4" xfId="40825" xr:uid="{ADF2B17C-B0AF-4438-A6E8-A3CDD672109E}"/>
    <cellStyle name="Normal 9 3 2 4 3 5" xfId="14631" xr:uid="{5163DF3E-98BB-4771-AFD6-E34BE257D018}"/>
    <cellStyle name="Normal 9 3 2 4 4" xfId="9265" xr:uid="{BF00A9B8-67BA-48F6-8D48-0E4380D60577}"/>
    <cellStyle name="Normal 9 3 2 4 4 2" xfId="18581" xr:uid="{9E95F8D7-CA1A-48AC-9B17-DB8D04A410E8}"/>
    <cellStyle name="Normal 9 3 2 4 5" xfId="19714" xr:uid="{079A16A8-819D-4D1A-95EC-510AEF03B239}"/>
    <cellStyle name="Normal 9 3 2 4 6" xfId="28161" xr:uid="{1F3A01C4-49D8-4EF6-A183-567C8668391B}"/>
    <cellStyle name="Normal 9 3 2 4 7" xfId="36608" xr:uid="{652BA773-7649-4DED-9112-D7BB60DC93BC}"/>
    <cellStyle name="Normal 9 3 2 4 8" xfId="10414" xr:uid="{E5D9047E-B702-47D8-8A49-CB552C8D2EAF}"/>
    <cellStyle name="Normal 9 3 2 5" xfId="1411" xr:uid="{00000000-0005-0000-0000-0000EB1F0000}"/>
    <cellStyle name="Normal 9 3 2 5 2" xfId="3641" xr:uid="{00000000-0005-0000-0000-0000EC1F0000}"/>
    <cellStyle name="Normal 9 3 2 5 2 2" xfId="7863" xr:uid="{00000000-0005-0000-0000-0000ED1F0000}"/>
    <cellStyle name="Normal 9 3 2 5 2 2 2" xfId="26489" xr:uid="{25EC05F7-E748-4EC4-9E30-2EEE915E0151}"/>
    <cellStyle name="Normal 9 3 2 5 2 2 3" xfId="34936" xr:uid="{A068BCF2-9835-4342-A545-BD3BAC6251F2}"/>
    <cellStyle name="Normal 9 3 2 5 2 2 4" xfId="43383" xr:uid="{CCF7A606-AE1F-4BC6-985C-BB3D10DDBAE6}"/>
    <cellStyle name="Normal 9 3 2 5 2 2 5" xfId="17189" xr:uid="{AF26C0E8-502D-44C5-B314-E4336FA7C1DA}"/>
    <cellStyle name="Normal 9 3 2 5 2 3" xfId="22272" xr:uid="{8CB45BA3-6891-4CD9-95A3-A59272D91E02}"/>
    <cellStyle name="Normal 9 3 2 5 2 4" xfId="30719" xr:uid="{331923EE-983A-4CD1-AE2D-BFD3BD771685}"/>
    <cellStyle name="Normal 9 3 2 5 2 5" xfId="39166" xr:uid="{8F00C00E-9884-41BF-97CF-727C01BE1E19}"/>
    <cellStyle name="Normal 9 3 2 5 2 6" xfId="12972" xr:uid="{627CDB97-38F0-47D2-AD0C-A323DEBAD195}"/>
    <cellStyle name="Normal 9 3 2 5 3" xfId="5718" xr:uid="{00000000-0005-0000-0000-0000EE1F0000}"/>
    <cellStyle name="Normal 9 3 2 5 3 2" xfId="24344" xr:uid="{10C1657F-AEFF-4B96-A37C-B426FA8A471E}"/>
    <cellStyle name="Normal 9 3 2 5 3 3" xfId="32791" xr:uid="{ADCB3AD8-8DAC-425C-A9E5-7CC8500DD03C}"/>
    <cellStyle name="Normal 9 3 2 5 3 4" xfId="41238" xr:uid="{AE91985E-0AAD-470F-A0C8-738FF1E36C64}"/>
    <cellStyle name="Normal 9 3 2 5 3 5" xfId="15044" xr:uid="{4F105937-BC3F-44C0-B427-7A9D054D3EAC}"/>
    <cellStyle name="Normal 9 3 2 5 4" xfId="20127" xr:uid="{5CE1FBD9-3942-48B1-A980-5610D41F9E58}"/>
    <cellStyle name="Normal 9 3 2 5 5" xfId="28574" xr:uid="{E0E2E3FC-31A7-4E12-B851-F08495BC3D52}"/>
    <cellStyle name="Normal 9 3 2 5 6" xfId="37021" xr:uid="{23E3850B-429B-4000-9776-74B6A18D8C91}"/>
    <cellStyle name="Normal 9 3 2 5 7" xfId="10827" xr:uid="{A22E8490-A613-43C0-96C8-47986920BA5A}"/>
    <cellStyle name="Normal 9 3 2 6" xfId="1824" xr:uid="{00000000-0005-0000-0000-0000EF1F0000}"/>
    <cellStyle name="Normal 9 3 2 6 2" xfId="4054" xr:uid="{00000000-0005-0000-0000-0000F01F0000}"/>
    <cellStyle name="Normal 9 3 2 6 2 2" xfId="8276" xr:uid="{00000000-0005-0000-0000-0000F11F0000}"/>
    <cellStyle name="Normal 9 3 2 6 2 2 2" xfId="26902" xr:uid="{1E925F6F-92E1-4332-9EBE-5D94B48AA8BE}"/>
    <cellStyle name="Normal 9 3 2 6 2 2 3" xfId="35349" xr:uid="{47E4A9FD-230B-4C0B-AF8C-2CE76418F4A9}"/>
    <cellStyle name="Normal 9 3 2 6 2 2 4" xfId="43796" xr:uid="{9942E2EF-375A-4E1C-8113-D75DED5B244E}"/>
    <cellStyle name="Normal 9 3 2 6 2 2 5" xfId="17602" xr:uid="{0096DDAA-5866-4932-9499-4874D57E4AAE}"/>
    <cellStyle name="Normal 9 3 2 6 2 3" xfId="22685" xr:uid="{04AAAD5A-6623-4035-BC38-F1ED59A0B123}"/>
    <cellStyle name="Normal 9 3 2 6 2 4" xfId="31132" xr:uid="{138E530F-0B71-4485-99FE-99F49C15558D}"/>
    <cellStyle name="Normal 9 3 2 6 2 5" xfId="39579" xr:uid="{CF4DD43B-32F2-4B68-91F5-587A009C34FA}"/>
    <cellStyle name="Normal 9 3 2 6 2 6" xfId="13385" xr:uid="{69B38EAF-1F5D-46CB-ABD9-4E68F0BFCD73}"/>
    <cellStyle name="Normal 9 3 2 6 3" xfId="6131" xr:uid="{00000000-0005-0000-0000-0000F21F0000}"/>
    <cellStyle name="Normal 9 3 2 6 3 2" xfId="24757" xr:uid="{29BB852D-7785-4C25-ADC5-4A3862E9790A}"/>
    <cellStyle name="Normal 9 3 2 6 3 3" xfId="33204" xr:uid="{C51D7605-94E3-4D28-9DC8-EF4B37823D98}"/>
    <cellStyle name="Normal 9 3 2 6 3 4" xfId="41651" xr:uid="{9CB57314-942C-4671-82FB-C22344ECCAC6}"/>
    <cellStyle name="Normal 9 3 2 6 3 5" xfId="15457" xr:uid="{B29271B8-9A0E-447F-A8B6-274FFEC898D5}"/>
    <cellStyle name="Normal 9 3 2 6 4" xfId="20540" xr:uid="{6197F041-7264-4058-B1DD-D719A2AF5435}"/>
    <cellStyle name="Normal 9 3 2 6 5" xfId="28987" xr:uid="{0BC29EE5-9042-4817-8966-402F07664FBF}"/>
    <cellStyle name="Normal 9 3 2 6 6" xfId="37434" xr:uid="{9E9C655B-0B42-4F4D-94E5-462E5800A289}"/>
    <cellStyle name="Normal 9 3 2 6 7" xfId="11240" xr:uid="{9BADC4ED-7683-4C62-9005-1A3289BD6D7F}"/>
    <cellStyle name="Normal 9 3 2 7" xfId="2238" xr:uid="{00000000-0005-0000-0000-0000F31F0000}"/>
    <cellStyle name="Normal 9 3 2 7 2" xfId="4467" xr:uid="{00000000-0005-0000-0000-0000F41F0000}"/>
    <cellStyle name="Normal 9 3 2 7 2 2" xfId="8689" xr:uid="{00000000-0005-0000-0000-0000F51F0000}"/>
    <cellStyle name="Normal 9 3 2 7 2 2 2" xfId="27315" xr:uid="{5BAC78FC-4847-4AA6-99C2-7F2B803C41B6}"/>
    <cellStyle name="Normal 9 3 2 7 2 2 3" xfId="35762" xr:uid="{242EFEFB-2CAB-4695-BED5-896D1B1FD34C}"/>
    <cellStyle name="Normal 9 3 2 7 2 2 4" xfId="44209" xr:uid="{D0734F56-3096-4479-9C62-885D2EE753A8}"/>
    <cellStyle name="Normal 9 3 2 7 2 2 5" xfId="18015" xr:uid="{12AE606A-19B3-4CA9-AB61-4CEE440F50DE}"/>
    <cellStyle name="Normal 9 3 2 7 2 3" xfId="23098" xr:uid="{2EE759E3-443F-4266-900F-D1AB247AF857}"/>
    <cellStyle name="Normal 9 3 2 7 2 4" xfId="31545" xr:uid="{553BAC9C-BD70-4184-8FF8-CE277E56B8CF}"/>
    <cellStyle name="Normal 9 3 2 7 2 5" xfId="39992" xr:uid="{C7B45EE2-4989-4F4D-9DA0-1405C5D77379}"/>
    <cellStyle name="Normal 9 3 2 7 2 6" xfId="13798" xr:uid="{71C8BD88-D77D-438E-AB46-1E67172A2051}"/>
    <cellStyle name="Normal 9 3 2 7 3" xfId="6544" xr:uid="{00000000-0005-0000-0000-0000F61F0000}"/>
    <cellStyle name="Normal 9 3 2 7 3 2" xfId="25170" xr:uid="{31FCCCC0-A321-4F00-912C-373945E815E3}"/>
    <cellStyle name="Normal 9 3 2 7 3 3" xfId="33617" xr:uid="{A53CCFA9-9A9A-45A6-BFF3-9785D09EC1DF}"/>
    <cellStyle name="Normal 9 3 2 7 3 4" xfId="42064" xr:uid="{241CAA7C-DF5B-44A9-8672-76D8D9C0359E}"/>
    <cellStyle name="Normal 9 3 2 7 3 5" xfId="15870" xr:uid="{F14D26B9-9DCE-4CD7-9F2A-86662507D29E}"/>
    <cellStyle name="Normal 9 3 2 7 4" xfId="20953" xr:uid="{D23D89B6-10EB-4EB0-BC6E-F3E32A962506}"/>
    <cellStyle name="Normal 9 3 2 7 5" xfId="29400" xr:uid="{7FF51D66-5FFC-4D96-A3AE-620F47171204}"/>
    <cellStyle name="Normal 9 3 2 7 6" xfId="37847" xr:uid="{EAA3AF7C-4377-4E24-A18F-A1F97C9E277A}"/>
    <cellStyle name="Normal 9 3 2 7 7" xfId="11653" xr:uid="{40599C8D-263C-477E-9C7A-4F1F223F77E6}"/>
    <cellStyle name="Normal 9 3 2 8" xfId="2674" xr:uid="{00000000-0005-0000-0000-0000F71F0000}"/>
    <cellStyle name="Normal 9 3 2 8 2" xfId="6957" xr:uid="{00000000-0005-0000-0000-0000F81F0000}"/>
    <cellStyle name="Normal 9 3 2 8 2 2" xfId="25583" xr:uid="{A58625D0-8991-4417-A839-43BA614954BF}"/>
    <cellStyle name="Normal 9 3 2 8 2 3" xfId="34030" xr:uid="{C3A3562C-43D4-45BD-BD45-20DD2AA04858}"/>
    <cellStyle name="Normal 9 3 2 8 2 4" xfId="42477" xr:uid="{78AE0452-7933-4CD7-8D2E-A86561279564}"/>
    <cellStyle name="Normal 9 3 2 8 2 5" xfId="16283" xr:uid="{84F17F36-973E-4328-BB6C-72F0FF89FA52}"/>
    <cellStyle name="Normal 9 3 2 8 3" xfId="21366" xr:uid="{D070BB1C-8CAA-4BB4-A3FE-7D5A028119B3}"/>
    <cellStyle name="Normal 9 3 2 8 4" xfId="29813" xr:uid="{4AFB19BD-D044-49EA-8016-4CF140DB7B02}"/>
    <cellStyle name="Normal 9 3 2 8 5" xfId="38260" xr:uid="{EE620238-811A-4011-A941-D2B4F44130D6}"/>
    <cellStyle name="Normal 9 3 2 8 6" xfId="12066" xr:uid="{30632A14-17CA-4813-A035-8EDE026348A9}"/>
    <cellStyle name="Normal 9 3 2 9" xfId="4892" xr:uid="{00000000-0005-0000-0000-0000F91F0000}"/>
    <cellStyle name="Normal 9 3 2 9 2" xfId="23518" xr:uid="{C21162A1-B5D0-4568-979E-29BE60F3C028}"/>
    <cellStyle name="Normal 9 3 2 9 3" xfId="31965" xr:uid="{BC94B371-C371-43B1-8B91-14A7AFCD86F7}"/>
    <cellStyle name="Normal 9 3 2 9 4" xfId="40412" xr:uid="{2DF4BBA0-DF57-4187-986B-9F72AFAE7596}"/>
    <cellStyle name="Normal 9 3 2 9 5" xfId="14218" xr:uid="{8DE87EED-D898-469E-ACD1-BDCDC85E3ECF}"/>
    <cellStyle name="Normal 9 3 3" xfId="532" xr:uid="{00000000-0005-0000-0000-0000FA1F0000}"/>
    <cellStyle name="Normal 9 3 3 10" xfId="19305" xr:uid="{250A3AA4-4204-4D56-A823-033D96E6FC36}"/>
    <cellStyle name="Normal 9 3 3 11" xfId="27752" xr:uid="{D0327476-97E2-4D97-8314-D87EA1749E03}"/>
    <cellStyle name="Normal 9 3 3 12" xfId="36199" xr:uid="{06723C14-39F3-4933-BC4A-FB36B11B88BE}"/>
    <cellStyle name="Normal 9 3 3 13" xfId="10005" xr:uid="{AA19A1A1-F869-42BB-8981-80645CE149D1}"/>
    <cellStyle name="Normal 9 3 3 2" xfId="533" xr:uid="{00000000-0005-0000-0000-0000FB1F0000}"/>
    <cellStyle name="Normal 9 3 3 2 10" xfId="27753" xr:uid="{A71D4340-1D39-40B3-A54D-B99E95F57366}"/>
    <cellStyle name="Normal 9 3 3 2 11" xfId="36200" xr:uid="{1D55C057-3621-4A38-AF3D-8A5DCE73A87C}"/>
    <cellStyle name="Normal 9 3 3 2 12" xfId="10006" xr:uid="{5BA26B30-9B32-46EE-A807-66B289F121FB}"/>
    <cellStyle name="Normal 9 3 3 2 2" xfId="1000" xr:uid="{00000000-0005-0000-0000-0000FC1F0000}"/>
    <cellStyle name="Normal 9 3 3 2 2 2" xfId="3233" xr:uid="{00000000-0005-0000-0000-0000FD1F0000}"/>
    <cellStyle name="Normal 9 3 3 2 2 2 2" xfId="7455" xr:uid="{00000000-0005-0000-0000-0000FE1F0000}"/>
    <cellStyle name="Normal 9 3 3 2 2 2 2 2" xfId="26081" xr:uid="{A01F22A8-2D82-408F-BF3B-17544670D5AB}"/>
    <cellStyle name="Normal 9 3 3 2 2 2 2 3" xfId="34528" xr:uid="{A2F4A032-7692-4F73-A0B6-EF7B2BDF37A6}"/>
    <cellStyle name="Normal 9 3 3 2 2 2 2 4" xfId="42975" xr:uid="{0E102627-053F-4D55-BC5C-3963B655C6A9}"/>
    <cellStyle name="Normal 9 3 3 2 2 2 2 5" xfId="16781" xr:uid="{AB06DFBB-8F99-459C-9C0C-C3E03E6589CA}"/>
    <cellStyle name="Normal 9 3 3 2 2 2 3" xfId="21864" xr:uid="{E6521DBA-ED4F-4118-99FE-F9865E241627}"/>
    <cellStyle name="Normal 9 3 3 2 2 2 4" xfId="30311" xr:uid="{E7DC9A3A-B0C6-42FB-97F1-A8BF3EA6D5D5}"/>
    <cellStyle name="Normal 9 3 3 2 2 2 5" xfId="38758" xr:uid="{247E77EC-446C-4BD2-A8CF-110A4F0C279E}"/>
    <cellStyle name="Normal 9 3 3 2 2 2 6" xfId="12564" xr:uid="{3B74F876-1ED1-40DC-8C9B-54D1232FFCBF}"/>
    <cellStyle name="Normal 9 3 3 2 2 3" xfId="5310" xr:uid="{00000000-0005-0000-0000-0000FF1F0000}"/>
    <cellStyle name="Normal 9 3 3 2 2 3 2" xfId="23936" xr:uid="{016E89E5-EEDF-40B9-8A37-DACFC308F80C}"/>
    <cellStyle name="Normal 9 3 3 2 2 3 3" xfId="32383" xr:uid="{33891CAF-B4A4-4DDD-84E1-E5E08BF4E02C}"/>
    <cellStyle name="Normal 9 3 3 2 2 3 4" xfId="40830" xr:uid="{710B00AF-5413-4035-A011-70A47C4768CD}"/>
    <cellStyle name="Normal 9 3 3 2 2 3 5" xfId="14636" xr:uid="{C893002E-4002-4C9E-BFB2-7CB95EA8B479}"/>
    <cellStyle name="Normal 9 3 3 2 2 4" xfId="9512" xr:uid="{2D87B26D-94B2-43FF-B3AD-59DF0A117D21}"/>
    <cellStyle name="Normal 9 3 3 2 2 4 2" xfId="18828" xr:uid="{55219C6D-2C20-4277-B9D2-3570BF232B95}"/>
    <cellStyle name="Normal 9 3 3 2 2 5" xfId="19719" xr:uid="{4298ED3E-9400-4154-9A75-83D057BF6A98}"/>
    <cellStyle name="Normal 9 3 3 2 2 6" xfId="28166" xr:uid="{24E7E99D-C121-47AD-BD55-A4B8454CCF4B}"/>
    <cellStyle name="Normal 9 3 3 2 2 7" xfId="36613" xr:uid="{9AA66093-CF97-4901-A17F-C8C71D8E2819}"/>
    <cellStyle name="Normal 9 3 3 2 2 8" xfId="10419" xr:uid="{B344E089-64BC-4DD8-91AA-56E43E95E6ED}"/>
    <cellStyle name="Normal 9 3 3 2 3" xfId="1416" xr:uid="{00000000-0005-0000-0000-000000200000}"/>
    <cellStyle name="Normal 9 3 3 2 3 2" xfId="3646" xr:uid="{00000000-0005-0000-0000-000001200000}"/>
    <cellStyle name="Normal 9 3 3 2 3 2 2" xfId="7868" xr:uid="{00000000-0005-0000-0000-000002200000}"/>
    <cellStyle name="Normal 9 3 3 2 3 2 2 2" xfId="26494" xr:uid="{23D9E57E-7917-46FA-92DF-A57F99380719}"/>
    <cellStyle name="Normal 9 3 3 2 3 2 2 3" xfId="34941" xr:uid="{EF93105D-37DB-4471-BBA0-B186BB5EB873}"/>
    <cellStyle name="Normal 9 3 3 2 3 2 2 4" xfId="43388" xr:uid="{D3D873EE-E49E-4EB3-AD2D-B67A24F07BA8}"/>
    <cellStyle name="Normal 9 3 3 2 3 2 2 5" xfId="17194" xr:uid="{A7808A16-A736-47CA-847E-EEB27C3819CE}"/>
    <cellStyle name="Normal 9 3 3 2 3 2 3" xfId="22277" xr:uid="{0825D0B6-63F2-452E-9587-DD34AF087486}"/>
    <cellStyle name="Normal 9 3 3 2 3 2 4" xfId="30724" xr:uid="{BFBCA4F4-B25F-4526-AD52-34525945E562}"/>
    <cellStyle name="Normal 9 3 3 2 3 2 5" xfId="39171" xr:uid="{A1FF1CB5-566E-4F12-8248-2350130F3DF9}"/>
    <cellStyle name="Normal 9 3 3 2 3 2 6" xfId="12977" xr:uid="{2C2E9823-8B3A-45B4-8FD2-39C76F4EE181}"/>
    <cellStyle name="Normal 9 3 3 2 3 3" xfId="5723" xr:uid="{00000000-0005-0000-0000-000003200000}"/>
    <cellStyle name="Normal 9 3 3 2 3 3 2" xfId="24349" xr:uid="{6BE4B213-AD94-421C-9C2D-2A2A6DCB341B}"/>
    <cellStyle name="Normal 9 3 3 2 3 3 3" xfId="32796" xr:uid="{6F6046B8-2C59-4B52-8E4D-7A99D897C4DC}"/>
    <cellStyle name="Normal 9 3 3 2 3 3 4" xfId="41243" xr:uid="{6D27D56B-DA53-490E-AE63-892C01556EE6}"/>
    <cellStyle name="Normal 9 3 3 2 3 3 5" xfId="15049" xr:uid="{E23EB830-3CD2-4639-9BF5-874198A234D7}"/>
    <cellStyle name="Normal 9 3 3 2 3 4" xfId="20132" xr:uid="{E8DD9130-1042-47F0-B4B8-62452B9DD866}"/>
    <cellStyle name="Normal 9 3 3 2 3 5" xfId="28579" xr:uid="{903F8995-24FB-4FAA-BF73-C1DBB4789016}"/>
    <cellStyle name="Normal 9 3 3 2 3 6" xfId="37026" xr:uid="{A6A27645-8EF5-49BC-A9DB-0F5D02925402}"/>
    <cellStyle name="Normal 9 3 3 2 3 7" xfId="10832" xr:uid="{A8EF32B4-EBE2-41CE-931C-27B514F01586}"/>
    <cellStyle name="Normal 9 3 3 2 4" xfId="1829" xr:uid="{00000000-0005-0000-0000-000004200000}"/>
    <cellStyle name="Normal 9 3 3 2 4 2" xfId="4059" xr:uid="{00000000-0005-0000-0000-000005200000}"/>
    <cellStyle name="Normal 9 3 3 2 4 2 2" xfId="8281" xr:uid="{00000000-0005-0000-0000-000006200000}"/>
    <cellStyle name="Normal 9 3 3 2 4 2 2 2" xfId="26907" xr:uid="{679B3C18-2F05-4E53-B3E7-5C8B52FE36E0}"/>
    <cellStyle name="Normal 9 3 3 2 4 2 2 3" xfId="35354" xr:uid="{F818A2F4-6363-471F-BBD7-3E72C07D7890}"/>
    <cellStyle name="Normal 9 3 3 2 4 2 2 4" xfId="43801" xr:uid="{131F8AE7-E76B-4D67-AAA3-805F1B943FF5}"/>
    <cellStyle name="Normal 9 3 3 2 4 2 2 5" xfId="17607" xr:uid="{AE61784D-EA08-4F03-B4EF-7DA1DAE96D74}"/>
    <cellStyle name="Normal 9 3 3 2 4 2 3" xfId="22690" xr:uid="{B41CD684-080A-4DE7-AA29-9151DE1CCFB6}"/>
    <cellStyle name="Normal 9 3 3 2 4 2 4" xfId="31137" xr:uid="{25CFAE33-514E-4C51-81AC-D3204DA49681}"/>
    <cellStyle name="Normal 9 3 3 2 4 2 5" xfId="39584" xr:uid="{4AE16023-D443-427C-8C72-9565C52F8F31}"/>
    <cellStyle name="Normal 9 3 3 2 4 2 6" xfId="13390" xr:uid="{3C03EFFE-02C7-427A-AC98-5D24E712FA45}"/>
    <cellStyle name="Normal 9 3 3 2 4 3" xfId="6136" xr:uid="{00000000-0005-0000-0000-000007200000}"/>
    <cellStyle name="Normal 9 3 3 2 4 3 2" xfId="24762" xr:uid="{E6302F58-0191-419F-B81F-94FF95913CFA}"/>
    <cellStyle name="Normal 9 3 3 2 4 3 3" xfId="33209" xr:uid="{EF48528F-F7C5-459B-9B94-F4EE09644EDB}"/>
    <cellStyle name="Normal 9 3 3 2 4 3 4" xfId="41656" xr:uid="{694363C9-017B-4207-8A2E-32C3F89C2E4E}"/>
    <cellStyle name="Normal 9 3 3 2 4 3 5" xfId="15462" xr:uid="{F01B15FF-9E55-42CF-A697-1329A178BF9A}"/>
    <cellStyle name="Normal 9 3 3 2 4 4" xfId="20545" xr:uid="{E0128B3C-5DB7-4B4C-98B8-A75F11777AAB}"/>
    <cellStyle name="Normal 9 3 3 2 4 5" xfId="28992" xr:uid="{4CCAA20E-95E2-4FBA-AF9E-9B4350155968}"/>
    <cellStyle name="Normal 9 3 3 2 4 6" xfId="37439" xr:uid="{EEFC85F8-19EE-43CD-9132-7FC1A6F078CB}"/>
    <cellStyle name="Normal 9 3 3 2 4 7" xfId="11245" xr:uid="{3135B027-1C7E-4182-931A-759C2FE41532}"/>
    <cellStyle name="Normal 9 3 3 2 5" xfId="2243" xr:uid="{00000000-0005-0000-0000-000008200000}"/>
    <cellStyle name="Normal 9 3 3 2 5 2" xfId="4472" xr:uid="{00000000-0005-0000-0000-000009200000}"/>
    <cellStyle name="Normal 9 3 3 2 5 2 2" xfId="8694" xr:uid="{00000000-0005-0000-0000-00000A200000}"/>
    <cellStyle name="Normal 9 3 3 2 5 2 2 2" xfId="27320" xr:uid="{EBD15A66-F1A9-4633-8321-A57AD7231EA5}"/>
    <cellStyle name="Normal 9 3 3 2 5 2 2 3" xfId="35767" xr:uid="{222EA9D7-1910-4B42-8A55-9B2F800EDE20}"/>
    <cellStyle name="Normal 9 3 3 2 5 2 2 4" xfId="44214" xr:uid="{FB0B6A41-596F-4D1A-9C4D-A3A7CC4404F9}"/>
    <cellStyle name="Normal 9 3 3 2 5 2 2 5" xfId="18020" xr:uid="{FA567590-9960-4013-8328-9A7150E9A83C}"/>
    <cellStyle name="Normal 9 3 3 2 5 2 3" xfId="23103" xr:uid="{C873C1D0-4F2F-44D6-87F1-498CBF1105E9}"/>
    <cellStyle name="Normal 9 3 3 2 5 2 4" xfId="31550" xr:uid="{244BA28C-C1B1-4C79-B727-9F9BB92FD799}"/>
    <cellStyle name="Normal 9 3 3 2 5 2 5" xfId="39997" xr:uid="{F15E43F1-CBFC-46AF-8B71-007D99EE2DB0}"/>
    <cellStyle name="Normal 9 3 3 2 5 2 6" xfId="13803" xr:uid="{65B7496A-BB9C-428F-B2BC-078B78AD20DF}"/>
    <cellStyle name="Normal 9 3 3 2 5 3" xfId="6549" xr:uid="{00000000-0005-0000-0000-00000B200000}"/>
    <cellStyle name="Normal 9 3 3 2 5 3 2" xfId="25175" xr:uid="{3E0FD3B7-3501-4E90-9E74-FB9216B1A6D9}"/>
    <cellStyle name="Normal 9 3 3 2 5 3 3" xfId="33622" xr:uid="{4028AD4F-B573-4648-80B1-6EA63CFA81FC}"/>
    <cellStyle name="Normal 9 3 3 2 5 3 4" xfId="42069" xr:uid="{FB91823D-2AED-46D0-892E-8EA746AB4CF4}"/>
    <cellStyle name="Normal 9 3 3 2 5 3 5" xfId="15875" xr:uid="{AF939ABB-3529-447E-9B0D-AFE234027E7C}"/>
    <cellStyle name="Normal 9 3 3 2 5 4" xfId="20958" xr:uid="{548CF9CA-70AD-46DD-A840-F2B0F621E22A}"/>
    <cellStyle name="Normal 9 3 3 2 5 5" xfId="29405" xr:uid="{183EF366-E113-4472-8CA4-E602818EBA8A}"/>
    <cellStyle name="Normal 9 3 3 2 5 6" xfId="37852" xr:uid="{08AC64D5-4172-4CC4-B990-3A6F851119F2}"/>
    <cellStyle name="Normal 9 3 3 2 5 7" xfId="11658" xr:uid="{1D915DCC-BC1C-426C-8F0D-A08E9A3F2EF5}"/>
    <cellStyle name="Normal 9 3 3 2 6" xfId="2679" xr:uid="{00000000-0005-0000-0000-00000C200000}"/>
    <cellStyle name="Normal 9 3 3 2 6 2" xfId="6962" xr:uid="{00000000-0005-0000-0000-00000D200000}"/>
    <cellStyle name="Normal 9 3 3 2 6 2 2" xfId="25588" xr:uid="{D0733FB1-15FA-49BE-B95A-7300D50936EB}"/>
    <cellStyle name="Normal 9 3 3 2 6 2 3" xfId="34035" xr:uid="{18227D7B-770F-4984-9795-4CFBA83F2635}"/>
    <cellStyle name="Normal 9 3 3 2 6 2 4" xfId="42482" xr:uid="{A523A94C-CA6A-4A06-B5C0-452472A385A6}"/>
    <cellStyle name="Normal 9 3 3 2 6 2 5" xfId="16288" xr:uid="{581D037A-05D1-44F1-AE78-C8D5E9D00F26}"/>
    <cellStyle name="Normal 9 3 3 2 6 3" xfId="21371" xr:uid="{8F5783A5-55E2-4566-9666-4CB45638CA9C}"/>
    <cellStyle name="Normal 9 3 3 2 6 4" xfId="29818" xr:uid="{95207A83-D3EF-4EBB-A790-BC2E87BE2DBE}"/>
    <cellStyle name="Normal 9 3 3 2 6 5" xfId="38265" xr:uid="{3E002D7B-6DB9-4BA6-B015-A0D74D81AEEC}"/>
    <cellStyle name="Normal 9 3 3 2 6 6" xfId="12071" xr:uid="{4F173111-CF26-4DED-BEBE-9A567A8F936B}"/>
    <cellStyle name="Normal 9 3 3 2 7" xfId="4897" xr:uid="{00000000-0005-0000-0000-00000E200000}"/>
    <cellStyle name="Normal 9 3 3 2 7 2" xfId="23523" xr:uid="{B35F3634-4D93-4F1F-BB1C-FFBF4D5A4433}"/>
    <cellStyle name="Normal 9 3 3 2 7 3" xfId="31970" xr:uid="{DB4B91C6-9319-41BC-B56F-17E72C459EBA}"/>
    <cellStyle name="Normal 9 3 3 2 7 4" xfId="40417" xr:uid="{4F7A87CC-DFBE-41E1-96E8-52A74804B43C}"/>
    <cellStyle name="Normal 9 3 3 2 7 5" xfId="14223" xr:uid="{7C6E6562-3F91-4E7E-81F2-60615CB07E4C}"/>
    <cellStyle name="Normal 9 3 3 2 8" xfId="9087" xr:uid="{B1C8DB1F-59B6-4D6A-B3E7-0CFC4D29D9A9}"/>
    <cellStyle name="Normal 9 3 3 2 8 2" xfId="18411" xr:uid="{93D4089A-5B17-4D5C-B3B4-C4161E22AB62}"/>
    <cellStyle name="Normal 9 3 3 2 9" xfId="19306" xr:uid="{B01AB4C2-5A69-49EA-B35E-3110FC0D3B3E}"/>
    <cellStyle name="Normal 9 3 3 3" xfId="999" xr:uid="{00000000-0005-0000-0000-00000F200000}"/>
    <cellStyle name="Normal 9 3 3 3 2" xfId="3232" xr:uid="{00000000-0005-0000-0000-000010200000}"/>
    <cellStyle name="Normal 9 3 3 3 2 2" xfId="7454" xr:uid="{00000000-0005-0000-0000-000011200000}"/>
    <cellStyle name="Normal 9 3 3 3 2 2 2" xfId="26080" xr:uid="{D962029F-572F-43EC-89C6-C0012E85B1B1}"/>
    <cellStyle name="Normal 9 3 3 3 2 2 3" xfId="34527" xr:uid="{5B48BDBB-82B8-41C0-8883-583323CFF921}"/>
    <cellStyle name="Normal 9 3 3 3 2 2 4" xfId="42974" xr:uid="{22F68C01-89B2-4F84-9F9A-15F650EC3219}"/>
    <cellStyle name="Normal 9 3 3 3 2 2 5" xfId="16780" xr:uid="{B2758E55-0745-444E-AF53-210328BBEC91}"/>
    <cellStyle name="Normal 9 3 3 3 2 3" xfId="21863" xr:uid="{7EDE644D-E5AD-4761-A8DA-9AFC8C8EC45D}"/>
    <cellStyle name="Normal 9 3 3 3 2 4" xfId="30310" xr:uid="{EB3A8970-ABD3-4635-8F23-7D0CC0E75098}"/>
    <cellStyle name="Normal 9 3 3 3 2 5" xfId="38757" xr:uid="{48AE070E-EA2B-48B2-98E1-519EDA734BD7}"/>
    <cellStyle name="Normal 9 3 3 3 2 6" xfId="12563" xr:uid="{EDB46EDB-5B53-4EA0-87AA-8C4E6D3901A0}"/>
    <cellStyle name="Normal 9 3 3 3 3" xfId="5309" xr:uid="{00000000-0005-0000-0000-000012200000}"/>
    <cellStyle name="Normal 9 3 3 3 3 2" xfId="23935" xr:uid="{C952B079-B6F1-4C86-AE76-C7E54018EF8A}"/>
    <cellStyle name="Normal 9 3 3 3 3 3" xfId="32382" xr:uid="{8A59676A-ED29-4924-9D17-E8A06D551D85}"/>
    <cellStyle name="Normal 9 3 3 3 3 4" xfId="40829" xr:uid="{E8C471B7-8E08-433B-A330-F99313A78609}"/>
    <cellStyle name="Normal 9 3 3 3 3 5" xfId="14635" xr:uid="{0B382A73-6D59-4643-8A78-3AD1425B4EB5}"/>
    <cellStyle name="Normal 9 3 3 3 4" xfId="9305" xr:uid="{F54F3A88-B268-4905-B4D1-34B996B920C6}"/>
    <cellStyle name="Normal 9 3 3 3 4 2" xfId="18621" xr:uid="{110D6061-40A7-49B9-965C-5421526A4F60}"/>
    <cellStyle name="Normal 9 3 3 3 5" xfId="19718" xr:uid="{7E3AE856-441A-49EC-8AAC-F5D6323A20A2}"/>
    <cellStyle name="Normal 9 3 3 3 6" xfId="28165" xr:uid="{719AA132-928F-4310-86DF-036FFCF0B9F3}"/>
    <cellStyle name="Normal 9 3 3 3 7" xfId="36612" xr:uid="{8C4D0B94-38B7-4E4E-A2B8-287A899BDB9F}"/>
    <cellStyle name="Normal 9 3 3 3 8" xfId="10418" xr:uid="{E6276BA5-5483-4BEB-8EA6-2FC8FB7041F4}"/>
    <cellStyle name="Normal 9 3 3 4" xfId="1415" xr:uid="{00000000-0005-0000-0000-000013200000}"/>
    <cellStyle name="Normal 9 3 3 4 2" xfId="3645" xr:uid="{00000000-0005-0000-0000-000014200000}"/>
    <cellStyle name="Normal 9 3 3 4 2 2" xfId="7867" xr:uid="{00000000-0005-0000-0000-000015200000}"/>
    <cellStyle name="Normal 9 3 3 4 2 2 2" xfId="26493" xr:uid="{47399C19-6B0C-498B-95CD-C02AAA6F6311}"/>
    <cellStyle name="Normal 9 3 3 4 2 2 3" xfId="34940" xr:uid="{E68D2423-049D-4F37-9F51-9E06CFC2836A}"/>
    <cellStyle name="Normal 9 3 3 4 2 2 4" xfId="43387" xr:uid="{93BCFE4D-9CCB-4F24-9386-1749965BB203}"/>
    <cellStyle name="Normal 9 3 3 4 2 2 5" xfId="17193" xr:uid="{EA0DDB38-1A24-4836-8647-826319AAC4BA}"/>
    <cellStyle name="Normal 9 3 3 4 2 3" xfId="22276" xr:uid="{FA17FC66-F70D-4879-AFEA-AC3E18C25DCF}"/>
    <cellStyle name="Normal 9 3 3 4 2 4" xfId="30723" xr:uid="{E5049F86-9C4C-4174-9EEE-9706B4A9CDA0}"/>
    <cellStyle name="Normal 9 3 3 4 2 5" xfId="39170" xr:uid="{EC8DCD59-B0CB-4B2D-ABDE-48B219E76A0E}"/>
    <cellStyle name="Normal 9 3 3 4 2 6" xfId="12976" xr:uid="{38FD7819-2B8A-4859-AA01-CF2A0AD363A5}"/>
    <cellStyle name="Normal 9 3 3 4 3" xfId="5722" xr:uid="{00000000-0005-0000-0000-000016200000}"/>
    <cellStyle name="Normal 9 3 3 4 3 2" xfId="24348" xr:uid="{028D89CC-FF91-418A-95E5-452A24A6D74C}"/>
    <cellStyle name="Normal 9 3 3 4 3 3" xfId="32795" xr:uid="{1B7DFF32-0BC0-404D-896C-B6F195ABA6B0}"/>
    <cellStyle name="Normal 9 3 3 4 3 4" xfId="41242" xr:uid="{D6969DB1-979D-4BD1-ACDB-226AABDE7169}"/>
    <cellStyle name="Normal 9 3 3 4 3 5" xfId="15048" xr:uid="{48296A8E-49B8-4E2E-B939-960136E26552}"/>
    <cellStyle name="Normal 9 3 3 4 4" xfId="20131" xr:uid="{6B0720AA-8AB0-4240-B69F-FCDF322AC21C}"/>
    <cellStyle name="Normal 9 3 3 4 5" xfId="28578" xr:uid="{9F082D76-461B-43D7-B1E8-591D13A0C4B4}"/>
    <cellStyle name="Normal 9 3 3 4 6" xfId="37025" xr:uid="{6187422A-DBCA-433D-8EE1-135E9C30211D}"/>
    <cellStyle name="Normal 9 3 3 4 7" xfId="10831" xr:uid="{4314FC1A-3620-405F-8ACD-9966577CADD6}"/>
    <cellStyle name="Normal 9 3 3 5" xfId="1828" xr:uid="{00000000-0005-0000-0000-000017200000}"/>
    <cellStyle name="Normal 9 3 3 5 2" xfId="4058" xr:uid="{00000000-0005-0000-0000-000018200000}"/>
    <cellStyle name="Normal 9 3 3 5 2 2" xfId="8280" xr:uid="{00000000-0005-0000-0000-000019200000}"/>
    <cellStyle name="Normal 9 3 3 5 2 2 2" xfId="26906" xr:uid="{3BE466D6-AB4E-4A6D-A81D-B21B5C251359}"/>
    <cellStyle name="Normal 9 3 3 5 2 2 3" xfId="35353" xr:uid="{4049CA55-A022-4C7B-8C03-5B14AC33B116}"/>
    <cellStyle name="Normal 9 3 3 5 2 2 4" xfId="43800" xr:uid="{6FF7FDBD-9C2E-4212-B717-BBA7F53D2825}"/>
    <cellStyle name="Normal 9 3 3 5 2 2 5" xfId="17606" xr:uid="{01E6AABF-86AE-435A-9E60-A47C254D794D}"/>
    <cellStyle name="Normal 9 3 3 5 2 3" xfId="22689" xr:uid="{D4BBCEC7-98D5-45D7-8737-E2F6F0F818A9}"/>
    <cellStyle name="Normal 9 3 3 5 2 4" xfId="31136" xr:uid="{27258EA1-6D0D-432F-B398-FC589F3DC8EE}"/>
    <cellStyle name="Normal 9 3 3 5 2 5" xfId="39583" xr:uid="{48F97871-FC0F-4836-9643-5CDFC456068D}"/>
    <cellStyle name="Normal 9 3 3 5 2 6" xfId="13389" xr:uid="{5D3125F4-DAC5-4DED-A3CA-BBA8E10A4A72}"/>
    <cellStyle name="Normal 9 3 3 5 3" xfId="6135" xr:uid="{00000000-0005-0000-0000-00001A200000}"/>
    <cellStyle name="Normal 9 3 3 5 3 2" xfId="24761" xr:uid="{0CEF25D7-34CE-40F2-8776-264DB58277BE}"/>
    <cellStyle name="Normal 9 3 3 5 3 3" xfId="33208" xr:uid="{95B79115-2D08-4F81-B2FD-CFE06778F089}"/>
    <cellStyle name="Normal 9 3 3 5 3 4" xfId="41655" xr:uid="{3F65DE7E-5FDF-4602-A42A-4AFD3591DB76}"/>
    <cellStyle name="Normal 9 3 3 5 3 5" xfId="15461" xr:uid="{CBFCB3F4-C566-4BD7-B073-56885FB9912F}"/>
    <cellStyle name="Normal 9 3 3 5 4" xfId="20544" xr:uid="{91378858-A6D9-45B9-B9E8-A7F271869A5A}"/>
    <cellStyle name="Normal 9 3 3 5 5" xfId="28991" xr:uid="{21BFDAA3-6F83-4E27-AC2C-F24FBA3DD3AC}"/>
    <cellStyle name="Normal 9 3 3 5 6" xfId="37438" xr:uid="{07223627-4FA9-4FBD-849C-7B12FB82D398}"/>
    <cellStyle name="Normal 9 3 3 5 7" xfId="11244" xr:uid="{14305175-EFDB-4181-B319-39FDCC8FB3C2}"/>
    <cellStyle name="Normal 9 3 3 6" xfId="2242" xr:uid="{00000000-0005-0000-0000-00001B200000}"/>
    <cellStyle name="Normal 9 3 3 6 2" xfId="4471" xr:uid="{00000000-0005-0000-0000-00001C200000}"/>
    <cellStyle name="Normal 9 3 3 6 2 2" xfId="8693" xr:uid="{00000000-0005-0000-0000-00001D200000}"/>
    <cellStyle name="Normal 9 3 3 6 2 2 2" xfId="27319" xr:uid="{86CE151B-7E95-428E-83F5-CBBF403128AF}"/>
    <cellStyle name="Normal 9 3 3 6 2 2 3" xfId="35766" xr:uid="{D8AE0B3D-19FD-4558-B9AC-9821CC64FA48}"/>
    <cellStyle name="Normal 9 3 3 6 2 2 4" xfId="44213" xr:uid="{E05142CA-DF1B-4C09-ABDA-02C939C9CE03}"/>
    <cellStyle name="Normal 9 3 3 6 2 2 5" xfId="18019" xr:uid="{CBFDC720-2FB2-4B6A-B600-F22EE03A46C4}"/>
    <cellStyle name="Normal 9 3 3 6 2 3" xfId="23102" xr:uid="{28ECFB91-F648-45DD-890B-2ACDFA84235F}"/>
    <cellStyle name="Normal 9 3 3 6 2 4" xfId="31549" xr:uid="{3AFB26A1-5297-48AB-9219-6D7863B79621}"/>
    <cellStyle name="Normal 9 3 3 6 2 5" xfId="39996" xr:uid="{BE922E06-4275-4DBB-A5BD-3AE0A945CD7C}"/>
    <cellStyle name="Normal 9 3 3 6 2 6" xfId="13802" xr:uid="{A0F648FD-7D72-4FD3-A171-9F540589C16B}"/>
    <cellStyle name="Normal 9 3 3 6 3" xfId="6548" xr:uid="{00000000-0005-0000-0000-00001E200000}"/>
    <cellStyle name="Normal 9 3 3 6 3 2" xfId="25174" xr:uid="{D719F85A-5EE9-4D88-8B99-14C6D590478C}"/>
    <cellStyle name="Normal 9 3 3 6 3 3" xfId="33621" xr:uid="{473ECF60-976D-475A-AE3F-93D33F3E3891}"/>
    <cellStyle name="Normal 9 3 3 6 3 4" xfId="42068" xr:uid="{12FA81E1-42F8-471D-B605-923999C52A1C}"/>
    <cellStyle name="Normal 9 3 3 6 3 5" xfId="15874" xr:uid="{0852F264-11A8-4865-9BA2-338899F0536D}"/>
    <cellStyle name="Normal 9 3 3 6 4" xfId="20957" xr:uid="{0E57E96E-2A5A-4A45-996D-E8B09018BA2B}"/>
    <cellStyle name="Normal 9 3 3 6 5" xfId="29404" xr:uid="{8F02F701-0EC5-4DBD-963F-B9CB193103D2}"/>
    <cellStyle name="Normal 9 3 3 6 6" xfId="37851" xr:uid="{B1B3B709-0E26-4E20-8EDA-66F7FB1B4183}"/>
    <cellStyle name="Normal 9 3 3 6 7" xfId="11657" xr:uid="{8DF20AEC-1F06-4991-A5F8-9E8FCBCD2D02}"/>
    <cellStyle name="Normal 9 3 3 7" xfId="2678" xr:uid="{00000000-0005-0000-0000-00001F200000}"/>
    <cellStyle name="Normal 9 3 3 7 2" xfId="6961" xr:uid="{00000000-0005-0000-0000-000020200000}"/>
    <cellStyle name="Normal 9 3 3 7 2 2" xfId="25587" xr:uid="{41A9EA7F-1980-4242-BD61-2C1C6A573F59}"/>
    <cellStyle name="Normal 9 3 3 7 2 3" xfId="34034" xr:uid="{7856EC6C-BF6C-49F5-8515-E06D0019095B}"/>
    <cellStyle name="Normal 9 3 3 7 2 4" xfId="42481" xr:uid="{C52005FA-820B-40DC-BD8A-F50D9931DC07}"/>
    <cellStyle name="Normal 9 3 3 7 2 5" xfId="16287" xr:uid="{D3CBAB53-68F5-44F9-A298-83889F2D5DF3}"/>
    <cellStyle name="Normal 9 3 3 7 3" xfId="21370" xr:uid="{8B4385AB-20B7-4B60-8605-C629517F89F2}"/>
    <cellStyle name="Normal 9 3 3 7 4" xfId="29817" xr:uid="{D2C01FF1-E13B-4025-B2CF-339E63CBF009}"/>
    <cellStyle name="Normal 9 3 3 7 5" xfId="38264" xr:uid="{7ABB6589-A9D3-42C9-B8EC-32571D3E12DE}"/>
    <cellStyle name="Normal 9 3 3 7 6" xfId="12070" xr:uid="{F14D8D8B-BEA9-4CE5-8E22-F5B62437A084}"/>
    <cellStyle name="Normal 9 3 3 8" xfId="4896" xr:uid="{00000000-0005-0000-0000-000021200000}"/>
    <cellStyle name="Normal 9 3 3 8 2" xfId="23522" xr:uid="{09767BBF-A4AA-4E1D-94DC-9C99594190B7}"/>
    <cellStyle name="Normal 9 3 3 8 3" xfId="31969" xr:uid="{506A706F-9AFA-4DE8-B5AD-88E6B6123A8D}"/>
    <cellStyle name="Normal 9 3 3 8 4" xfId="40416" xr:uid="{3A53EACA-A7AF-4F4C-873A-641F8CFBFB2F}"/>
    <cellStyle name="Normal 9 3 3 8 5" xfId="14222" xr:uid="{C1699A0C-D659-4764-B398-48660B5AA6AF}"/>
    <cellStyle name="Normal 9 3 3 9" xfId="8880" xr:uid="{36521590-FD5B-45F7-80A9-41BA557EA820}"/>
    <cellStyle name="Normal 9 3 3 9 2" xfId="18204" xr:uid="{2E1C7B31-5290-4026-B965-C1A0ABDD168C}"/>
    <cellStyle name="Normal 9 3 4" xfId="534" xr:uid="{00000000-0005-0000-0000-000022200000}"/>
    <cellStyle name="Normal 9 3 4 10" xfId="27754" xr:uid="{C8CFA031-5700-4A95-B19E-ABD3034A2629}"/>
    <cellStyle name="Normal 9 3 4 11" xfId="36201" xr:uid="{B1220AC0-E533-47DB-B8CA-CB8BD73A36ED}"/>
    <cellStyle name="Normal 9 3 4 12" xfId="10007" xr:uid="{333A201A-A678-400B-9FFC-065B669F5DCA}"/>
    <cellStyle name="Normal 9 3 4 2" xfId="1001" xr:uid="{00000000-0005-0000-0000-000023200000}"/>
    <cellStyle name="Normal 9 3 4 2 2" xfId="3234" xr:uid="{00000000-0005-0000-0000-000024200000}"/>
    <cellStyle name="Normal 9 3 4 2 2 2" xfId="7456" xr:uid="{00000000-0005-0000-0000-000025200000}"/>
    <cellStyle name="Normal 9 3 4 2 2 2 2" xfId="26082" xr:uid="{2CA6A27E-3828-41FE-9D0B-A410F8AF22D1}"/>
    <cellStyle name="Normal 9 3 4 2 2 2 3" xfId="34529" xr:uid="{AECAA3E7-C52E-426B-AEAF-BB9965BDBA70}"/>
    <cellStyle name="Normal 9 3 4 2 2 2 4" xfId="42976" xr:uid="{BEDB0440-9A9B-44E5-9173-0396535F8D24}"/>
    <cellStyle name="Normal 9 3 4 2 2 2 5" xfId="16782" xr:uid="{ACFD2A3D-C064-4F56-80E7-760C870CC35A}"/>
    <cellStyle name="Normal 9 3 4 2 2 3" xfId="21865" xr:uid="{A4036614-9B62-4541-B1FD-C937B9B31F27}"/>
    <cellStyle name="Normal 9 3 4 2 2 4" xfId="30312" xr:uid="{66B8FCCA-2FF5-46E3-B34C-BAE1FBF07800}"/>
    <cellStyle name="Normal 9 3 4 2 2 5" xfId="38759" xr:uid="{DA3DB9AD-40B9-4F50-9E03-FBA98267018E}"/>
    <cellStyle name="Normal 9 3 4 2 2 6" xfId="12565" xr:uid="{7AF98667-2B91-4FE3-BCCF-1F16EA516CAC}"/>
    <cellStyle name="Normal 9 3 4 2 3" xfId="5311" xr:uid="{00000000-0005-0000-0000-000026200000}"/>
    <cellStyle name="Normal 9 3 4 2 3 2" xfId="23937" xr:uid="{31AB26CB-3698-4D9C-A580-0E25A08691EF}"/>
    <cellStyle name="Normal 9 3 4 2 3 3" xfId="32384" xr:uid="{800BDB08-8AE6-4988-AEFD-B41A116EF0D5}"/>
    <cellStyle name="Normal 9 3 4 2 3 4" xfId="40831" xr:uid="{0AFBD80B-FCDF-461A-9ECF-21F338116CB7}"/>
    <cellStyle name="Normal 9 3 4 2 3 5" xfId="14637" xr:uid="{CA39B73C-E886-41E8-870A-5A4572E3492D}"/>
    <cellStyle name="Normal 9 3 4 2 4" xfId="9409" xr:uid="{F8EFC02C-357C-44AD-9BF7-6459F3C595DA}"/>
    <cellStyle name="Normal 9 3 4 2 4 2" xfId="18725" xr:uid="{F45E72A5-D0D9-4747-8316-548F7BA1CABB}"/>
    <cellStyle name="Normal 9 3 4 2 5" xfId="19720" xr:uid="{1931E39D-CFEA-41A0-89A2-D6FF41564E76}"/>
    <cellStyle name="Normal 9 3 4 2 6" xfId="28167" xr:uid="{389DBB6B-20AC-43AD-B227-05DF7136A684}"/>
    <cellStyle name="Normal 9 3 4 2 7" xfId="36614" xr:uid="{3AA65D96-9B3A-4801-982D-FF123C84800D}"/>
    <cellStyle name="Normal 9 3 4 2 8" xfId="10420" xr:uid="{2433F723-45FA-489E-8D87-F00D66FCB09C}"/>
    <cellStyle name="Normal 9 3 4 3" xfId="1417" xr:uid="{00000000-0005-0000-0000-000027200000}"/>
    <cellStyle name="Normal 9 3 4 3 2" xfId="3647" xr:uid="{00000000-0005-0000-0000-000028200000}"/>
    <cellStyle name="Normal 9 3 4 3 2 2" xfId="7869" xr:uid="{00000000-0005-0000-0000-000029200000}"/>
    <cellStyle name="Normal 9 3 4 3 2 2 2" xfId="26495" xr:uid="{C61BE6DC-7B03-46BE-8555-6720E7E5F028}"/>
    <cellStyle name="Normal 9 3 4 3 2 2 3" xfId="34942" xr:uid="{7095A1EA-54D7-4835-B508-32D722B88EE6}"/>
    <cellStyle name="Normal 9 3 4 3 2 2 4" xfId="43389" xr:uid="{086A292A-47E4-4277-8AC7-285E67765362}"/>
    <cellStyle name="Normal 9 3 4 3 2 2 5" xfId="17195" xr:uid="{3A100FA1-819B-43C0-B22F-43D65232348A}"/>
    <cellStyle name="Normal 9 3 4 3 2 3" xfId="22278" xr:uid="{DA1EF564-8545-4CD3-B9AA-DF69869AE08D}"/>
    <cellStyle name="Normal 9 3 4 3 2 4" xfId="30725" xr:uid="{59F66B68-DBCF-4851-86D7-8820FE880BEC}"/>
    <cellStyle name="Normal 9 3 4 3 2 5" xfId="39172" xr:uid="{A1E63392-6EB9-4DA3-8FC1-EBAE518AD962}"/>
    <cellStyle name="Normal 9 3 4 3 2 6" xfId="12978" xr:uid="{43F3D598-BAE5-46AF-B45A-07FEFFCDD2DF}"/>
    <cellStyle name="Normal 9 3 4 3 3" xfId="5724" xr:uid="{00000000-0005-0000-0000-00002A200000}"/>
    <cellStyle name="Normal 9 3 4 3 3 2" xfId="24350" xr:uid="{2874CCB4-34EF-43EA-8EAA-CDE1ABB4FC23}"/>
    <cellStyle name="Normal 9 3 4 3 3 3" xfId="32797" xr:uid="{28500832-1861-4006-816D-A6DCD7B19315}"/>
    <cellStyle name="Normal 9 3 4 3 3 4" xfId="41244" xr:uid="{53EC385B-9962-4D25-9981-31A5783E8620}"/>
    <cellStyle name="Normal 9 3 4 3 3 5" xfId="15050" xr:uid="{4E555A56-7CE9-45EE-BDEB-3CE6BD3BD093}"/>
    <cellStyle name="Normal 9 3 4 3 4" xfId="20133" xr:uid="{4ACFFD76-3797-4802-A950-A22764C074FF}"/>
    <cellStyle name="Normal 9 3 4 3 5" xfId="28580" xr:uid="{8676890A-B9A9-497F-8DB6-70335FD3B558}"/>
    <cellStyle name="Normal 9 3 4 3 6" xfId="37027" xr:uid="{78CBAD3A-53BA-417C-905E-1F22B88B5838}"/>
    <cellStyle name="Normal 9 3 4 3 7" xfId="10833" xr:uid="{72E6E253-612A-4125-A198-02A3971CC45A}"/>
    <cellStyle name="Normal 9 3 4 4" xfId="1830" xr:uid="{00000000-0005-0000-0000-00002B200000}"/>
    <cellStyle name="Normal 9 3 4 4 2" xfId="4060" xr:uid="{00000000-0005-0000-0000-00002C200000}"/>
    <cellStyle name="Normal 9 3 4 4 2 2" xfId="8282" xr:uid="{00000000-0005-0000-0000-00002D200000}"/>
    <cellStyle name="Normal 9 3 4 4 2 2 2" xfId="26908" xr:uid="{82F3CA49-9AF2-4A74-8963-4F92E2D9B567}"/>
    <cellStyle name="Normal 9 3 4 4 2 2 3" xfId="35355" xr:uid="{726FE735-49D6-492C-A7DF-6C3B2FD5620D}"/>
    <cellStyle name="Normal 9 3 4 4 2 2 4" xfId="43802" xr:uid="{A7C8254E-BB01-4501-9377-DDB5DB1071BC}"/>
    <cellStyle name="Normal 9 3 4 4 2 2 5" xfId="17608" xr:uid="{882C8AEA-241E-435D-B36E-AE7A27082399}"/>
    <cellStyle name="Normal 9 3 4 4 2 3" xfId="22691" xr:uid="{87F1DDDE-4D48-4849-9461-B514EC92C1AB}"/>
    <cellStyle name="Normal 9 3 4 4 2 4" xfId="31138" xr:uid="{1DFACE4D-AF3B-40F8-8F1C-3EBF0487DB4B}"/>
    <cellStyle name="Normal 9 3 4 4 2 5" xfId="39585" xr:uid="{6C3E16BB-458F-4C62-944D-CBFB111B23F0}"/>
    <cellStyle name="Normal 9 3 4 4 2 6" xfId="13391" xr:uid="{DFAD6A2E-9DF3-4BD7-B5B9-A184FD9F1363}"/>
    <cellStyle name="Normal 9 3 4 4 3" xfId="6137" xr:uid="{00000000-0005-0000-0000-00002E200000}"/>
    <cellStyle name="Normal 9 3 4 4 3 2" xfId="24763" xr:uid="{091CE0A7-BA85-4321-BF34-0DBB8A6E3A16}"/>
    <cellStyle name="Normal 9 3 4 4 3 3" xfId="33210" xr:uid="{F5367B46-DD0A-4AAF-91F2-A68E2B55CD2C}"/>
    <cellStyle name="Normal 9 3 4 4 3 4" xfId="41657" xr:uid="{F50DEFE3-6CDF-47F9-9319-47A91BE67453}"/>
    <cellStyle name="Normal 9 3 4 4 3 5" xfId="15463" xr:uid="{C5156BE3-25A8-446D-B9FA-141E0A4C5273}"/>
    <cellStyle name="Normal 9 3 4 4 4" xfId="20546" xr:uid="{437A5B7A-3DCB-4FA9-A4D4-B94117B1349A}"/>
    <cellStyle name="Normal 9 3 4 4 5" xfId="28993" xr:uid="{D1817820-3487-4F5A-B163-AE83EFB570A6}"/>
    <cellStyle name="Normal 9 3 4 4 6" xfId="37440" xr:uid="{3AF1910C-91BA-45B0-A905-E728B184FDFC}"/>
    <cellStyle name="Normal 9 3 4 4 7" xfId="11246" xr:uid="{364F5B13-6DAB-4333-AF3F-E0D5563962A0}"/>
    <cellStyle name="Normal 9 3 4 5" xfId="2244" xr:uid="{00000000-0005-0000-0000-00002F200000}"/>
    <cellStyle name="Normal 9 3 4 5 2" xfId="4473" xr:uid="{00000000-0005-0000-0000-000030200000}"/>
    <cellStyle name="Normal 9 3 4 5 2 2" xfId="8695" xr:uid="{00000000-0005-0000-0000-000031200000}"/>
    <cellStyle name="Normal 9 3 4 5 2 2 2" xfId="27321" xr:uid="{6DA5D534-92A8-4DE9-A07D-FBA734F1E107}"/>
    <cellStyle name="Normal 9 3 4 5 2 2 3" xfId="35768" xr:uid="{0CCD29C7-1402-494F-97F0-DBAC8A9A861E}"/>
    <cellStyle name="Normal 9 3 4 5 2 2 4" xfId="44215" xr:uid="{9E3F3BC8-A3B1-4FB9-8039-9837D35BE253}"/>
    <cellStyle name="Normal 9 3 4 5 2 2 5" xfId="18021" xr:uid="{1127A0FC-CB1C-4ED8-A9ED-E782293E5D8B}"/>
    <cellStyle name="Normal 9 3 4 5 2 3" xfId="23104" xr:uid="{0FB433E9-5E27-4272-B07D-71992FF68F75}"/>
    <cellStyle name="Normal 9 3 4 5 2 4" xfId="31551" xr:uid="{D93CC56E-852A-4356-856E-7D2927E7743C}"/>
    <cellStyle name="Normal 9 3 4 5 2 5" xfId="39998" xr:uid="{007DEFAB-10C7-4A27-BEDB-38648A65C728}"/>
    <cellStyle name="Normal 9 3 4 5 2 6" xfId="13804" xr:uid="{AA335D82-50B1-4839-AD4E-7B9F1BFF0731}"/>
    <cellStyle name="Normal 9 3 4 5 3" xfId="6550" xr:uid="{00000000-0005-0000-0000-000032200000}"/>
    <cellStyle name="Normal 9 3 4 5 3 2" xfId="25176" xr:uid="{67B95C96-A016-4AD8-A16C-C389229A3C3F}"/>
    <cellStyle name="Normal 9 3 4 5 3 3" xfId="33623" xr:uid="{E1EA61AD-49C9-490A-B399-F49C6E6D4F7F}"/>
    <cellStyle name="Normal 9 3 4 5 3 4" xfId="42070" xr:uid="{75EFDBA8-67FE-450E-88A6-E53C6378B525}"/>
    <cellStyle name="Normal 9 3 4 5 3 5" xfId="15876" xr:uid="{31B52A93-91C8-47B1-8678-1B3E991239C1}"/>
    <cellStyle name="Normal 9 3 4 5 4" xfId="20959" xr:uid="{BF536635-D60C-4E36-9454-82CB801009FC}"/>
    <cellStyle name="Normal 9 3 4 5 5" xfId="29406" xr:uid="{3D988014-599B-40AE-A201-5A9D81AEFA45}"/>
    <cellStyle name="Normal 9 3 4 5 6" xfId="37853" xr:uid="{C097C42D-78DF-4201-892A-8301319E80D9}"/>
    <cellStyle name="Normal 9 3 4 5 7" xfId="11659" xr:uid="{951482D1-2E78-4CF0-B76D-C3C6E3F211E1}"/>
    <cellStyle name="Normal 9 3 4 6" xfId="2680" xr:uid="{00000000-0005-0000-0000-000033200000}"/>
    <cellStyle name="Normal 9 3 4 6 2" xfId="6963" xr:uid="{00000000-0005-0000-0000-000034200000}"/>
    <cellStyle name="Normal 9 3 4 6 2 2" xfId="25589" xr:uid="{22F8693B-392C-41CE-BF46-2141AE8A0CA3}"/>
    <cellStyle name="Normal 9 3 4 6 2 3" xfId="34036" xr:uid="{74C8A73E-59FF-48D9-A0E0-6E528165332B}"/>
    <cellStyle name="Normal 9 3 4 6 2 4" xfId="42483" xr:uid="{D1603228-4644-4E7F-860C-0B0FE64402EC}"/>
    <cellStyle name="Normal 9 3 4 6 2 5" xfId="16289" xr:uid="{39688F08-89C7-4927-8560-BEF435114255}"/>
    <cellStyle name="Normal 9 3 4 6 3" xfId="21372" xr:uid="{DBE3E3B2-1AB5-46D3-9A67-DA57A3BF0A43}"/>
    <cellStyle name="Normal 9 3 4 6 4" xfId="29819" xr:uid="{A59D8A87-0088-43E3-96DD-1DC9EAA99B2E}"/>
    <cellStyle name="Normal 9 3 4 6 5" xfId="38266" xr:uid="{88694D5A-4CE7-4DB0-B33D-F8DEE4D019F8}"/>
    <cellStyle name="Normal 9 3 4 6 6" xfId="12072" xr:uid="{8DC86EA6-8018-4E8C-9F25-CEE7EDCD8521}"/>
    <cellStyle name="Normal 9 3 4 7" xfId="4898" xr:uid="{00000000-0005-0000-0000-000035200000}"/>
    <cellStyle name="Normal 9 3 4 7 2" xfId="23524" xr:uid="{4CF58DDF-3E37-4FD0-8C5F-E6FC18F84414}"/>
    <cellStyle name="Normal 9 3 4 7 3" xfId="31971" xr:uid="{49DB01AB-1C99-41FA-9C46-C6AFCF05B906}"/>
    <cellStyle name="Normal 9 3 4 7 4" xfId="40418" xr:uid="{BE19420E-2066-4A83-98DD-999540A3DD3C}"/>
    <cellStyle name="Normal 9 3 4 7 5" xfId="14224" xr:uid="{E55B17E3-8938-483A-BD9F-15F9FAB33A81}"/>
    <cellStyle name="Normal 9 3 4 8" xfId="8984" xr:uid="{A39B104A-EAEF-4D5B-B504-6104111E924B}"/>
    <cellStyle name="Normal 9 3 4 8 2" xfId="18308" xr:uid="{761EC05B-473F-4BAE-AC95-FD292634CA3F}"/>
    <cellStyle name="Normal 9 3 4 9" xfId="19307" xr:uid="{2440D762-964D-4F7F-AE59-F585B5588B85}"/>
    <cellStyle name="Normal 9 3 5" xfId="994" xr:uid="{00000000-0005-0000-0000-000036200000}"/>
    <cellStyle name="Normal 9 3 5 2" xfId="3227" xr:uid="{00000000-0005-0000-0000-000037200000}"/>
    <cellStyle name="Normal 9 3 5 2 2" xfId="7449" xr:uid="{00000000-0005-0000-0000-000038200000}"/>
    <cellStyle name="Normal 9 3 5 2 2 2" xfId="26075" xr:uid="{07FB177D-DDD8-4AE3-BDE8-AD8D86781112}"/>
    <cellStyle name="Normal 9 3 5 2 2 3" xfId="34522" xr:uid="{A8DE52C1-2E13-40D1-A05B-86C645C83CB1}"/>
    <cellStyle name="Normal 9 3 5 2 2 4" xfId="42969" xr:uid="{551E2048-ADFD-49A4-A580-969E36988850}"/>
    <cellStyle name="Normal 9 3 5 2 2 5" xfId="16775" xr:uid="{9F052686-DAFF-4EA5-904B-0AB3D4E18BAF}"/>
    <cellStyle name="Normal 9 3 5 2 3" xfId="21858" xr:uid="{04CE8B2F-B141-4A0F-B122-647D0B0553B6}"/>
    <cellStyle name="Normal 9 3 5 2 4" xfId="30305" xr:uid="{C2AA3159-CD24-4A80-AC00-ED1C6D2E40C6}"/>
    <cellStyle name="Normal 9 3 5 2 5" xfId="38752" xr:uid="{7172A866-E190-4F13-9593-6D79B77D7C60}"/>
    <cellStyle name="Normal 9 3 5 2 6" xfId="12558" xr:uid="{3329AA06-59DE-438E-BF2E-7EE5C626CA2F}"/>
    <cellStyle name="Normal 9 3 5 3" xfId="5304" xr:uid="{00000000-0005-0000-0000-000039200000}"/>
    <cellStyle name="Normal 9 3 5 3 2" xfId="23930" xr:uid="{BB5572E5-23EA-44C6-954D-1837898E72A1}"/>
    <cellStyle name="Normal 9 3 5 3 3" xfId="32377" xr:uid="{C734FDE3-7805-4E06-B40F-58A03D394F85}"/>
    <cellStyle name="Normal 9 3 5 3 4" xfId="40824" xr:uid="{753F8DB9-0873-4734-9605-1ABB1D870348}"/>
    <cellStyle name="Normal 9 3 5 3 5" xfId="14630" xr:uid="{37C4B07F-C79C-4B65-8204-02A05708E5C5}"/>
    <cellStyle name="Normal 9 3 5 4" xfId="9201" xr:uid="{46D523D7-8DEB-46FB-8F1C-8CE8C2FC3AD3}"/>
    <cellStyle name="Normal 9 3 5 4 2" xfId="18518" xr:uid="{19D8E684-0371-4D63-A7B6-74E20ED3EFEC}"/>
    <cellStyle name="Normal 9 3 5 5" xfId="19713" xr:uid="{7808E022-0C8F-4E59-9071-0D928C7F81C6}"/>
    <cellStyle name="Normal 9 3 5 6" xfId="28160" xr:uid="{0602B58A-8F39-4CC5-AC8E-187D74FF5C06}"/>
    <cellStyle name="Normal 9 3 5 7" xfId="36607" xr:uid="{3EE519B6-45D0-47BA-946D-06CA7C7D60C1}"/>
    <cellStyle name="Normal 9 3 5 8" xfId="10413" xr:uid="{7D598FE2-3004-401E-A5E4-B4A040F94DF0}"/>
    <cellStyle name="Normal 9 3 6" xfId="1410" xr:uid="{00000000-0005-0000-0000-00003A200000}"/>
    <cellStyle name="Normal 9 3 6 2" xfId="3640" xr:uid="{00000000-0005-0000-0000-00003B200000}"/>
    <cellStyle name="Normal 9 3 6 2 2" xfId="7862" xr:uid="{00000000-0005-0000-0000-00003C200000}"/>
    <cellStyle name="Normal 9 3 6 2 2 2" xfId="26488" xr:uid="{FEC50C8D-6856-46C3-BBDF-22C8ACBFFDF5}"/>
    <cellStyle name="Normal 9 3 6 2 2 3" xfId="34935" xr:uid="{C06EECAC-4F08-4482-A86D-4D68835AEF3C}"/>
    <cellStyle name="Normal 9 3 6 2 2 4" xfId="43382" xr:uid="{98A0269E-5BAA-4D2F-AF76-DF97614A8B73}"/>
    <cellStyle name="Normal 9 3 6 2 2 5" xfId="17188" xr:uid="{AC5523ED-D940-47A8-BB7B-ADD0CCC85E05}"/>
    <cellStyle name="Normal 9 3 6 2 3" xfId="22271" xr:uid="{3F5D2B40-5382-4791-B0D9-F778E37DAFA9}"/>
    <cellStyle name="Normal 9 3 6 2 4" xfId="30718" xr:uid="{7885D73F-AD26-47E6-8CCC-49EF41867825}"/>
    <cellStyle name="Normal 9 3 6 2 5" xfId="39165" xr:uid="{BC08E603-7006-4352-842C-B815D2A31D8B}"/>
    <cellStyle name="Normal 9 3 6 2 6" xfId="12971" xr:uid="{7831D3B4-B10E-475F-89D6-ADDE3DF845D1}"/>
    <cellStyle name="Normal 9 3 6 3" xfId="5717" xr:uid="{00000000-0005-0000-0000-00003D200000}"/>
    <cellStyle name="Normal 9 3 6 3 2" xfId="24343" xr:uid="{E6A99A7A-4557-4300-9B35-DB83D53C0D52}"/>
    <cellStyle name="Normal 9 3 6 3 3" xfId="32790" xr:uid="{1EBA556A-24E7-4386-B9A9-E8A911C00A93}"/>
    <cellStyle name="Normal 9 3 6 3 4" xfId="41237" xr:uid="{0E7E3843-D115-4829-B8D3-32AEBD769F3B}"/>
    <cellStyle name="Normal 9 3 6 3 5" xfId="15043" xr:uid="{2F1DD0AC-372D-4A6F-97C7-0226C429A9DC}"/>
    <cellStyle name="Normal 9 3 6 4" xfId="20126" xr:uid="{D9E98D8C-3CF8-4ED1-B866-30BC6AC64665}"/>
    <cellStyle name="Normal 9 3 6 5" xfId="28573" xr:uid="{5939E5A9-B992-4994-AEE4-8321719D9BFD}"/>
    <cellStyle name="Normal 9 3 6 6" xfId="37020" xr:uid="{F1DEC88E-BA39-4321-AD27-C5D0567D8851}"/>
    <cellStyle name="Normal 9 3 6 7" xfId="10826" xr:uid="{C076CDD3-69BD-4690-B1D1-3CF11832B22B}"/>
    <cellStyle name="Normal 9 3 7" xfId="1823" xr:uid="{00000000-0005-0000-0000-00003E200000}"/>
    <cellStyle name="Normal 9 3 7 2" xfId="4053" xr:uid="{00000000-0005-0000-0000-00003F200000}"/>
    <cellStyle name="Normal 9 3 7 2 2" xfId="8275" xr:uid="{00000000-0005-0000-0000-000040200000}"/>
    <cellStyle name="Normal 9 3 7 2 2 2" xfId="26901" xr:uid="{C4B8C262-B15C-43D4-B3BA-9E9E5E4C7CD5}"/>
    <cellStyle name="Normal 9 3 7 2 2 3" xfId="35348" xr:uid="{C4BF1066-3523-45A3-B785-F2D32F368CA1}"/>
    <cellStyle name="Normal 9 3 7 2 2 4" xfId="43795" xr:uid="{8F062A76-3940-4DE1-94E4-75CCFDC4C825}"/>
    <cellStyle name="Normal 9 3 7 2 2 5" xfId="17601" xr:uid="{CA2EB1DE-E6EC-4A4D-A77C-FAFB1CF64840}"/>
    <cellStyle name="Normal 9 3 7 2 3" xfId="22684" xr:uid="{B88CA76A-CE5F-4949-95DD-F8339346C864}"/>
    <cellStyle name="Normal 9 3 7 2 4" xfId="31131" xr:uid="{BE902308-A42E-4FA6-838B-A78875AF181C}"/>
    <cellStyle name="Normal 9 3 7 2 5" xfId="39578" xr:uid="{4F5B8CC6-266F-47FB-862A-57FAEEC10DEB}"/>
    <cellStyle name="Normal 9 3 7 2 6" xfId="13384" xr:uid="{16B58856-CB64-42D0-B7A4-D6F62A638D85}"/>
    <cellStyle name="Normal 9 3 7 3" xfId="6130" xr:uid="{00000000-0005-0000-0000-000041200000}"/>
    <cellStyle name="Normal 9 3 7 3 2" xfId="24756" xr:uid="{15D4E986-8B05-4371-B203-F624D6C79B25}"/>
    <cellStyle name="Normal 9 3 7 3 3" xfId="33203" xr:uid="{DF2F177F-0D34-447A-8FC2-5FF450C88CE4}"/>
    <cellStyle name="Normal 9 3 7 3 4" xfId="41650" xr:uid="{3917AA5B-D0B4-421B-85D1-E04F0D525EA0}"/>
    <cellStyle name="Normal 9 3 7 3 5" xfId="15456" xr:uid="{D63FF9F8-B304-4F1B-8AAF-CE7C6E5B31F5}"/>
    <cellStyle name="Normal 9 3 7 4" xfId="20539" xr:uid="{E894C049-D00B-46B3-9B0E-0EED11E5DAAF}"/>
    <cellStyle name="Normal 9 3 7 5" xfId="28986" xr:uid="{6C41C208-0859-467E-93EC-28DD91FFB188}"/>
    <cellStyle name="Normal 9 3 7 6" xfId="37433" xr:uid="{E8441957-EDC7-4A26-AE47-99364A560BDF}"/>
    <cellStyle name="Normal 9 3 7 7" xfId="11239" xr:uid="{DD9D1059-5CB5-46BC-985F-647CE19D623B}"/>
    <cellStyle name="Normal 9 3 8" xfId="2237" xr:uid="{00000000-0005-0000-0000-000042200000}"/>
    <cellStyle name="Normal 9 3 8 2" xfId="4466" xr:uid="{00000000-0005-0000-0000-000043200000}"/>
    <cellStyle name="Normal 9 3 8 2 2" xfId="8688" xr:uid="{00000000-0005-0000-0000-000044200000}"/>
    <cellStyle name="Normal 9 3 8 2 2 2" xfId="27314" xr:uid="{196B5B80-FBB1-4425-B7FF-9C33E5778261}"/>
    <cellStyle name="Normal 9 3 8 2 2 3" xfId="35761" xr:uid="{1C5836CC-951E-40F1-993A-EF07A909CF91}"/>
    <cellStyle name="Normal 9 3 8 2 2 4" xfId="44208" xr:uid="{062A6D94-78DC-4C85-84A8-1A69B8356A87}"/>
    <cellStyle name="Normal 9 3 8 2 2 5" xfId="18014" xr:uid="{3625BA3E-9C3B-487E-A457-64F2A88ADBEA}"/>
    <cellStyle name="Normal 9 3 8 2 3" xfId="23097" xr:uid="{6AE14C3F-C781-459F-B00D-A5DB1BA9461E}"/>
    <cellStyle name="Normal 9 3 8 2 4" xfId="31544" xr:uid="{A7F070DF-C97D-455E-B74D-AFBC3AF957FD}"/>
    <cellStyle name="Normal 9 3 8 2 5" xfId="39991" xr:uid="{729F02C4-2DE3-434F-8995-4812E542F6D1}"/>
    <cellStyle name="Normal 9 3 8 2 6" xfId="13797" xr:uid="{E4AA93F5-B013-425C-AB2A-5E7D71EAFA72}"/>
    <cellStyle name="Normal 9 3 8 3" xfId="6543" xr:uid="{00000000-0005-0000-0000-000045200000}"/>
    <cellStyle name="Normal 9 3 8 3 2" xfId="25169" xr:uid="{E3D2FAC0-614E-484A-A190-A683BEEE8B28}"/>
    <cellStyle name="Normal 9 3 8 3 3" xfId="33616" xr:uid="{C6B0A0AD-5718-44F3-A170-2D76738136B3}"/>
    <cellStyle name="Normal 9 3 8 3 4" xfId="42063" xr:uid="{9A48D3C4-2509-42E6-9F12-8C8664996068}"/>
    <cellStyle name="Normal 9 3 8 3 5" xfId="15869" xr:uid="{D684FE05-19A3-4794-BB82-73AE4FAE8018}"/>
    <cellStyle name="Normal 9 3 8 4" xfId="20952" xr:uid="{DAFA6EEE-7625-44D6-A949-30010648D8D9}"/>
    <cellStyle name="Normal 9 3 8 5" xfId="29399" xr:uid="{A705DD21-B4A9-4C68-B602-B88168B5CDEA}"/>
    <cellStyle name="Normal 9 3 8 6" xfId="37846" xr:uid="{86ABA231-FA66-429F-AB9E-F8A6219FDFC5}"/>
    <cellStyle name="Normal 9 3 8 7" xfId="11652" xr:uid="{9C30D093-0705-4A0D-9F76-5D6147526C09}"/>
    <cellStyle name="Normal 9 3 9" xfId="2673" xr:uid="{00000000-0005-0000-0000-000046200000}"/>
    <cellStyle name="Normal 9 3 9 2" xfId="6956" xr:uid="{00000000-0005-0000-0000-000047200000}"/>
    <cellStyle name="Normal 9 3 9 2 2" xfId="25582" xr:uid="{1268C7F0-8CB6-4B8B-BF98-A6A69EC80A89}"/>
    <cellStyle name="Normal 9 3 9 2 3" xfId="34029" xr:uid="{B976901E-9E0D-412A-8D8A-0C5C7768C17C}"/>
    <cellStyle name="Normal 9 3 9 2 4" xfId="42476" xr:uid="{606A7AB0-A989-4DDB-A10E-303150121916}"/>
    <cellStyle name="Normal 9 3 9 2 5" xfId="16282" xr:uid="{A136A1D7-EE94-43AB-8143-DB4A1A1BA91B}"/>
    <cellStyle name="Normal 9 3 9 3" xfId="21365" xr:uid="{F6BCC6B4-1B1A-4CAF-9A30-08A178E3CA0E}"/>
    <cellStyle name="Normal 9 3 9 4" xfId="29812" xr:uid="{CFBD3681-B38D-49C5-96A7-8AC0CBA426A3}"/>
    <cellStyle name="Normal 9 3 9 5" xfId="38259" xr:uid="{226B2002-32E5-41CE-A315-B82C24346AF8}"/>
    <cellStyle name="Normal 9 3 9 6" xfId="12065" xr:uid="{723E3D7D-61D8-4F07-9804-5F5784DCB306}"/>
    <cellStyle name="Normal 9 4" xfId="535" xr:uid="{00000000-0005-0000-0000-000048200000}"/>
    <cellStyle name="Normal 9 4 2" xfId="1002" xr:uid="{00000000-0005-0000-0000-000049200000}"/>
    <cellStyle name="Normal 9 5" xfId="536" xr:uid="{00000000-0005-0000-0000-00004A200000}"/>
    <cellStyle name="Normal 9 5 10" xfId="19308" xr:uid="{55198D9C-1EC4-445A-A285-C7415EFC86E9}"/>
    <cellStyle name="Normal 9 5 11" xfId="27755" xr:uid="{CD95F76B-1DBD-4E6F-8DFE-513EBFD85B55}"/>
    <cellStyle name="Normal 9 5 12" xfId="36202" xr:uid="{36D32B7B-DF5A-46CF-A69F-0BAF5BF13197}"/>
    <cellStyle name="Normal 9 5 13" xfId="10008" xr:uid="{91FC8036-99BF-40B1-BF07-F1669739E3D8}"/>
    <cellStyle name="Normal 9 5 2" xfId="537" xr:uid="{00000000-0005-0000-0000-00004B200000}"/>
    <cellStyle name="Normal 9 5 2 10" xfId="27756" xr:uid="{EA15687F-506C-45A7-8A57-E6360C020D12}"/>
    <cellStyle name="Normal 9 5 2 11" xfId="36203" xr:uid="{05CD5963-3F21-4385-85E1-E6C88B7D41AE}"/>
    <cellStyle name="Normal 9 5 2 12" xfId="10009" xr:uid="{E0323C52-7BCE-4EA1-B394-3ABE84A0472C}"/>
    <cellStyle name="Normal 9 5 2 2" xfId="1004" xr:uid="{00000000-0005-0000-0000-00004C200000}"/>
    <cellStyle name="Normal 9 5 2 2 2" xfId="3236" xr:uid="{00000000-0005-0000-0000-00004D200000}"/>
    <cellStyle name="Normal 9 5 2 2 2 2" xfId="7458" xr:uid="{00000000-0005-0000-0000-00004E200000}"/>
    <cellStyle name="Normal 9 5 2 2 2 2 2" xfId="26084" xr:uid="{9C3C3F7E-CD2C-4232-A9B8-C2C4EABEE764}"/>
    <cellStyle name="Normal 9 5 2 2 2 2 3" xfId="34531" xr:uid="{D21A75B4-65A3-4DC1-A48A-93E16572D94D}"/>
    <cellStyle name="Normal 9 5 2 2 2 2 4" xfId="42978" xr:uid="{4DC058A8-4FBA-43D4-87DF-A38D3201FDB2}"/>
    <cellStyle name="Normal 9 5 2 2 2 2 5" xfId="16784" xr:uid="{7A04A6CF-343E-4658-BFA0-99621A8559D1}"/>
    <cellStyle name="Normal 9 5 2 2 2 3" xfId="21867" xr:uid="{2414846E-51B9-4A88-B02E-2DB450E437B8}"/>
    <cellStyle name="Normal 9 5 2 2 2 4" xfId="30314" xr:uid="{3606FB3B-C783-4C4B-8F18-483F874CF8D2}"/>
    <cellStyle name="Normal 9 5 2 2 2 5" xfId="38761" xr:uid="{E2AACC6B-4550-4197-A5FF-B8A07F868006}"/>
    <cellStyle name="Normal 9 5 2 2 2 6" xfId="12567" xr:uid="{5DE81241-3971-49E6-839F-00FE8F33A418}"/>
    <cellStyle name="Normal 9 5 2 2 3" xfId="5313" xr:uid="{00000000-0005-0000-0000-00004F200000}"/>
    <cellStyle name="Normal 9 5 2 2 3 2" xfId="23939" xr:uid="{F29CA87B-E955-492D-B7A3-E5E07AB3F421}"/>
    <cellStyle name="Normal 9 5 2 2 3 3" xfId="32386" xr:uid="{BBEA7CF0-44BB-4FE2-8F1E-D444EF189208}"/>
    <cellStyle name="Normal 9 5 2 2 3 4" xfId="40833" xr:uid="{7A655159-F890-4DD0-9A0B-801FB1FAAC87}"/>
    <cellStyle name="Normal 9 5 2 2 3 5" xfId="14639" xr:uid="{AE901536-1FC6-4A91-82E9-1ECA6E136B70}"/>
    <cellStyle name="Normal 9 5 2 2 4" xfId="9480" xr:uid="{BC9702BE-C2B3-450A-99DF-6FFE7C7A82FD}"/>
    <cellStyle name="Normal 9 5 2 2 4 2" xfId="18796" xr:uid="{1575CD38-6710-43C0-A266-F575DAE996F3}"/>
    <cellStyle name="Normal 9 5 2 2 5" xfId="19722" xr:uid="{F2FA09D4-2525-4BEA-BAFA-15B64E698E17}"/>
    <cellStyle name="Normal 9 5 2 2 6" xfId="28169" xr:uid="{3DF176A8-AEEF-4EEF-BED5-4D13C8B365D2}"/>
    <cellStyle name="Normal 9 5 2 2 7" xfId="36616" xr:uid="{8BEBA840-2633-4B86-B390-2E8B93E01052}"/>
    <cellStyle name="Normal 9 5 2 2 8" xfId="10422" xr:uid="{E57D01C6-A9DD-4B66-ACAE-5A1671A96C28}"/>
    <cellStyle name="Normal 9 5 2 3" xfId="1419" xr:uid="{00000000-0005-0000-0000-000050200000}"/>
    <cellStyle name="Normal 9 5 2 3 2" xfId="3649" xr:uid="{00000000-0005-0000-0000-000051200000}"/>
    <cellStyle name="Normal 9 5 2 3 2 2" xfId="7871" xr:uid="{00000000-0005-0000-0000-000052200000}"/>
    <cellStyle name="Normal 9 5 2 3 2 2 2" xfId="26497" xr:uid="{F40F3BD0-E9BF-47EC-90BC-A476D9F74975}"/>
    <cellStyle name="Normal 9 5 2 3 2 2 3" xfId="34944" xr:uid="{12440FFB-128F-4719-9281-1E966DF2ECF3}"/>
    <cellStyle name="Normal 9 5 2 3 2 2 4" xfId="43391" xr:uid="{5A2AD9C5-0CEE-4938-87D2-EA0105430BF1}"/>
    <cellStyle name="Normal 9 5 2 3 2 2 5" xfId="17197" xr:uid="{AFDC1FDC-4693-4DEB-9442-07DC6D1F0CC8}"/>
    <cellStyle name="Normal 9 5 2 3 2 3" xfId="22280" xr:uid="{82FB29B3-294C-4B88-B7EE-DF1C5794E03B}"/>
    <cellStyle name="Normal 9 5 2 3 2 4" xfId="30727" xr:uid="{D47688B3-2DD7-4EDE-A386-C20410AE3E72}"/>
    <cellStyle name="Normal 9 5 2 3 2 5" xfId="39174" xr:uid="{55F6ABDD-1BCB-4016-9BDE-7375C9EE6116}"/>
    <cellStyle name="Normal 9 5 2 3 2 6" xfId="12980" xr:uid="{EF4DB1CE-A0D4-4917-BFFB-B42906BEC32B}"/>
    <cellStyle name="Normal 9 5 2 3 3" xfId="5726" xr:uid="{00000000-0005-0000-0000-000053200000}"/>
    <cellStyle name="Normal 9 5 2 3 3 2" xfId="24352" xr:uid="{C90D1061-133F-482C-9ED3-E46F741DE7F7}"/>
    <cellStyle name="Normal 9 5 2 3 3 3" xfId="32799" xr:uid="{32C3C74B-6547-488C-B92A-47621D70038B}"/>
    <cellStyle name="Normal 9 5 2 3 3 4" xfId="41246" xr:uid="{C8CA801F-22DA-4621-9414-B5768EBDEBDA}"/>
    <cellStyle name="Normal 9 5 2 3 3 5" xfId="15052" xr:uid="{B161B3F0-7FB4-4057-8B7F-417A2F60C477}"/>
    <cellStyle name="Normal 9 5 2 3 4" xfId="20135" xr:uid="{916EE3FE-36FF-4BD8-8633-472A13D6C266}"/>
    <cellStyle name="Normal 9 5 2 3 5" xfId="28582" xr:uid="{AD473249-EB31-4C72-A605-C562DDEE8C12}"/>
    <cellStyle name="Normal 9 5 2 3 6" xfId="37029" xr:uid="{29264900-A37E-418E-8C67-9C06F8888D95}"/>
    <cellStyle name="Normal 9 5 2 3 7" xfId="10835" xr:uid="{1DA3FF81-0E0F-41A2-88C3-ABF7B1FC770A}"/>
    <cellStyle name="Normal 9 5 2 4" xfId="1832" xr:uid="{00000000-0005-0000-0000-000054200000}"/>
    <cellStyle name="Normal 9 5 2 4 2" xfId="4062" xr:uid="{00000000-0005-0000-0000-000055200000}"/>
    <cellStyle name="Normal 9 5 2 4 2 2" xfId="8284" xr:uid="{00000000-0005-0000-0000-000056200000}"/>
    <cellStyle name="Normal 9 5 2 4 2 2 2" xfId="26910" xr:uid="{50899159-4C19-41DB-9BAD-1BBDB9A83A87}"/>
    <cellStyle name="Normal 9 5 2 4 2 2 3" xfId="35357" xr:uid="{2543A0FF-1184-4A27-AD0D-A8CC39395B54}"/>
    <cellStyle name="Normal 9 5 2 4 2 2 4" xfId="43804" xr:uid="{E9C15F92-5631-4E6F-A281-530EE10320C6}"/>
    <cellStyle name="Normal 9 5 2 4 2 2 5" xfId="17610" xr:uid="{B00B8A53-9A0F-47A9-AC15-F6CBADB0C623}"/>
    <cellStyle name="Normal 9 5 2 4 2 3" xfId="22693" xr:uid="{751A3700-C4CA-4EAE-BCDE-EB750F92D9E7}"/>
    <cellStyle name="Normal 9 5 2 4 2 4" xfId="31140" xr:uid="{E12FE13D-3676-46C7-BAEC-7D01B0873388}"/>
    <cellStyle name="Normal 9 5 2 4 2 5" xfId="39587" xr:uid="{4865B9E2-F980-4D20-AB3E-226B5E811B1B}"/>
    <cellStyle name="Normal 9 5 2 4 2 6" xfId="13393" xr:uid="{3DF85D71-0CC8-4C34-B329-B72CC4B50869}"/>
    <cellStyle name="Normal 9 5 2 4 3" xfId="6139" xr:uid="{00000000-0005-0000-0000-000057200000}"/>
    <cellStyle name="Normal 9 5 2 4 3 2" xfId="24765" xr:uid="{B7AD50C6-A540-4AC3-AB2F-F986CCCCB79F}"/>
    <cellStyle name="Normal 9 5 2 4 3 3" xfId="33212" xr:uid="{2BA521FE-F061-4E09-ACCC-614ED6B8B91B}"/>
    <cellStyle name="Normal 9 5 2 4 3 4" xfId="41659" xr:uid="{F41376C2-4112-4809-92F5-AC78A8E3B3AF}"/>
    <cellStyle name="Normal 9 5 2 4 3 5" xfId="15465" xr:uid="{022A441F-6991-4842-A094-9C090E02DAF0}"/>
    <cellStyle name="Normal 9 5 2 4 4" xfId="20548" xr:uid="{F6AA104C-731B-4D4A-BD4F-E713D4A930EC}"/>
    <cellStyle name="Normal 9 5 2 4 5" xfId="28995" xr:uid="{4873D882-06B2-4DEF-A112-D239ECE88E90}"/>
    <cellStyle name="Normal 9 5 2 4 6" xfId="37442" xr:uid="{3FCB1825-7010-4D68-85BF-FE801ECAD6A3}"/>
    <cellStyle name="Normal 9 5 2 4 7" xfId="11248" xr:uid="{28DC8774-762A-4C83-A60B-7F3458AEB2D2}"/>
    <cellStyle name="Normal 9 5 2 5" xfId="2246" xr:uid="{00000000-0005-0000-0000-000058200000}"/>
    <cellStyle name="Normal 9 5 2 5 2" xfId="4475" xr:uid="{00000000-0005-0000-0000-000059200000}"/>
    <cellStyle name="Normal 9 5 2 5 2 2" xfId="8697" xr:uid="{00000000-0005-0000-0000-00005A200000}"/>
    <cellStyle name="Normal 9 5 2 5 2 2 2" xfId="27323" xr:uid="{64F212ED-28FF-43E2-9250-47B5A556F7F5}"/>
    <cellStyle name="Normal 9 5 2 5 2 2 3" xfId="35770" xr:uid="{B9D6F6A5-14DE-4E05-8258-821C470AA1C8}"/>
    <cellStyle name="Normal 9 5 2 5 2 2 4" xfId="44217" xr:uid="{DAC73FDA-8847-43C3-8365-C1ECD39C0E08}"/>
    <cellStyle name="Normal 9 5 2 5 2 2 5" xfId="18023" xr:uid="{9E74E05A-C216-40BE-AAC6-676966ABB8E6}"/>
    <cellStyle name="Normal 9 5 2 5 2 3" xfId="23106" xr:uid="{A9B4429A-AC47-4E28-AA95-3E8D54E6BFBE}"/>
    <cellStyle name="Normal 9 5 2 5 2 4" xfId="31553" xr:uid="{44BE9235-0B37-412B-9DA9-F824676EDD6C}"/>
    <cellStyle name="Normal 9 5 2 5 2 5" xfId="40000" xr:uid="{3271FB26-B5F0-40A5-9C8F-3E22D62AD147}"/>
    <cellStyle name="Normal 9 5 2 5 2 6" xfId="13806" xr:uid="{4FC45BCC-85C4-4487-9C75-59E9FBBC4630}"/>
    <cellStyle name="Normal 9 5 2 5 3" xfId="6552" xr:uid="{00000000-0005-0000-0000-00005B200000}"/>
    <cellStyle name="Normal 9 5 2 5 3 2" xfId="25178" xr:uid="{6BA6A33B-A78D-48A4-966C-56AEF6C16DEF}"/>
    <cellStyle name="Normal 9 5 2 5 3 3" xfId="33625" xr:uid="{6CE28614-260F-43BC-87EE-9486D7C2242A}"/>
    <cellStyle name="Normal 9 5 2 5 3 4" xfId="42072" xr:uid="{9FB575D1-7778-4F2C-AC36-9B608B2EE6A2}"/>
    <cellStyle name="Normal 9 5 2 5 3 5" xfId="15878" xr:uid="{468F93A1-70AE-4FAF-AD91-A3060A8B377D}"/>
    <cellStyle name="Normal 9 5 2 5 4" xfId="20961" xr:uid="{A7ACEF47-8B1A-4935-B7E7-D88A708F04C6}"/>
    <cellStyle name="Normal 9 5 2 5 5" xfId="29408" xr:uid="{E68FBA90-5A9D-4F76-8138-ED1A1285176E}"/>
    <cellStyle name="Normal 9 5 2 5 6" xfId="37855" xr:uid="{FD6B78C9-A117-445E-8A0C-59CB8C8D5185}"/>
    <cellStyle name="Normal 9 5 2 5 7" xfId="11661" xr:uid="{D37C906E-DCF3-49C2-BDD1-8B47AA1B3AAC}"/>
    <cellStyle name="Normal 9 5 2 6" xfId="2682" xr:uid="{00000000-0005-0000-0000-00005C200000}"/>
    <cellStyle name="Normal 9 5 2 6 2" xfId="6965" xr:uid="{00000000-0005-0000-0000-00005D200000}"/>
    <cellStyle name="Normal 9 5 2 6 2 2" xfId="25591" xr:uid="{5B94BEAC-46D9-4A10-9864-4DF06AE351BC}"/>
    <cellStyle name="Normal 9 5 2 6 2 3" xfId="34038" xr:uid="{9F283B2A-737A-4602-8DBD-8DAF771411FB}"/>
    <cellStyle name="Normal 9 5 2 6 2 4" xfId="42485" xr:uid="{A29214EB-CC9F-4AE6-95A2-BE1EA0A6A777}"/>
    <cellStyle name="Normal 9 5 2 6 2 5" xfId="16291" xr:uid="{DFF3BE47-D9A2-41AE-A7A0-ED9E9791E356}"/>
    <cellStyle name="Normal 9 5 2 6 3" xfId="21374" xr:uid="{BD6843D0-3CA7-4A3A-A0F0-6ACEF029A24C}"/>
    <cellStyle name="Normal 9 5 2 6 4" xfId="29821" xr:uid="{CC829E3E-5123-4C9C-88BF-F0FB14AB221A}"/>
    <cellStyle name="Normal 9 5 2 6 5" xfId="38268" xr:uid="{15B07F43-06DA-49D8-9AF2-112075DE148F}"/>
    <cellStyle name="Normal 9 5 2 6 6" xfId="12074" xr:uid="{231724D9-67F5-4A93-9F7E-C8B4C97C634C}"/>
    <cellStyle name="Normal 9 5 2 7" xfId="4900" xr:uid="{00000000-0005-0000-0000-00005E200000}"/>
    <cellStyle name="Normal 9 5 2 7 2" xfId="23526" xr:uid="{0283E578-F2BB-4AAA-813A-1BC7EAE5FA78}"/>
    <cellStyle name="Normal 9 5 2 7 3" xfId="31973" xr:uid="{A75261ED-9BB7-4A4A-A830-56F653940760}"/>
    <cellStyle name="Normal 9 5 2 7 4" xfId="40420" xr:uid="{2FF6C2DD-B396-4818-9577-598F61B1BA2F}"/>
    <cellStyle name="Normal 9 5 2 7 5" xfId="14226" xr:uid="{53614163-C56E-4E7C-9A47-468877161E08}"/>
    <cellStyle name="Normal 9 5 2 8" xfId="9055" xr:uid="{3DD071E2-A4B3-45E3-9F20-3C2D5AEE5CB2}"/>
    <cellStyle name="Normal 9 5 2 8 2" xfId="18379" xr:uid="{14244B3A-1601-46E2-83B1-6062F2606E76}"/>
    <cellStyle name="Normal 9 5 2 9" xfId="19309" xr:uid="{2A205862-38F7-487D-81C0-34569B73904A}"/>
    <cellStyle name="Normal 9 5 3" xfId="1003" xr:uid="{00000000-0005-0000-0000-00005F200000}"/>
    <cellStyle name="Normal 9 5 3 2" xfId="3235" xr:uid="{00000000-0005-0000-0000-000060200000}"/>
    <cellStyle name="Normal 9 5 3 2 2" xfId="7457" xr:uid="{00000000-0005-0000-0000-000061200000}"/>
    <cellStyle name="Normal 9 5 3 2 2 2" xfId="26083" xr:uid="{BEFAA6B6-79B9-42EA-B7D7-C3E431FC46F6}"/>
    <cellStyle name="Normal 9 5 3 2 2 3" xfId="34530" xr:uid="{B8071C33-EC5A-43F0-A3A4-4C37DA376C43}"/>
    <cellStyle name="Normal 9 5 3 2 2 4" xfId="42977" xr:uid="{6900C43D-E9C2-4041-8BD2-67085693E37E}"/>
    <cellStyle name="Normal 9 5 3 2 2 5" xfId="16783" xr:uid="{FBA83C84-F148-437A-8BAE-E86CC2BCD627}"/>
    <cellStyle name="Normal 9 5 3 2 3" xfId="21866" xr:uid="{A9A5D302-EF59-4CEA-9104-021F6CDC2212}"/>
    <cellStyle name="Normal 9 5 3 2 4" xfId="30313" xr:uid="{DD180862-3819-4B07-A743-A98C9536A02E}"/>
    <cellStyle name="Normal 9 5 3 2 5" xfId="38760" xr:uid="{9553F3DF-EF23-4B62-A1C8-6E7289923B04}"/>
    <cellStyle name="Normal 9 5 3 2 6" xfId="12566" xr:uid="{4576578A-60BE-48B4-A5DC-38B71C630EDE}"/>
    <cellStyle name="Normal 9 5 3 3" xfId="5312" xr:uid="{00000000-0005-0000-0000-000062200000}"/>
    <cellStyle name="Normal 9 5 3 3 2" xfId="23938" xr:uid="{4BDC0666-4A44-4899-A66C-3844546D3F23}"/>
    <cellStyle name="Normal 9 5 3 3 3" xfId="32385" xr:uid="{EEFF0C30-D104-4A56-9008-175A796AAE6A}"/>
    <cellStyle name="Normal 9 5 3 3 4" xfId="40832" xr:uid="{70E622E5-0E8D-42A7-86AF-7B3C21677420}"/>
    <cellStyle name="Normal 9 5 3 3 5" xfId="14638" xr:uid="{06D2DC0C-B2F3-4363-8ADC-A988B0E706E3}"/>
    <cellStyle name="Normal 9 5 3 4" xfId="9273" xr:uid="{AE6CB61B-02C5-436E-A328-3B2AC8AC9E53}"/>
    <cellStyle name="Normal 9 5 3 4 2" xfId="18589" xr:uid="{43E71B8A-A83D-47A2-A34E-9ABA004A6618}"/>
    <cellStyle name="Normal 9 5 3 5" xfId="19721" xr:uid="{ECE107C4-FEAC-453C-BEDB-A09E88369156}"/>
    <cellStyle name="Normal 9 5 3 6" xfId="28168" xr:uid="{BE133CCC-8C58-43AB-95AF-76B598A68446}"/>
    <cellStyle name="Normal 9 5 3 7" xfId="36615" xr:uid="{C424958D-6E7B-437E-B672-F05D3B3FC827}"/>
    <cellStyle name="Normal 9 5 3 8" xfId="10421" xr:uid="{2555F561-17B2-4B0C-800A-9E73E2013E90}"/>
    <cellStyle name="Normal 9 5 4" xfId="1418" xr:uid="{00000000-0005-0000-0000-000063200000}"/>
    <cellStyle name="Normal 9 5 4 2" xfId="3648" xr:uid="{00000000-0005-0000-0000-000064200000}"/>
    <cellStyle name="Normal 9 5 4 2 2" xfId="7870" xr:uid="{00000000-0005-0000-0000-000065200000}"/>
    <cellStyle name="Normal 9 5 4 2 2 2" xfId="26496" xr:uid="{C3610862-B3C2-4994-A5F7-8DF66DEA9A52}"/>
    <cellStyle name="Normal 9 5 4 2 2 3" xfId="34943" xr:uid="{3742CF02-BF37-498D-9E61-DD54E6C0193D}"/>
    <cellStyle name="Normal 9 5 4 2 2 4" xfId="43390" xr:uid="{069C8C72-CBFB-4AA4-AB85-4D22C035C3D0}"/>
    <cellStyle name="Normal 9 5 4 2 2 5" xfId="17196" xr:uid="{B7A993C2-C37B-4CDB-92B1-9D9A5068CFA9}"/>
    <cellStyle name="Normal 9 5 4 2 3" xfId="22279" xr:uid="{B6593D91-1F7A-44E5-8581-46EE636ACE0A}"/>
    <cellStyle name="Normal 9 5 4 2 4" xfId="30726" xr:uid="{3C158BF3-F155-43F5-9A60-2F8525025DD9}"/>
    <cellStyle name="Normal 9 5 4 2 5" xfId="39173" xr:uid="{EED0DCFF-8775-4404-9008-2C04081FE7A1}"/>
    <cellStyle name="Normal 9 5 4 2 6" xfId="12979" xr:uid="{DC22FDFB-A3F2-48AE-8A84-5723DC19C8A2}"/>
    <cellStyle name="Normal 9 5 4 3" xfId="5725" xr:uid="{00000000-0005-0000-0000-000066200000}"/>
    <cellStyle name="Normal 9 5 4 3 2" xfId="24351" xr:uid="{C26BD8C2-1B27-49B6-850E-E14EADE08588}"/>
    <cellStyle name="Normal 9 5 4 3 3" xfId="32798" xr:uid="{94F6B1C9-804D-4788-AB41-0C97228137E8}"/>
    <cellStyle name="Normal 9 5 4 3 4" xfId="41245" xr:uid="{C9B7A76D-27A0-43DB-AF9D-CEC124A8EF4E}"/>
    <cellStyle name="Normal 9 5 4 3 5" xfId="15051" xr:uid="{7DC08705-A437-494D-8D45-93EF750BA1C2}"/>
    <cellStyle name="Normal 9 5 4 4" xfId="20134" xr:uid="{71A64797-8E2F-4B13-AD1D-9C73F13DE432}"/>
    <cellStyle name="Normal 9 5 4 5" xfId="28581" xr:uid="{E415FE05-00DD-44EC-AFB1-A5376E5EFC6F}"/>
    <cellStyle name="Normal 9 5 4 6" xfId="37028" xr:uid="{799C41EF-2B4E-4940-835E-3D2691CB460E}"/>
    <cellStyle name="Normal 9 5 4 7" xfId="10834" xr:uid="{4D6C7922-71EA-42CD-840B-79BC00D4ABCE}"/>
    <cellStyle name="Normal 9 5 5" xfId="1831" xr:uid="{00000000-0005-0000-0000-000067200000}"/>
    <cellStyle name="Normal 9 5 5 2" xfId="4061" xr:uid="{00000000-0005-0000-0000-000068200000}"/>
    <cellStyle name="Normal 9 5 5 2 2" xfId="8283" xr:uid="{00000000-0005-0000-0000-000069200000}"/>
    <cellStyle name="Normal 9 5 5 2 2 2" xfId="26909" xr:uid="{24E2BB6F-260A-4945-B6C1-270AF9720ABB}"/>
    <cellStyle name="Normal 9 5 5 2 2 3" xfId="35356" xr:uid="{BE354A33-26D6-43B3-9C62-9B006CFC92DE}"/>
    <cellStyle name="Normal 9 5 5 2 2 4" xfId="43803" xr:uid="{6665746A-B459-4827-B279-2F0AE2B2EB04}"/>
    <cellStyle name="Normal 9 5 5 2 2 5" xfId="17609" xr:uid="{915D11A6-D576-44CC-A877-CAF3597C959F}"/>
    <cellStyle name="Normal 9 5 5 2 3" xfId="22692" xr:uid="{1CE6FCBD-938C-42AB-BC35-2BAA90E8CB88}"/>
    <cellStyle name="Normal 9 5 5 2 4" xfId="31139" xr:uid="{FA118A93-C92B-42D1-B4C4-60636D0961D4}"/>
    <cellStyle name="Normal 9 5 5 2 5" xfId="39586" xr:uid="{2C4EC68B-8E97-471D-8482-DDF6A6E2C461}"/>
    <cellStyle name="Normal 9 5 5 2 6" xfId="13392" xr:uid="{811C830D-81D0-44D5-B45D-C00215EBFF8F}"/>
    <cellStyle name="Normal 9 5 5 3" xfId="6138" xr:uid="{00000000-0005-0000-0000-00006A200000}"/>
    <cellStyle name="Normal 9 5 5 3 2" xfId="24764" xr:uid="{BFA59CCC-CF47-4D73-9629-B99ED7D4BBFA}"/>
    <cellStyle name="Normal 9 5 5 3 3" xfId="33211" xr:uid="{6E6ADCAD-DA46-43B7-A094-90359B19FF97}"/>
    <cellStyle name="Normal 9 5 5 3 4" xfId="41658" xr:uid="{7DA46519-A790-4550-A31C-95438F645E6F}"/>
    <cellStyle name="Normal 9 5 5 3 5" xfId="15464" xr:uid="{B6BD4D77-73D8-489A-976D-49A0DA058907}"/>
    <cellStyle name="Normal 9 5 5 4" xfId="20547" xr:uid="{5DE5D862-2839-45B8-AD1A-AB443729036D}"/>
    <cellStyle name="Normal 9 5 5 5" xfId="28994" xr:uid="{8105CDBA-E0FE-4840-856A-310C967FC835}"/>
    <cellStyle name="Normal 9 5 5 6" xfId="37441" xr:uid="{E30329EA-7F35-43A6-AD73-99A192EBF691}"/>
    <cellStyle name="Normal 9 5 5 7" xfId="11247" xr:uid="{F14C99D4-50BF-4FB0-8022-024EF6B765FF}"/>
    <cellStyle name="Normal 9 5 6" xfId="2245" xr:uid="{00000000-0005-0000-0000-00006B200000}"/>
    <cellStyle name="Normal 9 5 6 2" xfId="4474" xr:uid="{00000000-0005-0000-0000-00006C200000}"/>
    <cellStyle name="Normal 9 5 6 2 2" xfId="8696" xr:uid="{00000000-0005-0000-0000-00006D200000}"/>
    <cellStyle name="Normal 9 5 6 2 2 2" xfId="27322" xr:uid="{B7FB49BD-884E-46D0-8835-C410CCDA6963}"/>
    <cellStyle name="Normal 9 5 6 2 2 3" xfId="35769" xr:uid="{CC4F42B7-297F-4527-AC9D-0393C0B7E75D}"/>
    <cellStyle name="Normal 9 5 6 2 2 4" xfId="44216" xr:uid="{7395C367-0559-4F58-9DC9-B2E41295B1EE}"/>
    <cellStyle name="Normal 9 5 6 2 2 5" xfId="18022" xr:uid="{58288F4F-1644-40E7-85B7-7D5E629311C6}"/>
    <cellStyle name="Normal 9 5 6 2 3" xfId="23105" xr:uid="{ADA89A6A-4D51-4A65-B8BC-997724146DC8}"/>
    <cellStyle name="Normal 9 5 6 2 4" xfId="31552" xr:uid="{099BC239-C6C5-4187-96DD-087CFB5FA41C}"/>
    <cellStyle name="Normal 9 5 6 2 5" xfId="39999" xr:uid="{FEF53A97-BEDB-4928-B801-1315B13A0F6A}"/>
    <cellStyle name="Normal 9 5 6 2 6" xfId="13805" xr:uid="{9DE3E4AE-BA95-435C-840A-38AF7B018A15}"/>
    <cellStyle name="Normal 9 5 6 3" xfId="6551" xr:uid="{00000000-0005-0000-0000-00006E200000}"/>
    <cellStyle name="Normal 9 5 6 3 2" xfId="25177" xr:uid="{F7874A8B-0AAE-4D65-A30A-58C62AE36795}"/>
    <cellStyle name="Normal 9 5 6 3 3" xfId="33624" xr:uid="{BFA57848-B0F0-4398-AD10-C79CBD4F1BEB}"/>
    <cellStyle name="Normal 9 5 6 3 4" xfId="42071" xr:uid="{C02AA879-17AD-40AA-A6D2-72D929A5ECEC}"/>
    <cellStyle name="Normal 9 5 6 3 5" xfId="15877" xr:uid="{EBA2C4A1-3F4D-41C6-B1F4-28C6F5AD7F60}"/>
    <cellStyle name="Normal 9 5 6 4" xfId="20960" xr:uid="{30835449-EB91-4B03-8E7E-EB7DBC491AEA}"/>
    <cellStyle name="Normal 9 5 6 5" xfId="29407" xr:uid="{55F5F898-4E9E-49C9-AB17-518ACD8236AC}"/>
    <cellStyle name="Normal 9 5 6 6" xfId="37854" xr:uid="{03100FE3-D289-4D9C-B3B8-0F2E3051A5B0}"/>
    <cellStyle name="Normal 9 5 6 7" xfId="11660" xr:uid="{1EC271D8-6EB8-4F2A-8CC6-77549F548C98}"/>
    <cellStyle name="Normal 9 5 7" xfId="2681" xr:uid="{00000000-0005-0000-0000-00006F200000}"/>
    <cellStyle name="Normal 9 5 7 2" xfId="6964" xr:uid="{00000000-0005-0000-0000-000070200000}"/>
    <cellStyle name="Normal 9 5 7 2 2" xfId="25590" xr:uid="{80D8F87E-2BE8-418D-89AB-C96682B67B3F}"/>
    <cellStyle name="Normal 9 5 7 2 3" xfId="34037" xr:uid="{ED8D2069-6FA7-48EB-939F-F0102B9B57EF}"/>
    <cellStyle name="Normal 9 5 7 2 4" xfId="42484" xr:uid="{1331D0C3-1317-4F85-8379-174C2656FB5F}"/>
    <cellStyle name="Normal 9 5 7 2 5" xfId="16290" xr:uid="{3697C22A-9A39-4D13-9A4E-A09DCCB314AD}"/>
    <cellStyle name="Normal 9 5 7 3" xfId="21373" xr:uid="{6EFB7C3F-9DF5-4085-8BCD-B23B2AEE9EBE}"/>
    <cellStyle name="Normal 9 5 7 4" xfId="29820" xr:uid="{8453B2DC-D1CD-4BE6-8713-65CA04CEFDE3}"/>
    <cellStyle name="Normal 9 5 7 5" xfId="38267" xr:uid="{8774EB88-B296-410B-A3F3-C54D2029D1C4}"/>
    <cellStyle name="Normal 9 5 7 6" xfId="12073" xr:uid="{F3AEE5E6-5B33-4EE8-8E11-4C25D409BE18}"/>
    <cellStyle name="Normal 9 5 8" xfId="4899" xr:uid="{00000000-0005-0000-0000-000071200000}"/>
    <cellStyle name="Normal 9 5 8 2" xfId="23525" xr:uid="{479CD7A8-F4C1-4BEF-B193-8FC4EA7D1DA8}"/>
    <cellStyle name="Normal 9 5 8 3" xfId="31972" xr:uid="{72008006-1C32-4E4A-B2E3-C2833E635D73}"/>
    <cellStyle name="Normal 9 5 8 4" xfId="40419" xr:uid="{3A5FAFB1-C06F-4D57-8C32-7F31CBA78D20}"/>
    <cellStyle name="Normal 9 5 8 5" xfId="14225" xr:uid="{97684DBB-57E4-4FEF-B5DF-A3E3EE87BD21}"/>
    <cellStyle name="Normal 9 5 9" xfId="8848" xr:uid="{B1BE5F70-14E5-42B6-9EBA-D267F3B60A08}"/>
    <cellStyle name="Normal 9 5 9 2" xfId="18172" xr:uid="{C4D261B7-A7BC-4627-8161-C049B0D546C7}"/>
    <cellStyle name="Normal 9 6" xfId="538" xr:uid="{00000000-0005-0000-0000-000072200000}"/>
    <cellStyle name="Normal 9 6 10" xfId="27757" xr:uid="{1D945EBE-4506-4244-BD79-E7ABCF0C8374}"/>
    <cellStyle name="Normal 9 6 11" xfId="36204" xr:uid="{991E5FE2-E87B-4327-AD44-5272DF970D04}"/>
    <cellStyle name="Normal 9 6 12" xfId="10010" xr:uid="{41D5A16D-BE9D-44D2-814B-339E97042332}"/>
    <cellStyle name="Normal 9 6 2" xfId="1005" xr:uid="{00000000-0005-0000-0000-000073200000}"/>
    <cellStyle name="Normal 9 6 2 2" xfId="3237" xr:uid="{00000000-0005-0000-0000-000074200000}"/>
    <cellStyle name="Normal 9 6 2 2 2" xfId="7459" xr:uid="{00000000-0005-0000-0000-000075200000}"/>
    <cellStyle name="Normal 9 6 2 2 2 2" xfId="26085" xr:uid="{A65F1B09-1C94-43C3-971A-24FB77825299}"/>
    <cellStyle name="Normal 9 6 2 2 2 3" xfId="34532" xr:uid="{3532F6F6-117E-4B9B-8466-30045AC4A19D}"/>
    <cellStyle name="Normal 9 6 2 2 2 4" xfId="42979" xr:uid="{1843631A-1BD8-4AD8-9720-9F8D52FEE856}"/>
    <cellStyle name="Normal 9 6 2 2 2 5" xfId="16785" xr:uid="{18C82F2E-0011-47DF-B017-6A25E77DC587}"/>
    <cellStyle name="Normal 9 6 2 2 3" xfId="21868" xr:uid="{1CD0D8CD-1C05-4E59-AE74-DAE4D7112543}"/>
    <cellStyle name="Normal 9 6 2 2 4" xfId="30315" xr:uid="{596C1309-0E0A-4EA2-A6C4-E7B97B2640F3}"/>
    <cellStyle name="Normal 9 6 2 2 5" xfId="38762" xr:uid="{4C1A1FD5-DE97-4D51-9C42-D1E6EF6374FC}"/>
    <cellStyle name="Normal 9 6 2 2 6" xfId="12568" xr:uid="{131FE4D9-0658-400E-A419-C02DC9176511}"/>
    <cellStyle name="Normal 9 6 2 3" xfId="5314" xr:uid="{00000000-0005-0000-0000-000076200000}"/>
    <cellStyle name="Normal 9 6 2 3 2" xfId="23940" xr:uid="{18BBDB6A-553C-4BE2-A471-37EB4AE62F91}"/>
    <cellStyle name="Normal 9 6 2 3 3" xfId="32387" xr:uid="{BA2B9A49-E779-4FE8-9C0E-9E14DC059B2A}"/>
    <cellStyle name="Normal 9 6 2 3 4" xfId="40834" xr:uid="{E6FB7ADB-1E62-457F-AA2B-02E1BB339DBF}"/>
    <cellStyle name="Normal 9 6 2 3 5" xfId="14640" xr:uid="{4C71F454-AE18-44CC-9AD0-2E4ECC1B0E49}"/>
    <cellStyle name="Normal 9 6 2 4" xfId="9389" xr:uid="{2A0458F6-466A-4C3B-BA39-FF09FD770FDD}"/>
    <cellStyle name="Normal 9 6 2 4 2" xfId="18705" xr:uid="{B3C28FE8-8CB5-453D-9543-CE25B0C8FC0B}"/>
    <cellStyle name="Normal 9 6 2 5" xfId="19723" xr:uid="{5C4E9558-B4AA-48E8-81B2-8CA6EC37C77A}"/>
    <cellStyle name="Normal 9 6 2 6" xfId="28170" xr:uid="{AA1DEC73-BF66-4F37-9079-49AE4630F06F}"/>
    <cellStyle name="Normal 9 6 2 7" xfId="36617" xr:uid="{EA19866B-A4A0-4F3B-869B-FE31FBBCB70D}"/>
    <cellStyle name="Normal 9 6 2 8" xfId="10423" xr:uid="{256C524D-5B32-43FE-AA6B-575BDE090B4D}"/>
    <cellStyle name="Normal 9 6 3" xfId="1420" xr:uid="{00000000-0005-0000-0000-000077200000}"/>
    <cellStyle name="Normal 9 6 3 2" xfId="3650" xr:uid="{00000000-0005-0000-0000-000078200000}"/>
    <cellStyle name="Normal 9 6 3 2 2" xfId="7872" xr:uid="{00000000-0005-0000-0000-000079200000}"/>
    <cellStyle name="Normal 9 6 3 2 2 2" xfId="26498" xr:uid="{64C5D337-F8D5-4EEF-88C9-F75662BEFEC4}"/>
    <cellStyle name="Normal 9 6 3 2 2 3" xfId="34945" xr:uid="{878D0B0C-D1E1-40BD-B2B0-58FC2085F2BE}"/>
    <cellStyle name="Normal 9 6 3 2 2 4" xfId="43392" xr:uid="{EFAC0D71-DE99-4B3C-A3B4-336CE7AF488F}"/>
    <cellStyle name="Normal 9 6 3 2 2 5" xfId="17198" xr:uid="{87C8318E-D96C-406A-8A0F-0813F288D9D9}"/>
    <cellStyle name="Normal 9 6 3 2 3" xfId="22281" xr:uid="{8B05F924-4E23-417F-867C-81DD68C308F4}"/>
    <cellStyle name="Normal 9 6 3 2 4" xfId="30728" xr:uid="{E907965A-2464-4194-BDC9-5390F958C1C8}"/>
    <cellStyle name="Normal 9 6 3 2 5" xfId="39175" xr:uid="{92E499FF-6363-4989-AF40-851BEA0C4808}"/>
    <cellStyle name="Normal 9 6 3 2 6" xfId="12981" xr:uid="{90F1F659-5D19-4A08-9AC1-A4709FA10A01}"/>
    <cellStyle name="Normal 9 6 3 3" xfId="5727" xr:uid="{00000000-0005-0000-0000-00007A200000}"/>
    <cellStyle name="Normal 9 6 3 3 2" xfId="24353" xr:uid="{D7A124BE-0B9E-41AB-AEDD-37BFA6773651}"/>
    <cellStyle name="Normal 9 6 3 3 3" xfId="32800" xr:uid="{19540B9F-B2D8-47C6-8F2B-3BCDDC3D9BCA}"/>
    <cellStyle name="Normal 9 6 3 3 4" xfId="41247" xr:uid="{0E719896-57A0-4E52-B753-1CEA061A0884}"/>
    <cellStyle name="Normal 9 6 3 3 5" xfId="15053" xr:uid="{73B8DD9E-B55A-4A65-BBAB-12F573AA2A20}"/>
    <cellStyle name="Normal 9 6 3 4" xfId="20136" xr:uid="{9C15E189-26EA-4675-B4CF-EBAD3FA1AC9A}"/>
    <cellStyle name="Normal 9 6 3 5" xfId="28583" xr:uid="{A45E7751-40E2-4CF3-B634-E2B5C27F8A39}"/>
    <cellStyle name="Normal 9 6 3 6" xfId="37030" xr:uid="{B15B3AAE-67ED-4269-A8B6-345704452450}"/>
    <cellStyle name="Normal 9 6 3 7" xfId="10836" xr:uid="{2A1F883B-9978-4711-8AD2-6E35B8C3AD20}"/>
    <cellStyle name="Normal 9 6 4" xfId="1833" xr:uid="{00000000-0005-0000-0000-00007B200000}"/>
    <cellStyle name="Normal 9 6 4 2" xfId="4063" xr:uid="{00000000-0005-0000-0000-00007C200000}"/>
    <cellStyle name="Normal 9 6 4 2 2" xfId="8285" xr:uid="{00000000-0005-0000-0000-00007D200000}"/>
    <cellStyle name="Normal 9 6 4 2 2 2" xfId="26911" xr:uid="{F1AE15E3-979A-4995-A5F0-EA2F239D4ADB}"/>
    <cellStyle name="Normal 9 6 4 2 2 3" xfId="35358" xr:uid="{FA81E41C-0CDA-4200-9AA6-54F505870ABE}"/>
    <cellStyle name="Normal 9 6 4 2 2 4" xfId="43805" xr:uid="{BCABAE8B-9E6F-4033-8F4C-2CB786E49044}"/>
    <cellStyle name="Normal 9 6 4 2 2 5" xfId="17611" xr:uid="{BC6C11E1-5127-48F3-84F0-20D552E30CF8}"/>
    <cellStyle name="Normal 9 6 4 2 3" xfId="22694" xr:uid="{8454B12F-257F-498F-B107-34B7D0801D70}"/>
    <cellStyle name="Normal 9 6 4 2 4" xfId="31141" xr:uid="{111ECC11-7C3B-4E5F-B5CC-90BC4C25944C}"/>
    <cellStyle name="Normal 9 6 4 2 5" xfId="39588" xr:uid="{0A679807-A602-43E5-8A26-82D8B63EAEA3}"/>
    <cellStyle name="Normal 9 6 4 2 6" xfId="13394" xr:uid="{3CD3252D-F5AB-4DF6-B725-7F2A2B81ECA4}"/>
    <cellStyle name="Normal 9 6 4 3" xfId="6140" xr:uid="{00000000-0005-0000-0000-00007E200000}"/>
    <cellStyle name="Normal 9 6 4 3 2" xfId="24766" xr:uid="{0ADEB78E-61FB-4582-A3CD-5D94E5D0F857}"/>
    <cellStyle name="Normal 9 6 4 3 3" xfId="33213" xr:uid="{03BD60E6-0722-475A-973F-C651DB5F1F44}"/>
    <cellStyle name="Normal 9 6 4 3 4" xfId="41660" xr:uid="{75C51AF5-C99A-449F-801F-7F4571C7FF4B}"/>
    <cellStyle name="Normal 9 6 4 3 5" xfId="15466" xr:uid="{8C51A646-F24F-4637-A57E-83FBB619A9E8}"/>
    <cellStyle name="Normal 9 6 4 4" xfId="20549" xr:uid="{EF2746E7-7128-4076-8DAF-4EC5AEFA1340}"/>
    <cellStyle name="Normal 9 6 4 5" xfId="28996" xr:uid="{26BA6F94-A58A-4977-B221-4F46631F8C64}"/>
    <cellStyle name="Normal 9 6 4 6" xfId="37443" xr:uid="{282C3B36-027D-45DB-96C8-E82B6F9AA98E}"/>
    <cellStyle name="Normal 9 6 4 7" xfId="11249" xr:uid="{2D489EC2-CC9C-4B2F-8C9C-493D1BF2E250}"/>
    <cellStyle name="Normal 9 6 5" xfId="2247" xr:uid="{00000000-0005-0000-0000-00007F200000}"/>
    <cellStyle name="Normal 9 6 5 2" xfId="4476" xr:uid="{00000000-0005-0000-0000-000080200000}"/>
    <cellStyle name="Normal 9 6 5 2 2" xfId="8698" xr:uid="{00000000-0005-0000-0000-000081200000}"/>
    <cellStyle name="Normal 9 6 5 2 2 2" xfId="27324" xr:uid="{3EDC298F-5861-4DED-8E73-2F65306DEC68}"/>
    <cellStyle name="Normal 9 6 5 2 2 3" xfId="35771" xr:uid="{45008403-13C2-4D7C-9ADC-70D317C027D7}"/>
    <cellStyle name="Normal 9 6 5 2 2 4" xfId="44218" xr:uid="{91A41E0F-3BE8-4CD4-A414-7BE75084A0FD}"/>
    <cellStyle name="Normal 9 6 5 2 2 5" xfId="18024" xr:uid="{A075EC08-26EC-4920-A11B-9393AF425206}"/>
    <cellStyle name="Normal 9 6 5 2 3" xfId="23107" xr:uid="{B1112023-7039-43A9-871C-0968EBA62A02}"/>
    <cellStyle name="Normal 9 6 5 2 4" xfId="31554" xr:uid="{B796364B-4F18-4FF9-8626-88807CF41ABD}"/>
    <cellStyle name="Normal 9 6 5 2 5" xfId="40001" xr:uid="{70BF42A7-B968-45BA-889B-676D54C0EE09}"/>
    <cellStyle name="Normal 9 6 5 2 6" xfId="13807" xr:uid="{82A7BCEE-5D48-4D96-926E-3B9F59B1AB10}"/>
    <cellStyle name="Normal 9 6 5 3" xfId="6553" xr:uid="{00000000-0005-0000-0000-000082200000}"/>
    <cellStyle name="Normal 9 6 5 3 2" xfId="25179" xr:uid="{90E49E27-91AF-4684-B2A5-08767DEC2B07}"/>
    <cellStyle name="Normal 9 6 5 3 3" xfId="33626" xr:uid="{1927DB6B-D122-40CC-A1CB-1DB5BB751B31}"/>
    <cellStyle name="Normal 9 6 5 3 4" xfId="42073" xr:uid="{D53746C6-2177-4FB6-B437-241FF011140C}"/>
    <cellStyle name="Normal 9 6 5 3 5" xfId="15879" xr:uid="{BFB6D372-4370-4089-8960-4620C5522A9E}"/>
    <cellStyle name="Normal 9 6 5 4" xfId="20962" xr:uid="{ED6F7B24-E9C8-46F1-ACEC-1B45ADF4677F}"/>
    <cellStyle name="Normal 9 6 5 5" xfId="29409" xr:uid="{0CC61D54-D41D-414D-A7A6-982CBFB12F55}"/>
    <cellStyle name="Normal 9 6 5 6" xfId="37856" xr:uid="{42E71DBA-8B57-40EE-99B4-161BFE86D4F5}"/>
    <cellStyle name="Normal 9 6 5 7" xfId="11662" xr:uid="{42D3C616-9B26-48B0-BC62-C5DC1C7A6424}"/>
    <cellStyle name="Normal 9 6 6" xfId="2683" xr:uid="{00000000-0005-0000-0000-000083200000}"/>
    <cellStyle name="Normal 9 6 6 2" xfId="6966" xr:uid="{00000000-0005-0000-0000-000084200000}"/>
    <cellStyle name="Normal 9 6 6 2 2" xfId="25592" xr:uid="{6C8AC745-0BDF-4935-A9A4-2ED3D966ABAD}"/>
    <cellStyle name="Normal 9 6 6 2 3" xfId="34039" xr:uid="{8A20AB74-D09F-453E-8A76-E2546681C6BA}"/>
    <cellStyle name="Normal 9 6 6 2 4" xfId="42486" xr:uid="{C8B93D3E-F1B7-49C7-95F2-C9B83EC74EE4}"/>
    <cellStyle name="Normal 9 6 6 2 5" xfId="16292" xr:uid="{955D0B6A-8E19-454F-942A-53FDAC1C35E4}"/>
    <cellStyle name="Normal 9 6 6 3" xfId="21375" xr:uid="{DA2F7A25-54C6-4F83-AB91-78CEC90335A2}"/>
    <cellStyle name="Normal 9 6 6 4" xfId="29822" xr:uid="{CACBFED3-420C-49FA-AADE-1C336A707097}"/>
    <cellStyle name="Normal 9 6 6 5" xfId="38269" xr:uid="{23C2F228-296D-4085-92B6-4F77DD9D50D6}"/>
    <cellStyle name="Normal 9 6 6 6" xfId="12075" xr:uid="{BA0F3609-F2F8-431E-862E-BCA1EB2EE228}"/>
    <cellStyle name="Normal 9 6 7" xfId="4901" xr:uid="{00000000-0005-0000-0000-000085200000}"/>
    <cellStyle name="Normal 9 6 7 2" xfId="23527" xr:uid="{9E317DFE-49D1-4716-94E2-5D8C63F5CDF4}"/>
    <cellStyle name="Normal 9 6 7 3" xfId="31974" xr:uid="{4024071F-C69C-4097-AEB0-BD6CFD3D675B}"/>
    <cellStyle name="Normal 9 6 7 4" xfId="40421" xr:uid="{F00895FF-AEFF-41D7-8E1D-7511B44F3806}"/>
    <cellStyle name="Normal 9 6 7 5" xfId="14227" xr:uid="{6C671FE7-8869-42B1-814D-3A157FA46F6C}"/>
    <cellStyle name="Normal 9 6 8" xfId="8964" xr:uid="{9BBC9C46-7A3A-4BC9-9542-DC33DFA165C2}"/>
    <cellStyle name="Normal 9 6 8 2" xfId="18288" xr:uid="{63D9D8B3-BF6D-46FB-A878-F784C1F43EA6}"/>
    <cellStyle name="Normal 9 6 9" xfId="19310" xr:uid="{7E0E8ECC-BD98-43B3-9517-4D81AF39C1F1}"/>
    <cellStyle name="Normal 9 7" xfId="977" xr:uid="{00000000-0005-0000-0000-000086200000}"/>
    <cellStyle name="Normal 9 7 2" xfId="9609" xr:uid="{1246D22D-2382-4FAF-A8D6-CB26E2B9F9CE}"/>
    <cellStyle name="Normal 9 7 3" xfId="9167" xr:uid="{F9EED645-1D44-43CF-99A5-77176BA4CE36}"/>
    <cellStyle name="Normal 9 7 3 2" xfId="18486" xr:uid="{FD034077-DB18-46C3-8C3D-84457F021AC2}"/>
    <cellStyle name="Normal 9 8" xfId="8745" xr:uid="{C1852A12-4F74-491B-976C-56AD8D4478B4}"/>
    <cellStyle name="Normal 9 8 2" xfId="18069" xr:uid="{E7ADC52D-460F-44FB-9A82-D8A56F0E2901}"/>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0 2 2" xfId="25673" xr:uid="{CDA5A253-05A8-4CCE-A598-6CEB0E1E4C18}"/>
    <cellStyle name="Note 2 2 10 2 3" xfId="34120" xr:uid="{43820B4D-59E7-4B41-8297-342ADFBB989B}"/>
    <cellStyle name="Note 2 2 10 2 4" xfId="42567" xr:uid="{4D51FB23-1968-4E48-8576-B69B6998386D}"/>
    <cellStyle name="Note 2 2 10 2 5" xfId="16373" xr:uid="{062200BB-0AD1-4864-B29A-77558323602E}"/>
    <cellStyle name="Note 2 2 10 3" xfId="21456" xr:uid="{E0CD8C9A-988B-45D8-BEB6-6D7F694233E3}"/>
    <cellStyle name="Note 2 2 10 4" xfId="29903" xr:uid="{67ED8CBD-D469-4EB9-9F43-64ACAA49CC59}"/>
    <cellStyle name="Note 2 2 10 5" xfId="38350" xr:uid="{52C28742-D90A-41DB-864E-73BC525D189E}"/>
    <cellStyle name="Note 2 2 10 6" xfId="12156" xr:uid="{AB971699-BD01-480E-8F59-AF4A512AD0BC}"/>
    <cellStyle name="Note 2 2 11" xfId="4902" xr:uid="{00000000-0005-0000-0000-000094200000}"/>
    <cellStyle name="Note 2 2 11 2" xfId="23528" xr:uid="{685466CE-F387-4787-9105-C22E29FF872A}"/>
    <cellStyle name="Note 2 2 11 3" xfId="31975" xr:uid="{D0E90D30-7103-4EE9-A126-E0B3EE2FAAFE}"/>
    <cellStyle name="Note 2 2 11 4" xfId="40422" xr:uid="{9AB51505-B141-478B-A8C3-BD19FD4626D6}"/>
    <cellStyle name="Note 2 2 11 5" xfId="14228" xr:uid="{1CFA6AD4-4125-4974-BB67-8FBF4DD77FD9}"/>
    <cellStyle name="Note 2 2 12" xfId="8841" xr:uid="{E94E1FD8-31C4-4718-9658-C7A587CBF323}"/>
    <cellStyle name="Note 2 2 12 2" xfId="18165" xr:uid="{98CE30F4-124B-46AF-A7F6-5F2009B579E3}"/>
    <cellStyle name="Note 2 2 13" xfId="19311" xr:uid="{F3E8A322-A672-47FC-A788-E9C12C2B9377}"/>
    <cellStyle name="Note 2 2 14" xfId="27758" xr:uid="{0656E47D-3F00-4676-9899-66191CDDAB08}"/>
    <cellStyle name="Note 2 2 15" xfId="36205" xr:uid="{E2FB65ED-ED8B-4B37-BF0C-88C1B4761F97}"/>
    <cellStyle name="Note 2 2 16" xfId="10011" xr:uid="{78BAE179-D461-42A8-BC8E-E96E1982DB9D}"/>
    <cellStyle name="Note 2 2 2" xfId="546" xr:uid="{00000000-0005-0000-0000-000095200000}"/>
    <cellStyle name="Note 2 2 2 10" xfId="4903" xr:uid="{00000000-0005-0000-0000-000096200000}"/>
    <cellStyle name="Note 2 2 2 10 2" xfId="23529" xr:uid="{3A936F42-EAF5-4A00-99B6-F088A9771A58}"/>
    <cellStyle name="Note 2 2 2 10 3" xfId="31976" xr:uid="{2C4C369F-4BEB-4B95-8767-F17706BD2860}"/>
    <cellStyle name="Note 2 2 2 10 4" xfId="40423" xr:uid="{F122F8EC-3E0F-4DC2-B134-F687ABDD165E}"/>
    <cellStyle name="Note 2 2 2 10 5" xfId="14229" xr:uid="{B9C65F39-9E88-46FA-99BC-9A849518905E}"/>
    <cellStyle name="Note 2 2 2 11" xfId="8944" xr:uid="{B75A3404-A4A3-41D6-B6C3-54560C6DD592}"/>
    <cellStyle name="Note 2 2 2 11 2" xfId="18268" xr:uid="{9856188D-AEC4-4BF6-A28E-37EDE127255A}"/>
    <cellStyle name="Note 2 2 2 12" xfId="19312" xr:uid="{65D0EB52-E8AD-48B2-BC71-88A83907A6DC}"/>
    <cellStyle name="Note 2 2 2 13" xfId="27759" xr:uid="{10E53FD2-D0F2-4017-A7D4-C1647D39F0BF}"/>
    <cellStyle name="Note 2 2 2 14" xfId="36206" xr:uid="{1B3D01FA-5CC5-4075-B530-3AA006B48737}"/>
    <cellStyle name="Note 2 2 2 15" xfId="10012" xr:uid="{AE6450F3-D771-4879-8000-0136DD4B5800}"/>
    <cellStyle name="Note 2 2 2 2" xfId="547" xr:uid="{00000000-0005-0000-0000-000097200000}"/>
    <cellStyle name="Note 2 2 2 2 10" xfId="9151" xr:uid="{DE810DD8-00EC-4339-9CFC-C84D5E182971}"/>
    <cellStyle name="Note 2 2 2 2 10 2" xfId="18475" xr:uid="{45593FC6-700C-43EA-860F-3DA621854C22}"/>
    <cellStyle name="Note 2 2 2 2 11" xfId="19313" xr:uid="{A056C643-B0DF-4D76-B88A-86D3B78DAB99}"/>
    <cellStyle name="Note 2 2 2 2 12" xfId="27760" xr:uid="{A14507DD-4FD8-462A-8380-60D08CB7269D}"/>
    <cellStyle name="Note 2 2 2 2 13" xfId="36207" xr:uid="{837B9947-359A-4691-B99B-B0F934EF1C06}"/>
    <cellStyle name="Note 2 2 2 2 14" xfId="10013" xr:uid="{1C4BBB7E-0E97-48C8-A536-F00179C6B44A}"/>
    <cellStyle name="Note 2 2 2 2 2" xfId="1008" xr:uid="{00000000-0005-0000-0000-000098200000}"/>
    <cellStyle name="Note 2 2 2 2 2 2" xfId="3240" xr:uid="{00000000-0005-0000-0000-000099200000}"/>
    <cellStyle name="Note 2 2 2 2 2 2 2" xfId="7462" xr:uid="{00000000-0005-0000-0000-00009A200000}"/>
    <cellStyle name="Note 2 2 2 2 2 2 2 2" xfId="26088" xr:uid="{457BA294-F1A6-4358-8A40-CC32F00CF14C}"/>
    <cellStyle name="Note 2 2 2 2 2 2 2 3" xfId="34535" xr:uid="{C9469D0A-D633-4C53-8B97-3CC00307BEDE}"/>
    <cellStyle name="Note 2 2 2 2 2 2 2 4" xfId="42982" xr:uid="{319E7F10-A746-471E-9C1A-086977A90BAB}"/>
    <cellStyle name="Note 2 2 2 2 2 2 2 5" xfId="16788" xr:uid="{F1F876D7-1117-40F7-9EDD-C69405204D95}"/>
    <cellStyle name="Note 2 2 2 2 2 2 3" xfId="21871" xr:uid="{ECA67152-A4A1-43E0-8E64-8D7A98843335}"/>
    <cellStyle name="Note 2 2 2 2 2 2 4" xfId="30318" xr:uid="{1C083AAD-0670-41D1-8EE8-8F7939C4CE34}"/>
    <cellStyle name="Note 2 2 2 2 2 2 5" xfId="38765" xr:uid="{90A1D723-DBF1-4EE2-A51D-BFE5316E8FCB}"/>
    <cellStyle name="Note 2 2 2 2 2 2 6" xfId="12571" xr:uid="{DC76E613-4439-4DD8-918A-460E0B109278}"/>
    <cellStyle name="Note 2 2 2 2 2 3" xfId="5317" xr:uid="{00000000-0005-0000-0000-00009B200000}"/>
    <cellStyle name="Note 2 2 2 2 2 3 2" xfId="23943" xr:uid="{CD35495F-0C5A-48AA-8261-4948F2AB0EB5}"/>
    <cellStyle name="Note 2 2 2 2 2 3 3" xfId="32390" xr:uid="{C7ABDE59-2C4F-419D-BE34-154063019651}"/>
    <cellStyle name="Note 2 2 2 2 2 3 4" xfId="40837" xr:uid="{A11861B6-A5AB-4A28-B552-B61332E94E2A}"/>
    <cellStyle name="Note 2 2 2 2 2 3 5" xfId="14643" xr:uid="{219A63FF-56E1-49E6-84D4-AD7499471180}"/>
    <cellStyle name="Note 2 2 2 2 2 4" xfId="9576" xr:uid="{375E296C-598F-454E-B7C4-9E851CE02ED2}"/>
    <cellStyle name="Note 2 2 2 2 2 4 2" xfId="18892" xr:uid="{39DFEF53-0966-4200-9C92-09C8DBD8AB5A}"/>
    <cellStyle name="Note 2 2 2 2 2 5" xfId="19726" xr:uid="{A848E685-F0FC-4F65-A55F-37BA7AB05BBB}"/>
    <cellStyle name="Note 2 2 2 2 2 6" xfId="28173" xr:uid="{7EF8C089-5DE1-4793-8322-740CB16AFE4A}"/>
    <cellStyle name="Note 2 2 2 2 2 7" xfId="36620" xr:uid="{7170C243-430C-4684-8F40-8048FA8E14AD}"/>
    <cellStyle name="Note 2 2 2 2 2 8" xfId="10426" xr:uid="{91223D27-A996-4D07-9AA4-7EC035AC3A48}"/>
    <cellStyle name="Note 2 2 2 2 3" xfId="1423" xr:uid="{00000000-0005-0000-0000-00009C200000}"/>
    <cellStyle name="Note 2 2 2 2 3 2" xfId="3653" xr:uid="{00000000-0005-0000-0000-00009D200000}"/>
    <cellStyle name="Note 2 2 2 2 3 2 2" xfId="7875" xr:uid="{00000000-0005-0000-0000-00009E200000}"/>
    <cellStyle name="Note 2 2 2 2 3 2 2 2" xfId="26501" xr:uid="{EDD3DC00-A145-4A00-94D5-E3ED048DFB2D}"/>
    <cellStyle name="Note 2 2 2 2 3 2 2 3" xfId="34948" xr:uid="{39B7C89C-F018-4E74-8FAB-3CF636E37189}"/>
    <cellStyle name="Note 2 2 2 2 3 2 2 4" xfId="43395" xr:uid="{24F554C6-B79E-42C6-A50F-C428193EE8A2}"/>
    <cellStyle name="Note 2 2 2 2 3 2 2 5" xfId="17201" xr:uid="{79B15CF7-42ED-4AA4-8FB2-D0D83AE84EA0}"/>
    <cellStyle name="Note 2 2 2 2 3 2 3" xfId="22284" xr:uid="{49C9AB90-711D-4640-9011-A59FDCB96B46}"/>
    <cellStyle name="Note 2 2 2 2 3 2 4" xfId="30731" xr:uid="{36A89538-D052-4A01-9DA5-276E270DDC86}"/>
    <cellStyle name="Note 2 2 2 2 3 2 5" xfId="39178" xr:uid="{75F763AF-8E23-4C30-90FF-75BE1F7DD4EA}"/>
    <cellStyle name="Note 2 2 2 2 3 2 6" xfId="12984" xr:uid="{CBDE4D43-A8CF-40A6-B703-AD7DB8962628}"/>
    <cellStyle name="Note 2 2 2 2 3 3" xfId="5730" xr:uid="{00000000-0005-0000-0000-00009F200000}"/>
    <cellStyle name="Note 2 2 2 2 3 3 2" xfId="24356" xr:uid="{9AAFED7B-6A3D-4008-AD26-21F2010DB5F8}"/>
    <cellStyle name="Note 2 2 2 2 3 3 3" xfId="32803" xr:uid="{6A02CCD6-ACBD-4EA5-B5AA-E51F35F3635C}"/>
    <cellStyle name="Note 2 2 2 2 3 3 4" xfId="41250" xr:uid="{C224987B-FF18-432F-916D-B76438E5AE4A}"/>
    <cellStyle name="Note 2 2 2 2 3 3 5" xfId="15056" xr:uid="{C9351469-25C5-470A-8EE7-074CFBA3E9FF}"/>
    <cellStyle name="Note 2 2 2 2 3 4" xfId="20139" xr:uid="{9CA61CF4-6079-479A-A2DE-8ED5AFD294C7}"/>
    <cellStyle name="Note 2 2 2 2 3 5" xfId="28586" xr:uid="{670B8F27-4529-42CE-A222-3545FF64475D}"/>
    <cellStyle name="Note 2 2 2 2 3 6" xfId="37033" xr:uid="{8DF38BAF-C8DF-4470-BACA-1DA2D800D000}"/>
    <cellStyle name="Note 2 2 2 2 3 7" xfId="10839" xr:uid="{6F2E0F2F-5B90-40F8-9455-16EE6E8C6C43}"/>
    <cellStyle name="Note 2 2 2 2 4" xfId="1837" xr:uid="{00000000-0005-0000-0000-0000A0200000}"/>
    <cellStyle name="Note 2 2 2 2 4 2" xfId="4066" xr:uid="{00000000-0005-0000-0000-0000A1200000}"/>
    <cellStyle name="Note 2 2 2 2 4 2 2" xfId="8288" xr:uid="{00000000-0005-0000-0000-0000A2200000}"/>
    <cellStyle name="Note 2 2 2 2 4 2 2 2" xfId="26914" xr:uid="{34F01D6D-C319-4A01-9AE8-F742F45C238F}"/>
    <cellStyle name="Note 2 2 2 2 4 2 2 3" xfId="35361" xr:uid="{74BA81D6-5812-4C54-B368-4B1F41B65C78}"/>
    <cellStyle name="Note 2 2 2 2 4 2 2 4" xfId="43808" xr:uid="{C43B7304-C176-4951-BF52-E7D17712F971}"/>
    <cellStyle name="Note 2 2 2 2 4 2 2 5" xfId="17614" xr:uid="{696FE6F1-E536-4EA0-85D8-3C9305C8F096}"/>
    <cellStyle name="Note 2 2 2 2 4 2 3" xfId="22697" xr:uid="{0F95C6EE-80BA-4438-B3E2-C2649C0A9E7A}"/>
    <cellStyle name="Note 2 2 2 2 4 2 4" xfId="31144" xr:uid="{91942193-7662-4540-866D-24E25E668E04}"/>
    <cellStyle name="Note 2 2 2 2 4 2 5" xfId="39591" xr:uid="{08A35A46-E2BA-476E-948A-857F77CA4F84}"/>
    <cellStyle name="Note 2 2 2 2 4 2 6" xfId="13397" xr:uid="{D5A93334-FA17-4A74-8A2E-4C43795FA4C4}"/>
    <cellStyle name="Note 2 2 2 2 4 3" xfId="6143" xr:uid="{00000000-0005-0000-0000-0000A3200000}"/>
    <cellStyle name="Note 2 2 2 2 4 3 2" xfId="24769" xr:uid="{5A4927E1-6DCB-4357-9053-2E3CF080014D}"/>
    <cellStyle name="Note 2 2 2 2 4 3 3" xfId="33216" xr:uid="{E5557F90-29B2-485F-975A-E970112FB342}"/>
    <cellStyle name="Note 2 2 2 2 4 3 4" xfId="41663" xr:uid="{D8A3334E-3B41-43E4-996C-E9EF6735AF45}"/>
    <cellStyle name="Note 2 2 2 2 4 3 5" xfId="15469" xr:uid="{6ECE9894-CD05-4784-8202-854F43095878}"/>
    <cellStyle name="Note 2 2 2 2 4 4" xfId="20552" xr:uid="{292017B0-41D1-45D9-B0DA-333CDE6161A1}"/>
    <cellStyle name="Note 2 2 2 2 4 5" xfId="28999" xr:uid="{0E7AD352-9098-4E8B-ABF6-172024A2F5D5}"/>
    <cellStyle name="Note 2 2 2 2 4 6" xfId="37446" xr:uid="{31637731-446B-4FBA-93E3-542FB25B3D77}"/>
    <cellStyle name="Note 2 2 2 2 4 7" xfId="11252" xr:uid="{84754D9D-1AE4-45E9-8349-BC0BF0DACD32}"/>
    <cellStyle name="Note 2 2 2 2 5" xfId="2250" xr:uid="{00000000-0005-0000-0000-0000A4200000}"/>
    <cellStyle name="Note 2 2 2 2 5 2" xfId="4479" xr:uid="{00000000-0005-0000-0000-0000A5200000}"/>
    <cellStyle name="Note 2 2 2 2 5 2 2" xfId="8701" xr:uid="{00000000-0005-0000-0000-0000A6200000}"/>
    <cellStyle name="Note 2 2 2 2 5 2 2 2" xfId="27327" xr:uid="{4D807C0E-8486-4878-9DD3-9CF7C4A84AE0}"/>
    <cellStyle name="Note 2 2 2 2 5 2 2 3" xfId="35774" xr:uid="{28290BC7-A7B0-489A-9951-A376CBF2316B}"/>
    <cellStyle name="Note 2 2 2 2 5 2 2 4" xfId="44221" xr:uid="{D54D6501-6380-4CDC-8F9F-690DB1F99058}"/>
    <cellStyle name="Note 2 2 2 2 5 2 2 5" xfId="18027" xr:uid="{A58ADC02-B9E5-43A8-A8D7-595972EDC7D1}"/>
    <cellStyle name="Note 2 2 2 2 5 2 3" xfId="23110" xr:uid="{177DDF66-B071-4A2B-81BE-11EC7C66FBE6}"/>
    <cellStyle name="Note 2 2 2 2 5 2 4" xfId="31557" xr:uid="{7E0672AF-2B14-4EA6-8DEC-22C5ADF68F43}"/>
    <cellStyle name="Note 2 2 2 2 5 2 5" xfId="40004" xr:uid="{852ABF7F-4F5D-4ED8-A0D6-BC7FEA0C63AA}"/>
    <cellStyle name="Note 2 2 2 2 5 2 6" xfId="13810" xr:uid="{40AD1D81-270D-43D7-A0B2-10F30C7BF515}"/>
    <cellStyle name="Note 2 2 2 2 5 3" xfId="6556" xr:uid="{00000000-0005-0000-0000-0000A7200000}"/>
    <cellStyle name="Note 2 2 2 2 5 3 2" xfId="25182" xr:uid="{69FD011A-9D80-4626-B5C5-CB9909C28E47}"/>
    <cellStyle name="Note 2 2 2 2 5 3 3" xfId="33629" xr:uid="{E3FA8ED3-0629-4DCA-9145-A5C1F87382BC}"/>
    <cellStyle name="Note 2 2 2 2 5 3 4" xfId="42076" xr:uid="{F15ECB24-2466-434D-9398-B464C53EA837}"/>
    <cellStyle name="Note 2 2 2 2 5 3 5" xfId="15882" xr:uid="{0A0D81BA-80D7-4077-838E-7C97A86EA56E}"/>
    <cellStyle name="Note 2 2 2 2 5 4" xfId="20965" xr:uid="{09023B91-70B7-46D8-841C-C07EB13E7A81}"/>
    <cellStyle name="Note 2 2 2 2 5 5" xfId="29412" xr:uid="{8DA4D004-53AB-4D56-83F7-11D0A8159A4B}"/>
    <cellStyle name="Note 2 2 2 2 5 6" xfId="37859" xr:uid="{34DDD6F7-4B16-4F59-B4C1-AE5B3B23DE38}"/>
    <cellStyle name="Note 2 2 2 2 5 7" xfId="11665" xr:uid="{6022EFFC-55CC-4641-8D94-26C69F392A0B}"/>
    <cellStyle name="Note 2 2 2 2 6" xfId="2686" xr:uid="{00000000-0005-0000-0000-0000A8200000}"/>
    <cellStyle name="Note 2 2 2 2 6 2" xfId="6969" xr:uid="{00000000-0005-0000-0000-0000A9200000}"/>
    <cellStyle name="Note 2 2 2 2 6 2 2" xfId="25595" xr:uid="{69C6A5C0-FB89-41F2-BB07-2376A6C29784}"/>
    <cellStyle name="Note 2 2 2 2 6 2 3" xfId="34042" xr:uid="{88E3E0EF-B747-44E0-AAAC-B21E20F5E205}"/>
    <cellStyle name="Note 2 2 2 2 6 2 4" xfId="42489" xr:uid="{025AE275-4F54-48F8-8C72-CD149DAAABDF}"/>
    <cellStyle name="Note 2 2 2 2 6 2 5" xfId="16295" xr:uid="{C5AE6CF1-FE49-47DB-9E79-6845472841CE}"/>
    <cellStyle name="Note 2 2 2 2 6 3" xfId="21378" xr:uid="{F0AA9F47-1F4C-4D21-9AFD-EAE50D23F105}"/>
    <cellStyle name="Note 2 2 2 2 6 4" xfId="29825" xr:uid="{0154210D-4B28-4179-9F51-D874367F5002}"/>
    <cellStyle name="Note 2 2 2 2 6 5" xfId="38272" xr:uid="{E6008BA0-60A5-4624-AA41-45CDAFCF3A86}"/>
    <cellStyle name="Note 2 2 2 2 6 6" xfId="12078" xr:uid="{B16DC166-C975-40EE-8379-17CAC5DC5588}"/>
    <cellStyle name="Note 2 2 2 2 7" xfId="2745" xr:uid="{00000000-0005-0000-0000-0000AA200000}"/>
    <cellStyle name="Note 2 2 2 2 8" xfId="2826" xr:uid="{00000000-0005-0000-0000-0000AB200000}"/>
    <cellStyle name="Note 2 2 2 2 8 2" xfId="7049" xr:uid="{00000000-0005-0000-0000-0000AC200000}"/>
    <cellStyle name="Note 2 2 2 2 8 2 2" xfId="25675" xr:uid="{80050554-5675-4479-8CDF-A87616907016}"/>
    <cellStyle name="Note 2 2 2 2 8 2 3" xfId="34122" xr:uid="{75B1920E-0A30-4E41-A25D-55F0973F57F3}"/>
    <cellStyle name="Note 2 2 2 2 8 2 4" xfId="42569" xr:uid="{BA9901EE-A631-4274-A0EA-1B8CB6019BD3}"/>
    <cellStyle name="Note 2 2 2 2 8 2 5" xfId="16375" xr:uid="{A87C5663-0841-46BD-B01D-9817DE82F4E6}"/>
    <cellStyle name="Note 2 2 2 2 8 3" xfId="21458" xr:uid="{BE32AEF8-C8B4-4A51-A0E8-AC80ED497F88}"/>
    <cellStyle name="Note 2 2 2 2 8 4" xfId="29905" xr:uid="{C600ACAC-390C-43BE-AAB4-A0EA93D71C9F}"/>
    <cellStyle name="Note 2 2 2 2 8 5" xfId="38352" xr:uid="{760F1C90-B06E-48AD-856F-E537449C6893}"/>
    <cellStyle name="Note 2 2 2 2 8 6" xfId="12158" xr:uid="{2D9E886B-3CAB-4FE4-9883-BE49BBE4E5D2}"/>
    <cellStyle name="Note 2 2 2 2 9" xfId="4904" xr:uid="{00000000-0005-0000-0000-0000AD200000}"/>
    <cellStyle name="Note 2 2 2 2 9 2" xfId="23530" xr:uid="{17541CA2-27B5-43A4-8DBF-8ED413ECAD1B}"/>
    <cellStyle name="Note 2 2 2 2 9 3" xfId="31977" xr:uid="{FFB9EA39-F2F2-40D1-8A14-F8A1233DD6F3}"/>
    <cellStyle name="Note 2 2 2 2 9 4" xfId="40424" xr:uid="{ACE961C1-4732-400A-83CB-E0B2EE0E069D}"/>
    <cellStyle name="Note 2 2 2 2 9 5" xfId="14230" xr:uid="{D36D87B0-A36B-4A28-8F70-CCC98398A9FF}"/>
    <cellStyle name="Note 2 2 2 3" xfId="1007" xr:uid="{00000000-0005-0000-0000-0000AE200000}"/>
    <cellStyle name="Note 2 2 2 3 2" xfId="3239" xr:uid="{00000000-0005-0000-0000-0000AF200000}"/>
    <cellStyle name="Note 2 2 2 3 2 2" xfId="7461" xr:uid="{00000000-0005-0000-0000-0000B0200000}"/>
    <cellStyle name="Note 2 2 2 3 2 2 2" xfId="26087" xr:uid="{EAF4038F-6F0A-4DA3-BFB8-60F1E83A2FD5}"/>
    <cellStyle name="Note 2 2 2 3 2 2 3" xfId="34534" xr:uid="{61AE3A1D-4D82-4A8D-B137-877BC133F5BC}"/>
    <cellStyle name="Note 2 2 2 3 2 2 4" xfId="42981" xr:uid="{F6E524A9-F3B3-4561-8F36-156A5A58AA2A}"/>
    <cellStyle name="Note 2 2 2 3 2 2 5" xfId="16787" xr:uid="{D77EA47E-486D-4013-AEAF-99424A17B613}"/>
    <cellStyle name="Note 2 2 2 3 2 3" xfId="21870" xr:uid="{F0FB1D52-9FFB-4D36-AB92-C79C81EC5D5F}"/>
    <cellStyle name="Note 2 2 2 3 2 4" xfId="30317" xr:uid="{B5D7D1AE-2A8E-4BDC-BEE4-779D5176520E}"/>
    <cellStyle name="Note 2 2 2 3 2 5" xfId="38764" xr:uid="{C788EFAE-8B70-45F3-A473-973604962C9F}"/>
    <cellStyle name="Note 2 2 2 3 2 6" xfId="12570" xr:uid="{90E9156D-F15C-4B5D-BA69-035704170B1A}"/>
    <cellStyle name="Note 2 2 2 3 3" xfId="5316" xr:uid="{00000000-0005-0000-0000-0000B1200000}"/>
    <cellStyle name="Note 2 2 2 3 3 2" xfId="23942" xr:uid="{1E1186A8-022C-4C84-A308-00DD2F004422}"/>
    <cellStyle name="Note 2 2 2 3 3 3" xfId="32389" xr:uid="{591A03DF-41AD-4C90-9C0D-6CFB5CA0FA42}"/>
    <cellStyle name="Note 2 2 2 3 3 4" xfId="40836" xr:uid="{664D1C62-474B-4C68-A078-69C5DC2868A3}"/>
    <cellStyle name="Note 2 2 2 3 3 5" xfId="14642" xr:uid="{36DB345F-32C5-48D5-8917-44B68BA20B0D}"/>
    <cellStyle name="Note 2 2 2 3 4" xfId="9369" xr:uid="{37FCA23B-964B-404F-A343-B489211FDCDC}"/>
    <cellStyle name="Note 2 2 2 3 4 2" xfId="18685" xr:uid="{5274E45D-4916-4962-B411-6A8A7ECABD44}"/>
    <cellStyle name="Note 2 2 2 3 5" xfId="19725" xr:uid="{29F5CDE1-79D7-426D-852E-7709E9204366}"/>
    <cellStyle name="Note 2 2 2 3 6" xfId="28172" xr:uid="{4F23A023-D017-4872-B2AA-5A4350E4C4D0}"/>
    <cellStyle name="Note 2 2 2 3 7" xfId="36619" xr:uid="{5D37F43E-5A5B-4D29-869D-D11045998AD6}"/>
    <cellStyle name="Note 2 2 2 3 8" xfId="10425" xr:uid="{D3A8213F-5280-4806-BE07-CDE62B7C753C}"/>
    <cellStyle name="Note 2 2 2 4" xfId="1422" xr:uid="{00000000-0005-0000-0000-0000B2200000}"/>
    <cellStyle name="Note 2 2 2 4 2" xfId="3652" xr:uid="{00000000-0005-0000-0000-0000B3200000}"/>
    <cellStyle name="Note 2 2 2 4 2 2" xfId="7874" xr:uid="{00000000-0005-0000-0000-0000B4200000}"/>
    <cellStyle name="Note 2 2 2 4 2 2 2" xfId="26500" xr:uid="{4DC62A29-9EB9-4DC0-BE83-6FE3E2838B7D}"/>
    <cellStyle name="Note 2 2 2 4 2 2 3" xfId="34947" xr:uid="{CA40F384-607E-49C3-A758-A2717FA88566}"/>
    <cellStyle name="Note 2 2 2 4 2 2 4" xfId="43394" xr:uid="{4A14FDF1-371F-41C6-86A7-457C4A8A600D}"/>
    <cellStyle name="Note 2 2 2 4 2 2 5" xfId="17200" xr:uid="{6A5FCA1E-084E-4D1D-8292-EC34B877834B}"/>
    <cellStyle name="Note 2 2 2 4 2 3" xfId="22283" xr:uid="{75FD0AAF-84D6-40C3-9803-9BEDC6153406}"/>
    <cellStyle name="Note 2 2 2 4 2 4" xfId="30730" xr:uid="{AE663C73-1FB9-4B06-BA77-7D0DBB5681E5}"/>
    <cellStyle name="Note 2 2 2 4 2 5" xfId="39177" xr:uid="{C998BB2E-11BF-4B23-A511-2375B25C9304}"/>
    <cellStyle name="Note 2 2 2 4 2 6" xfId="12983" xr:uid="{7F77F8E4-DC23-4F76-A426-D4C0B58674E5}"/>
    <cellStyle name="Note 2 2 2 4 3" xfId="5729" xr:uid="{00000000-0005-0000-0000-0000B5200000}"/>
    <cellStyle name="Note 2 2 2 4 3 2" xfId="24355" xr:uid="{94DD861A-6B0E-4914-BF90-22481A54CF64}"/>
    <cellStyle name="Note 2 2 2 4 3 3" xfId="32802" xr:uid="{7429B4BA-953B-4227-8428-50EBE66F3CC9}"/>
    <cellStyle name="Note 2 2 2 4 3 4" xfId="41249" xr:uid="{21D60247-1954-4EFF-AA9D-CA18A4994589}"/>
    <cellStyle name="Note 2 2 2 4 3 5" xfId="15055" xr:uid="{08DA7BA8-820E-4555-BCC3-1D1C9C3998A6}"/>
    <cellStyle name="Note 2 2 2 4 4" xfId="20138" xr:uid="{228EFE4E-7F25-4191-A24D-5530616DC530}"/>
    <cellStyle name="Note 2 2 2 4 5" xfId="28585" xr:uid="{239C9395-932A-4ED5-B4D2-73EBCF2917BB}"/>
    <cellStyle name="Note 2 2 2 4 6" xfId="37032" xr:uid="{11152432-D9CD-4CBD-BE9D-9CC9D8A4AB2B}"/>
    <cellStyle name="Note 2 2 2 4 7" xfId="10838" xr:uid="{31F72695-96A4-4396-A0BF-C8EB07C94AAC}"/>
    <cellStyle name="Note 2 2 2 5" xfId="1836" xr:uid="{00000000-0005-0000-0000-0000B6200000}"/>
    <cellStyle name="Note 2 2 2 5 2" xfId="4065" xr:uid="{00000000-0005-0000-0000-0000B7200000}"/>
    <cellStyle name="Note 2 2 2 5 2 2" xfId="8287" xr:uid="{00000000-0005-0000-0000-0000B8200000}"/>
    <cellStyle name="Note 2 2 2 5 2 2 2" xfId="26913" xr:uid="{EA3141B6-565F-4369-B6B7-B12A86A0E352}"/>
    <cellStyle name="Note 2 2 2 5 2 2 3" xfId="35360" xr:uid="{AFF11C09-CEB6-4DD9-9EC8-2216D5A20482}"/>
    <cellStyle name="Note 2 2 2 5 2 2 4" xfId="43807" xr:uid="{A5E9826D-8C96-467D-9510-DCE626120B32}"/>
    <cellStyle name="Note 2 2 2 5 2 2 5" xfId="17613" xr:uid="{944DE258-A0E5-4EB0-BBE9-DEF481D9C11C}"/>
    <cellStyle name="Note 2 2 2 5 2 3" xfId="22696" xr:uid="{2227A317-DA5A-4370-A0D7-8F8384EC7E74}"/>
    <cellStyle name="Note 2 2 2 5 2 4" xfId="31143" xr:uid="{3A779149-E416-4812-9FAF-0824AFDF92DE}"/>
    <cellStyle name="Note 2 2 2 5 2 5" xfId="39590" xr:uid="{4A0799DB-6FE5-456D-8FC3-04C113581311}"/>
    <cellStyle name="Note 2 2 2 5 2 6" xfId="13396" xr:uid="{41E9F422-0B82-47B6-A64E-48C5EABF328E}"/>
    <cellStyle name="Note 2 2 2 5 3" xfId="6142" xr:uid="{00000000-0005-0000-0000-0000B9200000}"/>
    <cellStyle name="Note 2 2 2 5 3 2" xfId="24768" xr:uid="{2DCEF6C4-8234-40AA-AABC-B8AE429A463F}"/>
    <cellStyle name="Note 2 2 2 5 3 3" xfId="33215" xr:uid="{44C3452A-7D9F-43FE-9239-6F9950588700}"/>
    <cellStyle name="Note 2 2 2 5 3 4" xfId="41662" xr:uid="{F8A171AC-0AED-40C4-ADB3-632366BDFACE}"/>
    <cellStyle name="Note 2 2 2 5 3 5" xfId="15468" xr:uid="{B34316BB-175C-4331-B247-12F24587044A}"/>
    <cellStyle name="Note 2 2 2 5 4" xfId="20551" xr:uid="{911F35B3-A61E-4069-8615-243186020051}"/>
    <cellStyle name="Note 2 2 2 5 5" xfId="28998" xr:uid="{EC16ADE4-C9E8-4A4C-880D-6924440E655B}"/>
    <cellStyle name="Note 2 2 2 5 6" xfId="37445" xr:uid="{554EF165-6109-4337-BBF9-36E029AC9554}"/>
    <cellStyle name="Note 2 2 2 5 7" xfId="11251" xr:uid="{F09C4180-8D91-4268-83D7-08FDF6176284}"/>
    <cellStyle name="Note 2 2 2 6" xfId="2249" xr:uid="{00000000-0005-0000-0000-0000BA200000}"/>
    <cellStyle name="Note 2 2 2 6 2" xfId="4478" xr:uid="{00000000-0005-0000-0000-0000BB200000}"/>
    <cellStyle name="Note 2 2 2 6 2 2" xfId="8700" xr:uid="{00000000-0005-0000-0000-0000BC200000}"/>
    <cellStyle name="Note 2 2 2 6 2 2 2" xfId="27326" xr:uid="{87ED57FB-FB5F-4B06-9959-E1324AA3B1AC}"/>
    <cellStyle name="Note 2 2 2 6 2 2 3" xfId="35773" xr:uid="{00C0538A-8234-44A5-94C7-8A6C79D7CB07}"/>
    <cellStyle name="Note 2 2 2 6 2 2 4" xfId="44220" xr:uid="{D97C0723-402E-4995-BFD6-05141A51B1C2}"/>
    <cellStyle name="Note 2 2 2 6 2 2 5" xfId="18026" xr:uid="{C81CE0C8-EC41-4BBC-BE19-953D5E477E68}"/>
    <cellStyle name="Note 2 2 2 6 2 3" xfId="23109" xr:uid="{75638489-4ED8-464D-9B88-CB8ED188C79B}"/>
    <cellStyle name="Note 2 2 2 6 2 4" xfId="31556" xr:uid="{594DDA9D-3143-434B-9F13-B3FDE60D51E0}"/>
    <cellStyle name="Note 2 2 2 6 2 5" xfId="40003" xr:uid="{608D0D7B-3BF6-43E8-ADA6-A5EF9AB2CD5B}"/>
    <cellStyle name="Note 2 2 2 6 2 6" xfId="13809" xr:uid="{780CF677-4205-4487-890E-6F0D1580BFAF}"/>
    <cellStyle name="Note 2 2 2 6 3" xfId="6555" xr:uid="{00000000-0005-0000-0000-0000BD200000}"/>
    <cellStyle name="Note 2 2 2 6 3 2" xfId="25181" xr:uid="{20CBB4C7-4490-49B1-B706-1427F6F14B3E}"/>
    <cellStyle name="Note 2 2 2 6 3 3" xfId="33628" xr:uid="{91D0CC40-E4A1-4D7A-9D47-19B9BA074076}"/>
    <cellStyle name="Note 2 2 2 6 3 4" xfId="42075" xr:uid="{EF5467EB-229E-4B19-8D3E-EE092B063A3B}"/>
    <cellStyle name="Note 2 2 2 6 3 5" xfId="15881" xr:uid="{DC6BA622-83AA-4AFC-A8A1-924C35E44868}"/>
    <cellStyle name="Note 2 2 2 6 4" xfId="20964" xr:uid="{23FC07BB-FF89-41D1-82E5-32478F7A6767}"/>
    <cellStyle name="Note 2 2 2 6 5" xfId="29411" xr:uid="{95BAD621-08FF-4BAB-9400-69E1BEF5894B}"/>
    <cellStyle name="Note 2 2 2 6 6" xfId="37858" xr:uid="{51CAD964-312B-4EAF-8C08-63B587C56C9F}"/>
    <cellStyle name="Note 2 2 2 6 7" xfId="11664" xr:uid="{BAC9349D-6417-4A1F-B153-2BE8D3D06867}"/>
    <cellStyle name="Note 2 2 2 7" xfId="2685" xr:uid="{00000000-0005-0000-0000-0000BE200000}"/>
    <cellStyle name="Note 2 2 2 7 2" xfId="6968" xr:uid="{00000000-0005-0000-0000-0000BF200000}"/>
    <cellStyle name="Note 2 2 2 7 2 2" xfId="25594" xr:uid="{31FF55A4-D270-4502-900D-10AB2E2718E7}"/>
    <cellStyle name="Note 2 2 2 7 2 3" xfId="34041" xr:uid="{2994FA7B-ABE2-4F16-8360-432A23DCF5D0}"/>
    <cellStyle name="Note 2 2 2 7 2 4" xfId="42488" xr:uid="{262106F4-114D-411F-851B-4BD5DEA3A8F3}"/>
    <cellStyle name="Note 2 2 2 7 2 5" xfId="16294" xr:uid="{DFEC4C36-2BFD-48D2-B37D-A4F54DD52A14}"/>
    <cellStyle name="Note 2 2 2 7 3" xfId="21377" xr:uid="{C5F8A53F-05C4-4DB6-951F-46BB5A5432D9}"/>
    <cellStyle name="Note 2 2 2 7 4" xfId="29824" xr:uid="{98B6E94F-1D4E-4D66-9E09-07B89BB69B05}"/>
    <cellStyle name="Note 2 2 2 7 5" xfId="38271" xr:uid="{0062FDE1-9C1E-49CF-8D03-F5CEE984ABCE}"/>
    <cellStyle name="Note 2 2 2 7 6" xfId="12077" xr:uid="{37AE1F02-CBE0-474D-AB41-BB90CDCCDD9A}"/>
    <cellStyle name="Note 2 2 2 8" xfId="2744" xr:uid="{00000000-0005-0000-0000-0000C0200000}"/>
    <cellStyle name="Note 2 2 2 9" xfId="2825" xr:uid="{00000000-0005-0000-0000-0000C1200000}"/>
    <cellStyle name="Note 2 2 2 9 2" xfId="7048" xr:uid="{00000000-0005-0000-0000-0000C2200000}"/>
    <cellStyle name="Note 2 2 2 9 2 2" xfId="25674" xr:uid="{E603891A-0556-4A2A-A3E2-9B804B28BA33}"/>
    <cellStyle name="Note 2 2 2 9 2 3" xfId="34121" xr:uid="{8A7DFDFD-A4E5-4EA0-90CF-7C19E0268C56}"/>
    <cellStyle name="Note 2 2 2 9 2 4" xfId="42568" xr:uid="{9270ABF8-63B3-46C7-AD8D-F8085D34AE42}"/>
    <cellStyle name="Note 2 2 2 9 2 5" xfId="16374" xr:uid="{39F5B534-E923-4EC0-AC08-45D32C03264C}"/>
    <cellStyle name="Note 2 2 2 9 3" xfId="21457" xr:uid="{815C761D-FAEC-43B4-A382-E8AA498CB132}"/>
    <cellStyle name="Note 2 2 2 9 4" xfId="29904" xr:uid="{18F4142D-4D14-4441-B91F-0A31755D8A14}"/>
    <cellStyle name="Note 2 2 2 9 5" xfId="38351" xr:uid="{2BDE90B6-AE46-470F-8BE5-6066EEAD96F8}"/>
    <cellStyle name="Note 2 2 2 9 6" xfId="12157" xr:uid="{A21683F0-2E8B-4B00-A289-36C2325EFBB0}"/>
    <cellStyle name="Note 2 2 3" xfId="548" xr:uid="{00000000-0005-0000-0000-0000C3200000}"/>
    <cellStyle name="Note 2 2 3 10" xfId="9048" xr:uid="{894401FF-B7D8-49E8-91E6-A1C42DD04D54}"/>
    <cellStyle name="Note 2 2 3 10 2" xfId="18372" xr:uid="{A5FC0218-B896-4A81-81C2-0FF875938392}"/>
    <cellStyle name="Note 2 2 3 11" xfId="19314" xr:uid="{8FB7EA5A-184C-4870-AC6C-18A7D6E32707}"/>
    <cellStyle name="Note 2 2 3 12" xfId="27761" xr:uid="{9530B982-47A2-4B23-82D0-DF7E6EFFDFEE}"/>
    <cellStyle name="Note 2 2 3 13" xfId="36208" xr:uid="{B2D22AB9-F8F3-4523-B857-92E85BE47314}"/>
    <cellStyle name="Note 2 2 3 14" xfId="10014" xr:uid="{00139702-D6E1-453D-A484-66EB7F90C88F}"/>
    <cellStyle name="Note 2 2 3 2" xfId="1009" xr:uid="{00000000-0005-0000-0000-0000C4200000}"/>
    <cellStyle name="Note 2 2 3 2 2" xfId="3241" xr:uid="{00000000-0005-0000-0000-0000C5200000}"/>
    <cellStyle name="Note 2 2 3 2 2 2" xfId="7463" xr:uid="{00000000-0005-0000-0000-0000C6200000}"/>
    <cellStyle name="Note 2 2 3 2 2 2 2" xfId="26089" xr:uid="{2D424BBC-A5F5-4432-9440-2522B345DFC6}"/>
    <cellStyle name="Note 2 2 3 2 2 2 3" xfId="34536" xr:uid="{3710EA32-F18E-4B1D-81FB-9C994702A50D}"/>
    <cellStyle name="Note 2 2 3 2 2 2 4" xfId="42983" xr:uid="{BFBC8037-6DF0-4453-A355-B8069933A278}"/>
    <cellStyle name="Note 2 2 3 2 2 2 5" xfId="16789" xr:uid="{B3E222FD-46AF-4BB2-B704-9DBC4D5F45AC}"/>
    <cellStyle name="Note 2 2 3 2 2 3" xfId="21872" xr:uid="{B77F4B24-60A0-4490-9314-0DDA9C2D0EC5}"/>
    <cellStyle name="Note 2 2 3 2 2 4" xfId="30319" xr:uid="{73DFC369-C340-4209-8BBB-A6DFE68FE440}"/>
    <cellStyle name="Note 2 2 3 2 2 5" xfId="38766" xr:uid="{6975D6D3-A1AF-4342-A062-73986D5F09EF}"/>
    <cellStyle name="Note 2 2 3 2 2 6" xfId="12572" xr:uid="{B236CCC4-094A-4F56-ACC5-6FBB60CED002}"/>
    <cellStyle name="Note 2 2 3 2 3" xfId="5318" xr:uid="{00000000-0005-0000-0000-0000C7200000}"/>
    <cellStyle name="Note 2 2 3 2 3 2" xfId="23944" xr:uid="{ABEB921A-0A54-4151-B4BB-7FA06DCDA7F5}"/>
    <cellStyle name="Note 2 2 3 2 3 3" xfId="32391" xr:uid="{1366787C-28A3-4F4B-B17D-232B1B763ECE}"/>
    <cellStyle name="Note 2 2 3 2 3 4" xfId="40838" xr:uid="{CEEFFF99-E823-4BC1-8F67-F29A4E082CBF}"/>
    <cellStyle name="Note 2 2 3 2 3 5" xfId="14644" xr:uid="{411BC616-2B24-4509-8A12-14E814CD1D5D}"/>
    <cellStyle name="Note 2 2 3 2 4" xfId="9473" xr:uid="{7711F4E0-385B-44CD-ACEA-5E9D7E4CD8DC}"/>
    <cellStyle name="Note 2 2 3 2 4 2" xfId="18789" xr:uid="{C043BA0D-CCA2-4476-971D-9DF3D0788F3E}"/>
    <cellStyle name="Note 2 2 3 2 5" xfId="19727" xr:uid="{AB106507-5027-4868-9BC5-15A4545A1E55}"/>
    <cellStyle name="Note 2 2 3 2 6" xfId="28174" xr:uid="{37584AF0-3737-492B-987C-93A5FB871EFA}"/>
    <cellStyle name="Note 2 2 3 2 7" xfId="36621" xr:uid="{B17B5BD5-88B6-4D1F-A04D-294E3E0F2391}"/>
    <cellStyle name="Note 2 2 3 2 8" xfId="10427" xr:uid="{4BE01A11-8042-4562-88B3-70BFB8AA5F2F}"/>
    <cellStyle name="Note 2 2 3 3" xfId="1424" xr:uid="{00000000-0005-0000-0000-0000C8200000}"/>
    <cellStyle name="Note 2 2 3 3 2" xfId="3654" xr:uid="{00000000-0005-0000-0000-0000C9200000}"/>
    <cellStyle name="Note 2 2 3 3 2 2" xfId="7876" xr:uid="{00000000-0005-0000-0000-0000CA200000}"/>
    <cellStyle name="Note 2 2 3 3 2 2 2" xfId="26502" xr:uid="{D0C1A25B-54C6-4C53-8FEB-FF895518D938}"/>
    <cellStyle name="Note 2 2 3 3 2 2 3" xfId="34949" xr:uid="{B8E3B2BE-73DB-4247-87E6-C38041A5190D}"/>
    <cellStyle name="Note 2 2 3 3 2 2 4" xfId="43396" xr:uid="{92AC2C50-8F94-4C57-9FF7-AB9468FE569E}"/>
    <cellStyle name="Note 2 2 3 3 2 2 5" xfId="17202" xr:uid="{68C1ACC6-4CCE-41F4-9021-1DB862E92567}"/>
    <cellStyle name="Note 2 2 3 3 2 3" xfId="22285" xr:uid="{26C71040-E895-43D8-A0BC-75ECBBEAD61B}"/>
    <cellStyle name="Note 2 2 3 3 2 4" xfId="30732" xr:uid="{78E5E9D9-8771-4C8A-AF2A-C021BD9240B6}"/>
    <cellStyle name="Note 2 2 3 3 2 5" xfId="39179" xr:uid="{FF274C9B-9579-42C1-A06F-45F408695658}"/>
    <cellStyle name="Note 2 2 3 3 2 6" xfId="12985" xr:uid="{4545A302-F846-47FE-926C-53425A8E7DF4}"/>
    <cellStyle name="Note 2 2 3 3 3" xfId="5731" xr:uid="{00000000-0005-0000-0000-0000CB200000}"/>
    <cellStyle name="Note 2 2 3 3 3 2" xfId="24357" xr:uid="{72238D81-792E-425F-802C-1DBD5FEA478A}"/>
    <cellStyle name="Note 2 2 3 3 3 3" xfId="32804" xr:uid="{1C1C816E-783C-4999-BB32-E2F43A1500F1}"/>
    <cellStyle name="Note 2 2 3 3 3 4" xfId="41251" xr:uid="{370FB947-F2BC-4CD7-852D-EE40B8DF2495}"/>
    <cellStyle name="Note 2 2 3 3 3 5" xfId="15057" xr:uid="{64D838AE-A10C-4A63-B0F8-ACD9520C4BDF}"/>
    <cellStyle name="Note 2 2 3 3 4" xfId="20140" xr:uid="{ABE3D81B-A7FD-4D5A-9351-845491005482}"/>
    <cellStyle name="Note 2 2 3 3 5" xfId="28587" xr:uid="{A0F637EE-2234-40B1-8413-A37C05250E26}"/>
    <cellStyle name="Note 2 2 3 3 6" xfId="37034" xr:uid="{23D1EAC3-9869-448A-8332-E7E7AFFB1CB9}"/>
    <cellStyle name="Note 2 2 3 3 7" xfId="10840" xr:uid="{63A1E70C-3951-4653-93B4-D90576FB8FB1}"/>
    <cellStyle name="Note 2 2 3 4" xfId="1838" xr:uid="{00000000-0005-0000-0000-0000CC200000}"/>
    <cellStyle name="Note 2 2 3 4 2" xfId="4067" xr:uid="{00000000-0005-0000-0000-0000CD200000}"/>
    <cellStyle name="Note 2 2 3 4 2 2" xfId="8289" xr:uid="{00000000-0005-0000-0000-0000CE200000}"/>
    <cellStyle name="Note 2 2 3 4 2 2 2" xfId="26915" xr:uid="{CEB6EE9E-B283-44A5-B22A-EAD887165B72}"/>
    <cellStyle name="Note 2 2 3 4 2 2 3" xfId="35362" xr:uid="{459246FC-6476-4490-974F-C233CE782A30}"/>
    <cellStyle name="Note 2 2 3 4 2 2 4" xfId="43809" xr:uid="{BF7D37EE-457C-45A6-BF28-E278A1354261}"/>
    <cellStyle name="Note 2 2 3 4 2 2 5" xfId="17615" xr:uid="{F6A6750E-727A-4924-877D-363DDC343939}"/>
    <cellStyle name="Note 2 2 3 4 2 3" xfId="22698" xr:uid="{9AFB25BC-7DDD-479E-A628-3D3A189F64DE}"/>
    <cellStyle name="Note 2 2 3 4 2 4" xfId="31145" xr:uid="{406D3BB5-D8D9-4112-A49B-ECBF13185465}"/>
    <cellStyle name="Note 2 2 3 4 2 5" xfId="39592" xr:uid="{B9FB32DB-A595-4C4D-959C-4F7D24E3F694}"/>
    <cellStyle name="Note 2 2 3 4 2 6" xfId="13398" xr:uid="{F3F7C849-9762-42E2-AD80-E4B1BD5DE935}"/>
    <cellStyle name="Note 2 2 3 4 3" xfId="6144" xr:uid="{00000000-0005-0000-0000-0000CF200000}"/>
    <cellStyle name="Note 2 2 3 4 3 2" xfId="24770" xr:uid="{6602DA2B-B9AE-49D8-92DC-3D408FF74692}"/>
    <cellStyle name="Note 2 2 3 4 3 3" xfId="33217" xr:uid="{C61A803D-A81E-4A6C-8219-3225BA273EC6}"/>
    <cellStyle name="Note 2 2 3 4 3 4" xfId="41664" xr:uid="{14731827-06D1-48EB-A6AA-739790039A39}"/>
    <cellStyle name="Note 2 2 3 4 3 5" xfId="15470" xr:uid="{5DD7936C-B8A7-4BA4-A377-773A6401C52C}"/>
    <cellStyle name="Note 2 2 3 4 4" xfId="20553" xr:uid="{90E9C99E-FE7D-40C8-A37D-DF4F4837D709}"/>
    <cellStyle name="Note 2 2 3 4 5" xfId="29000" xr:uid="{0595AB59-3721-4B09-B981-A4476B192751}"/>
    <cellStyle name="Note 2 2 3 4 6" xfId="37447" xr:uid="{79C5725D-0B0B-45B2-975C-9DA1417969A2}"/>
    <cellStyle name="Note 2 2 3 4 7" xfId="11253" xr:uid="{7CA7E395-E73B-4824-8F9B-D0BE3A050ED1}"/>
    <cellStyle name="Note 2 2 3 5" xfId="2251" xr:uid="{00000000-0005-0000-0000-0000D0200000}"/>
    <cellStyle name="Note 2 2 3 5 2" xfId="4480" xr:uid="{00000000-0005-0000-0000-0000D1200000}"/>
    <cellStyle name="Note 2 2 3 5 2 2" xfId="8702" xr:uid="{00000000-0005-0000-0000-0000D2200000}"/>
    <cellStyle name="Note 2 2 3 5 2 2 2" xfId="27328" xr:uid="{55B44EB0-AE07-42B9-A745-EBFB56F1EF06}"/>
    <cellStyle name="Note 2 2 3 5 2 2 3" xfId="35775" xr:uid="{4EF493FC-580E-45D5-A3DD-A106E0E69D0D}"/>
    <cellStyle name="Note 2 2 3 5 2 2 4" xfId="44222" xr:uid="{39E8A664-CF03-4749-B09D-3CF388642D92}"/>
    <cellStyle name="Note 2 2 3 5 2 2 5" xfId="18028" xr:uid="{4E1BEECF-B0EE-4522-AB51-1EE709AA175D}"/>
    <cellStyle name="Note 2 2 3 5 2 3" xfId="23111" xr:uid="{60AC70B5-41AE-41FE-97DD-14DE1327996E}"/>
    <cellStyle name="Note 2 2 3 5 2 4" xfId="31558" xr:uid="{786A50E0-E9A3-44CC-9BF0-A53E3010056D}"/>
    <cellStyle name="Note 2 2 3 5 2 5" xfId="40005" xr:uid="{98AEF22E-7A76-44FD-A568-F4113A8CD2F2}"/>
    <cellStyle name="Note 2 2 3 5 2 6" xfId="13811" xr:uid="{56FAA863-2260-455B-9EC5-D1EB3CA7D368}"/>
    <cellStyle name="Note 2 2 3 5 3" xfId="6557" xr:uid="{00000000-0005-0000-0000-0000D3200000}"/>
    <cellStyle name="Note 2 2 3 5 3 2" xfId="25183" xr:uid="{94529C77-8ECC-411A-AC93-6F062E296BF2}"/>
    <cellStyle name="Note 2 2 3 5 3 3" xfId="33630" xr:uid="{81264C6E-A016-4029-8863-60D2E377503E}"/>
    <cellStyle name="Note 2 2 3 5 3 4" xfId="42077" xr:uid="{6B1639BC-6075-413A-B613-D2E7022A0003}"/>
    <cellStyle name="Note 2 2 3 5 3 5" xfId="15883" xr:uid="{80B6C5E7-C0AD-445E-9B2B-EF4420B3AF9C}"/>
    <cellStyle name="Note 2 2 3 5 4" xfId="20966" xr:uid="{7D08AEBA-CE31-46BF-88A3-D1B93EB7F6EA}"/>
    <cellStyle name="Note 2 2 3 5 5" xfId="29413" xr:uid="{537FDFD9-18C7-4705-A350-81374125E27B}"/>
    <cellStyle name="Note 2 2 3 5 6" xfId="37860" xr:uid="{C0A6A568-168F-41BB-A305-964B40FF0272}"/>
    <cellStyle name="Note 2 2 3 5 7" xfId="11666" xr:uid="{85F5FDB2-54CA-438E-96FE-4259E834C217}"/>
    <cellStyle name="Note 2 2 3 6" xfId="2687" xr:uid="{00000000-0005-0000-0000-0000D4200000}"/>
    <cellStyle name="Note 2 2 3 6 2" xfId="6970" xr:uid="{00000000-0005-0000-0000-0000D5200000}"/>
    <cellStyle name="Note 2 2 3 6 2 2" xfId="25596" xr:uid="{24C99A2B-8084-44FA-AE4D-03DB550A931C}"/>
    <cellStyle name="Note 2 2 3 6 2 3" xfId="34043" xr:uid="{CC4179E7-8C68-4844-A64C-07B541AA8712}"/>
    <cellStyle name="Note 2 2 3 6 2 4" xfId="42490" xr:uid="{B9EBA654-6708-4985-B940-E3ADD5B7F262}"/>
    <cellStyle name="Note 2 2 3 6 2 5" xfId="16296" xr:uid="{B5302A2F-EB2C-41B4-9A08-7B508B924A93}"/>
    <cellStyle name="Note 2 2 3 6 3" xfId="21379" xr:uid="{8377BBE4-E4BB-4D74-8876-3D0B71F86225}"/>
    <cellStyle name="Note 2 2 3 6 4" xfId="29826" xr:uid="{76EF575D-140E-4963-8529-D2FD490ADBCA}"/>
    <cellStyle name="Note 2 2 3 6 5" xfId="38273" xr:uid="{5E80E3B8-2632-4337-BC59-93B316015430}"/>
    <cellStyle name="Note 2 2 3 6 6" xfId="12079" xr:uid="{87485D4D-B73A-48CF-91D3-8E5C1015CB94}"/>
    <cellStyle name="Note 2 2 3 7" xfId="2746" xr:uid="{00000000-0005-0000-0000-0000D6200000}"/>
    <cellStyle name="Note 2 2 3 8" xfId="2827" xr:uid="{00000000-0005-0000-0000-0000D7200000}"/>
    <cellStyle name="Note 2 2 3 8 2" xfId="7050" xr:uid="{00000000-0005-0000-0000-0000D8200000}"/>
    <cellStyle name="Note 2 2 3 8 2 2" xfId="25676" xr:uid="{8E893BC6-C463-4EF6-9C7B-A7E9F6B75CF3}"/>
    <cellStyle name="Note 2 2 3 8 2 3" xfId="34123" xr:uid="{95B25FC7-4361-4831-A1D7-C2228EA7C2BB}"/>
    <cellStyle name="Note 2 2 3 8 2 4" xfId="42570" xr:uid="{EB0EAEB4-8C4C-492B-9E36-EF982D12BBA4}"/>
    <cellStyle name="Note 2 2 3 8 2 5" xfId="16376" xr:uid="{679C2660-3AB6-4962-9F52-3D139B03FBD3}"/>
    <cellStyle name="Note 2 2 3 8 3" xfId="21459" xr:uid="{FF586714-D1DD-4A3B-BCB9-5132F018BA98}"/>
    <cellStyle name="Note 2 2 3 8 4" xfId="29906" xr:uid="{0D710DCC-5E6B-44FE-8E08-96765C753323}"/>
    <cellStyle name="Note 2 2 3 8 5" xfId="38353" xr:uid="{72558CE0-C8C6-4EF2-815B-F024A2FAA8E8}"/>
    <cellStyle name="Note 2 2 3 8 6" xfId="12159" xr:uid="{5CD48C92-C1CC-4888-B46F-8359C3D70D3C}"/>
    <cellStyle name="Note 2 2 3 9" xfId="4905" xr:uid="{00000000-0005-0000-0000-0000D9200000}"/>
    <cellStyle name="Note 2 2 3 9 2" xfId="23531" xr:uid="{462CDAB6-C42A-4FE7-B210-DB75DA1B8760}"/>
    <cellStyle name="Note 2 2 3 9 3" xfId="31978" xr:uid="{48EEA539-5C3D-4926-A031-5F66B5750B8F}"/>
    <cellStyle name="Note 2 2 3 9 4" xfId="40425" xr:uid="{2F2973F9-0021-4BE3-B1F8-E123ED48ABED}"/>
    <cellStyle name="Note 2 2 3 9 5" xfId="14231" xr:uid="{1E2FF241-BC4A-442F-9C7F-0B9A70BA2ED0}"/>
    <cellStyle name="Note 2 2 4" xfId="1006" xr:uid="{00000000-0005-0000-0000-0000DA200000}"/>
    <cellStyle name="Note 2 2 4 2" xfId="3238" xr:uid="{00000000-0005-0000-0000-0000DB200000}"/>
    <cellStyle name="Note 2 2 4 2 2" xfId="7460" xr:uid="{00000000-0005-0000-0000-0000DC200000}"/>
    <cellStyle name="Note 2 2 4 2 2 2" xfId="26086" xr:uid="{5D63C1C6-307A-4A4E-8103-54DC0E4742A4}"/>
    <cellStyle name="Note 2 2 4 2 2 3" xfId="34533" xr:uid="{E65AFB75-8B9C-4B18-A792-8F9B78BFC44E}"/>
    <cellStyle name="Note 2 2 4 2 2 4" xfId="42980" xr:uid="{BF164F34-22A4-4233-92B8-E64C7F2D154D}"/>
    <cellStyle name="Note 2 2 4 2 2 5" xfId="16786" xr:uid="{D1204439-F24E-4E39-AEC1-494D31585A93}"/>
    <cellStyle name="Note 2 2 4 2 3" xfId="21869" xr:uid="{4AEAE7FE-9906-4DF1-91CD-D0C63C99BB29}"/>
    <cellStyle name="Note 2 2 4 2 4" xfId="30316" xr:uid="{48011C73-D698-4DA0-AB78-ECC6295CA194}"/>
    <cellStyle name="Note 2 2 4 2 5" xfId="38763" xr:uid="{57E25509-BCAE-485A-86CB-26AEA5320BD9}"/>
    <cellStyle name="Note 2 2 4 2 6" xfId="12569" xr:uid="{5276252B-2CAE-4C1A-8E1E-51DF97B0E0B1}"/>
    <cellStyle name="Note 2 2 4 3" xfId="5315" xr:uid="{00000000-0005-0000-0000-0000DD200000}"/>
    <cellStyle name="Note 2 2 4 3 2" xfId="23941" xr:uid="{454185E5-295D-467C-A98C-5F942C42F0F6}"/>
    <cellStyle name="Note 2 2 4 3 3" xfId="32388" xr:uid="{F8F1F7E1-5A07-4B0E-869D-0EB36C2A3945}"/>
    <cellStyle name="Note 2 2 4 3 4" xfId="40835" xr:uid="{73030CC3-C8CA-462C-BEF6-4AD25CCCA9CA}"/>
    <cellStyle name="Note 2 2 4 3 5" xfId="14641" xr:uid="{84C06767-D2DA-466A-B11A-689B159C207B}"/>
    <cellStyle name="Note 2 2 4 4" xfId="9266" xr:uid="{8B6F7B8D-50FA-47DA-836F-17B0F9492E54}"/>
    <cellStyle name="Note 2 2 4 4 2" xfId="18582" xr:uid="{33F2A85D-B0C6-421B-BF1B-1EB8E46E85D9}"/>
    <cellStyle name="Note 2 2 4 5" xfId="19724" xr:uid="{B150FB35-9E52-4277-A5EC-0C460E840E4C}"/>
    <cellStyle name="Note 2 2 4 6" xfId="28171" xr:uid="{8FFB829A-F1AE-4FEB-8724-B5B3822DACEF}"/>
    <cellStyle name="Note 2 2 4 7" xfId="36618" xr:uid="{7E5121FC-1D54-4D61-BC9C-5C78C12A3153}"/>
    <cellStyle name="Note 2 2 4 8" xfId="10424" xr:uid="{DD5C9498-5CCC-489C-9CF9-AD89BA5C1FD3}"/>
    <cellStyle name="Note 2 2 5" xfId="1421" xr:uid="{00000000-0005-0000-0000-0000DE200000}"/>
    <cellStyle name="Note 2 2 5 2" xfId="3651" xr:uid="{00000000-0005-0000-0000-0000DF200000}"/>
    <cellStyle name="Note 2 2 5 2 2" xfId="7873" xr:uid="{00000000-0005-0000-0000-0000E0200000}"/>
    <cellStyle name="Note 2 2 5 2 2 2" xfId="26499" xr:uid="{25585FCA-90C6-4C7E-B1CF-E49860ACAC86}"/>
    <cellStyle name="Note 2 2 5 2 2 3" xfId="34946" xr:uid="{5BD55767-4747-44DA-836D-9E4F9CADC77C}"/>
    <cellStyle name="Note 2 2 5 2 2 4" xfId="43393" xr:uid="{48F3BAF4-8CAE-4402-B8AE-25CEB61CEAF2}"/>
    <cellStyle name="Note 2 2 5 2 2 5" xfId="17199" xr:uid="{05C982E8-ED50-40A2-B438-E390F5BEFA99}"/>
    <cellStyle name="Note 2 2 5 2 3" xfId="22282" xr:uid="{E81120FE-5938-4EF8-A211-BDB306D3B9D4}"/>
    <cellStyle name="Note 2 2 5 2 4" xfId="30729" xr:uid="{0197EF8A-B5CF-4A88-AAD5-F74322670D70}"/>
    <cellStyle name="Note 2 2 5 2 5" xfId="39176" xr:uid="{A60870E0-8CA6-473A-B3A1-E7FB9BE4C7AB}"/>
    <cellStyle name="Note 2 2 5 2 6" xfId="12982" xr:uid="{2721378A-BC6D-42FB-9313-07C6367F3079}"/>
    <cellStyle name="Note 2 2 5 3" xfId="5728" xr:uid="{00000000-0005-0000-0000-0000E1200000}"/>
    <cellStyle name="Note 2 2 5 3 2" xfId="24354" xr:uid="{653E7899-697F-460E-8D28-D263E8B01269}"/>
    <cellStyle name="Note 2 2 5 3 3" xfId="32801" xr:uid="{5BBB9594-1C04-4ED4-AEB7-065C34CF7886}"/>
    <cellStyle name="Note 2 2 5 3 4" xfId="41248" xr:uid="{EB944F20-9BC0-4CFF-928B-1B89FC093C24}"/>
    <cellStyle name="Note 2 2 5 3 5" xfId="15054" xr:uid="{F10BA2DA-9253-4F54-9149-5C5AA76009DA}"/>
    <cellStyle name="Note 2 2 5 4" xfId="20137" xr:uid="{F6908A1C-E5D4-4B0E-8C63-789570CAE77E}"/>
    <cellStyle name="Note 2 2 5 5" xfId="28584" xr:uid="{D12383A2-6C5A-41D7-9EA3-3651D6CC68E8}"/>
    <cellStyle name="Note 2 2 5 6" xfId="37031" xr:uid="{BD5C5D5F-4C64-4915-BA10-136FFA8C3EDA}"/>
    <cellStyle name="Note 2 2 5 7" xfId="10837" xr:uid="{87FD38BC-DD34-4FFF-BA39-5768758AB4E6}"/>
    <cellStyle name="Note 2 2 6" xfId="1835" xr:uid="{00000000-0005-0000-0000-0000E2200000}"/>
    <cellStyle name="Note 2 2 6 2" xfId="4064" xr:uid="{00000000-0005-0000-0000-0000E3200000}"/>
    <cellStyle name="Note 2 2 6 2 2" xfId="8286" xr:uid="{00000000-0005-0000-0000-0000E4200000}"/>
    <cellStyle name="Note 2 2 6 2 2 2" xfId="26912" xr:uid="{A34CF43B-9538-4D64-923D-735ED7CE9759}"/>
    <cellStyle name="Note 2 2 6 2 2 3" xfId="35359" xr:uid="{0D0C3B8A-43CB-4065-B559-0931DA17D48F}"/>
    <cellStyle name="Note 2 2 6 2 2 4" xfId="43806" xr:uid="{3279A48E-D102-4969-BCA9-B29CCAC58632}"/>
    <cellStyle name="Note 2 2 6 2 2 5" xfId="17612" xr:uid="{0779A99C-D4E9-4CEA-ACFD-972492520C19}"/>
    <cellStyle name="Note 2 2 6 2 3" xfId="22695" xr:uid="{1037F61C-D899-48C0-84CD-CB6FF38982A8}"/>
    <cellStyle name="Note 2 2 6 2 4" xfId="31142" xr:uid="{798B2E6C-A425-4EA5-9E6A-BF03850D2DFE}"/>
    <cellStyle name="Note 2 2 6 2 5" xfId="39589" xr:uid="{F695B049-4FE0-4EFF-9228-6AF84D057667}"/>
    <cellStyle name="Note 2 2 6 2 6" xfId="13395" xr:uid="{AC59E3B2-23A3-4249-908C-A62BB6F9851D}"/>
    <cellStyle name="Note 2 2 6 3" xfId="6141" xr:uid="{00000000-0005-0000-0000-0000E5200000}"/>
    <cellStyle name="Note 2 2 6 3 2" xfId="24767" xr:uid="{9ADB4910-5A78-42F2-9716-C9D40736C624}"/>
    <cellStyle name="Note 2 2 6 3 3" xfId="33214" xr:uid="{E6D70AA8-9860-40EA-9BED-3F2077F43F3F}"/>
    <cellStyle name="Note 2 2 6 3 4" xfId="41661" xr:uid="{656D5C61-DFAD-4BA1-A87E-72F6C659C5FC}"/>
    <cellStyle name="Note 2 2 6 3 5" xfId="15467" xr:uid="{888D8233-9CCB-4389-801D-E1C7490AD73E}"/>
    <cellStyle name="Note 2 2 6 4" xfId="20550" xr:uid="{239774E9-A73A-4053-865A-2349FAAFF7FC}"/>
    <cellStyle name="Note 2 2 6 5" xfId="28997" xr:uid="{8307A2F5-B246-48F3-8950-54CD17A05BFE}"/>
    <cellStyle name="Note 2 2 6 6" xfId="37444" xr:uid="{25C397CE-A8AC-4FCB-B55F-8FFDF4BA8A02}"/>
    <cellStyle name="Note 2 2 6 7" xfId="11250" xr:uid="{709DEEB4-29C9-4441-B8B0-91BB3E80289E}"/>
    <cellStyle name="Note 2 2 7" xfId="2248" xr:uid="{00000000-0005-0000-0000-0000E6200000}"/>
    <cellStyle name="Note 2 2 7 2" xfId="4477" xr:uid="{00000000-0005-0000-0000-0000E7200000}"/>
    <cellStyle name="Note 2 2 7 2 2" xfId="8699" xr:uid="{00000000-0005-0000-0000-0000E8200000}"/>
    <cellStyle name="Note 2 2 7 2 2 2" xfId="27325" xr:uid="{D0269D7B-9774-46C2-B278-8B3EEA8B26F7}"/>
    <cellStyle name="Note 2 2 7 2 2 3" xfId="35772" xr:uid="{2B7C92C1-0BF5-4D7B-BC5D-24541E4610D6}"/>
    <cellStyle name="Note 2 2 7 2 2 4" xfId="44219" xr:uid="{427973F6-1C6E-410C-A7F6-A51F694F7131}"/>
    <cellStyle name="Note 2 2 7 2 2 5" xfId="18025" xr:uid="{05E4BCE8-EA78-45A8-904B-007C931B7852}"/>
    <cellStyle name="Note 2 2 7 2 3" xfId="23108" xr:uid="{15192C54-B099-4508-B76B-9CE6AA2B95F6}"/>
    <cellStyle name="Note 2 2 7 2 4" xfId="31555" xr:uid="{5E0E7697-EB68-48B1-8CDF-D648FB1D9181}"/>
    <cellStyle name="Note 2 2 7 2 5" xfId="40002" xr:uid="{9454E08A-21C3-46CB-AC17-CB3825BBD27A}"/>
    <cellStyle name="Note 2 2 7 2 6" xfId="13808" xr:uid="{13F19636-62A9-442D-8B86-22A90D90FC24}"/>
    <cellStyle name="Note 2 2 7 3" xfId="6554" xr:uid="{00000000-0005-0000-0000-0000E9200000}"/>
    <cellStyle name="Note 2 2 7 3 2" xfId="25180" xr:uid="{3D386698-62CB-460D-9A71-34A4BCE2C5DB}"/>
    <cellStyle name="Note 2 2 7 3 3" xfId="33627" xr:uid="{F94FD838-093A-4F77-A758-D681F412E60D}"/>
    <cellStyle name="Note 2 2 7 3 4" xfId="42074" xr:uid="{7A5E6751-3A04-4C43-8380-2BF14D0749E2}"/>
    <cellStyle name="Note 2 2 7 3 5" xfId="15880" xr:uid="{68E9DE74-241F-42D2-AE50-BD7F9A18BA61}"/>
    <cellStyle name="Note 2 2 7 4" xfId="20963" xr:uid="{FC0FCA9F-F499-482D-82DC-E66BE86FB145}"/>
    <cellStyle name="Note 2 2 7 5" xfId="29410" xr:uid="{6AF60349-9D88-4F7B-AC70-65812D87D829}"/>
    <cellStyle name="Note 2 2 7 6" xfId="37857" xr:uid="{58809DD3-3F3D-42F7-9DB0-7EA66219B7F4}"/>
    <cellStyle name="Note 2 2 7 7" xfId="11663" xr:uid="{557A5026-D224-463B-BF60-6B3228296605}"/>
    <cellStyle name="Note 2 2 8" xfId="2684" xr:uid="{00000000-0005-0000-0000-0000EA200000}"/>
    <cellStyle name="Note 2 2 8 2" xfId="6967" xr:uid="{00000000-0005-0000-0000-0000EB200000}"/>
    <cellStyle name="Note 2 2 8 2 2" xfId="25593" xr:uid="{DB1199A9-039D-4D0D-93B8-78011D5AD8F2}"/>
    <cellStyle name="Note 2 2 8 2 3" xfId="34040" xr:uid="{BE53C73F-2C2A-48C9-9510-81CB1D3B90BA}"/>
    <cellStyle name="Note 2 2 8 2 4" xfId="42487" xr:uid="{D434EDA9-A20E-482B-B5AC-60454A19E4DA}"/>
    <cellStyle name="Note 2 2 8 2 5" xfId="16293" xr:uid="{4CCB8DCD-32E3-4C05-B50C-44AA5E51C86F}"/>
    <cellStyle name="Note 2 2 8 3" xfId="21376" xr:uid="{C883F2FA-B760-420D-ABE4-243FBB3E6D38}"/>
    <cellStyle name="Note 2 2 8 4" xfId="29823" xr:uid="{E1BB3C1B-6068-4195-8ECB-FC1B213F8647}"/>
    <cellStyle name="Note 2 2 8 5" xfId="38270" xr:uid="{B796E6DD-8146-41E0-976F-810D63520803}"/>
    <cellStyle name="Note 2 2 8 6" xfId="12076" xr:uid="{53C61B82-FF15-4DD8-8B33-C47400FA2505}"/>
    <cellStyle name="Note 2 2 9" xfId="2743" xr:uid="{00000000-0005-0000-0000-0000EC200000}"/>
    <cellStyle name="Note 2 3" xfId="549" xr:uid="{00000000-0005-0000-0000-0000ED200000}"/>
    <cellStyle name="Note 2 3 10" xfId="4906" xr:uid="{00000000-0005-0000-0000-0000EE200000}"/>
    <cellStyle name="Note 2 3 10 2" xfId="23532" xr:uid="{6366518E-1BE2-4705-BBCB-78098ADADCB4}"/>
    <cellStyle name="Note 2 3 10 3" xfId="31979" xr:uid="{D0613FBF-7B6E-4E89-BF49-AF770433D98E}"/>
    <cellStyle name="Note 2 3 10 4" xfId="40426" xr:uid="{4B4FF361-F0A9-4DF8-974E-353134AE4738}"/>
    <cellStyle name="Note 2 3 10 5" xfId="14232" xr:uid="{81CD0F8D-02B9-4872-B1E2-8DD94CFF9730}"/>
    <cellStyle name="Note 2 3 11" xfId="8894" xr:uid="{2BFFE8D0-DA42-4876-8895-58F80713E965}"/>
    <cellStyle name="Note 2 3 11 2" xfId="18218" xr:uid="{17B54CDA-A313-4C70-ABA5-F831E418C62E}"/>
    <cellStyle name="Note 2 3 12" xfId="19315" xr:uid="{6214F6D2-6E6D-4F7D-8CBB-5FC16D28EB97}"/>
    <cellStyle name="Note 2 3 13" xfId="27762" xr:uid="{0702F940-C575-45F1-A292-3DC48F904252}"/>
    <cellStyle name="Note 2 3 14" xfId="36209" xr:uid="{48D836F6-1C9E-43DA-8783-DC75A5C7E4CA}"/>
    <cellStyle name="Note 2 3 15" xfId="10015" xr:uid="{611A1BDE-ABAB-4C93-AD66-3B35E35528F8}"/>
    <cellStyle name="Note 2 3 2" xfId="550" xr:uid="{00000000-0005-0000-0000-0000EF200000}"/>
    <cellStyle name="Note 2 3 2 10" xfId="9101" xr:uid="{1822EEA2-225E-465E-B4CD-D4615440EC62}"/>
    <cellStyle name="Note 2 3 2 10 2" xfId="18425" xr:uid="{8C9AA986-E85D-47B6-945F-6FAF3937C376}"/>
    <cellStyle name="Note 2 3 2 11" xfId="19316" xr:uid="{7C6C171E-E3B6-4516-9A3D-5AC769E3AD07}"/>
    <cellStyle name="Note 2 3 2 12" xfId="27763" xr:uid="{11AE941F-9ADC-419A-B106-D671DCA806C9}"/>
    <cellStyle name="Note 2 3 2 13" xfId="36210" xr:uid="{46ABD9E0-AEFB-439E-8F86-514BA91F7F10}"/>
    <cellStyle name="Note 2 3 2 14" xfId="10016" xr:uid="{F6EBF369-FA32-4890-BAD4-41559FC01E80}"/>
    <cellStyle name="Note 2 3 2 2" xfId="1011" xr:uid="{00000000-0005-0000-0000-0000F0200000}"/>
    <cellStyle name="Note 2 3 2 2 2" xfId="3243" xr:uid="{00000000-0005-0000-0000-0000F1200000}"/>
    <cellStyle name="Note 2 3 2 2 2 2" xfId="7465" xr:uid="{00000000-0005-0000-0000-0000F2200000}"/>
    <cellStyle name="Note 2 3 2 2 2 2 2" xfId="26091" xr:uid="{48613681-2291-4192-9356-DA17161F756D}"/>
    <cellStyle name="Note 2 3 2 2 2 2 3" xfId="34538" xr:uid="{85E0B730-211D-48CF-BDCA-1453DF51902C}"/>
    <cellStyle name="Note 2 3 2 2 2 2 4" xfId="42985" xr:uid="{5762671C-37F4-431E-B22B-63B95F859D3A}"/>
    <cellStyle name="Note 2 3 2 2 2 2 5" xfId="16791" xr:uid="{D17F3F63-BCF2-4AB0-AD2B-A5EAD0D43496}"/>
    <cellStyle name="Note 2 3 2 2 2 3" xfId="21874" xr:uid="{416E6B86-520A-46DA-B94A-813E191E2616}"/>
    <cellStyle name="Note 2 3 2 2 2 4" xfId="30321" xr:uid="{E6ACA4B4-E9FC-4C5D-909D-39002D17FBC6}"/>
    <cellStyle name="Note 2 3 2 2 2 5" xfId="38768" xr:uid="{93B01704-A22A-49E4-9C4E-B35466BBF6CE}"/>
    <cellStyle name="Note 2 3 2 2 2 6" xfId="12574" xr:uid="{A302A5EE-1803-491F-9E0B-5F9606F3BCA9}"/>
    <cellStyle name="Note 2 3 2 2 3" xfId="5320" xr:uid="{00000000-0005-0000-0000-0000F3200000}"/>
    <cellStyle name="Note 2 3 2 2 3 2" xfId="23946" xr:uid="{13CCA76C-5C15-453D-B16F-C7DA8F45CE0B}"/>
    <cellStyle name="Note 2 3 2 2 3 3" xfId="32393" xr:uid="{5D304A36-51CB-489E-AD2D-D763E3ECBC1B}"/>
    <cellStyle name="Note 2 3 2 2 3 4" xfId="40840" xr:uid="{1552B987-0267-437A-9403-643F91E2248C}"/>
    <cellStyle name="Note 2 3 2 2 3 5" xfId="14646" xr:uid="{4FEC7736-029A-49E7-ADDC-D53A00EA15D2}"/>
    <cellStyle name="Note 2 3 2 2 4" xfId="9526" xr:uid="{1C428179-0C82-4F5D-9FE4-E11D597F9E89}"/>
    <cellStyle name="Note 2 3 2 2 4 2" xfId="18842" xr:uid="{7663A865-FA05-46CE-98FE-AA2D8DF52264}"/>
    <cellStyle name="Note 2 3 2 2 5" xfId="19729" xr:uid="{8A795A03-7B09-45AB-A316-9E3703EF2D5F}"/>
    <cellStyle name="Note 2 3 2 2 6" xfId="28176" xr:uid="{8A167F04-3530-4AF5-83BF-8918F1D706C5}"/>
    <cellStyle name="Note 2 3 2 2 7" xfId="36623" xr:uid="{26373A72-6B9D-4E29-A7CE-9CFC17B4E56C}"/>
    <cellStyle name="Note 2 3 2 2 8" xfId="10429" xr:uid="{5FC81F67-F0E6-463A-8121-B44633E5E30D}"/>
    <cellStyle name="Note 2 3 2 3" xfId="1426" xr:uid="{00000000-0005-0000-0000-0000F4200000}"/>
    <cellStyle name="Note 2 3 2 3 2" xfId="3656" xr:uid="{00000000-0005-0000-0000-0000F5200000}"/>
    <cellStyle name="Note 2 3 2 3 2 2" xfId="7878" xr:uid="{00000000-0005-0000-0000-0000F6200000}"/>
    <cellStyle name="Note 2 3 2 3 2 2 2" xfId="26504" xr:uid="{66DE7719-C7CD-4E2E-A7C8-22E222F42873}"/>
    <cellStyle name="Note 2 3 2 3 2 2 3" xfId="34951" xr:uid="{6ED5D67F-EC86-466F-9C94-0B27F41B257B}"/>
    <cellStyle name="Note 2 3 2 3 2 2 4" xfId="43398" xr:uid="{9941BDCA-93F2-406D-877F-C6CC98FD80AA}"/>
    <cellStyle name="Note 2 3 2 3 2 2 5" xfId="17204" xr:uid="{E103199B-43E6-486E-9359-C6BBFCEA3741}"/>
    <cellStyle name="Note 2 3 2 3 2 3" xfId="22287" xr:uid="{ABAA4E7E-8483-48F3-8F52-EAF6EF894D1B}"/>
    <cellStyle name="Note 2 3 2 3 2 4" xfId="30734" xr:uid="{AC73C896-8ED0-413F-B3EE-1DE1C15A5CD6}"/>
    <cellStyle name="Note 2 3 2 3 2 5" xfId="39181" xr:uid="{72D61682-6491-4F76-BA9E-4DABA865F17B}"/>
    <cellStyle name="Note 2 3 2 3 2 6" xfId="12987" xr:uid="{31B99243-9025-40CC-AF41-478415BED7AD}"/>
    <cellStyle name="Note 2 3 2 3 3" xfId="5733" xr:uid="{00000000-0005-0000-0000-0000F7200000}"/>
    <cellStyle name="Note 2 3 2 3 3 2" xfId="24359" xr:uid="{2FD7E261-060F-4A4C-B4D3-03F35D7F4EF4}"/>
    <cellStyle name="Note 2 3 2 3 3 3" xfId="32806" xr:uid="{D2646C30-F1AE-46A0-A851-9B0E3E6D0C8C}"/>
    <cellStyle name="Note 2 3 2 3 3 4" xfId="41253" xr:uid="{21AF974C-4E74-44F3-AC59-8B9BF29C792E}"/>
    <cellStyle name="Note 2 3 2 3 3 5" xfId="15059" xr:uid="{6D341AFC-FB74-4EFC-970D-786B96F1046F}"/>
    <cellStyle name="Note 2 3 2 3 4" xfId="20142" xr:uid="{01902132-48ED-406E-B582-718EB18DD5E4}"/>
    <cellStyle name="Note 2 3 2 3 5" xfId="28589" xr:uid="{1C97415E-E111-4770-8C12-90C7B7DC6BDC}"/>
    <cellStyle name="Note 2 3 2 3 6" xfId="37036" xr:uid="{F9BDFB8E-E73B-4543-B13A-FCA5117A2B77}"/>
    <cellStyle name="Note 2 3 2 3 7" xfId="10842" xr:uid="{DE382EC3-A7DC-42AB-9CA2-582914AF05D4}"/>
    <cellStyle name="Note 2 3 2 4" xfId="1840" xr:uid="{00000000-0005-0000-0000-0000F8200000}"/>
    <cellStyle name="Note 2 3 2 4 2" xfId="4069" xr:uid="{00000000-0005-0000-0000-0000F9200000}"/>
    <cellStyle name="Note 2 3 2 4 2 2" xfId="8291" xr:uid="{00000000-0005-0000-0000-0000FA200000}"/>
    <cellStyle name="Note 2 3 2 4 2 2 2" xfId="26917" xr:uid="{7FBAF4DD-FAA4-4621-9AA8-420074F6FEFE}"/>
    <cellStyle name="Note 2 3 2 4 2 2 3" xfId="35364" xr:uid="{C5D846E0-B8E2-4B56-9563-3F9A30F02E6B}"/>
    <cellStyle name="Note 2 3 2 4 2 2 4" xfId="43811" xr:uid="{DAEA7AF3-FD87-404D-B00A-C85F6D7873FF}"/>
    <cellStyle name="Note 2 3 2 4 2 2 5" xfId="17617" xr:uid="{D7D49900-A402-4E10-923C-8CE27186E4A9}"/>
    <cellStyle name="Note 2 3 2 4 2 3" xfId="22700" xr:uid="{302978D4-44F5-4884-8DA9-EC7AC56EC2A2}"/>
    <cellStyle name="Note 2 3 2 4 2 4" xfId="31147" xr:uid="{E60AC87F-466B-42DC-B160-2631BD71131F}"/>
    <cellStyle name="Note 2 3 2 4 2 5" xfId="39594" xr:uid="{71A38F34-AB10-4E7C-8C6E-6A8144A4D795}"/>
    <cellStyle name="Note 2 3 2 4 2 6" xfId="13400" xr:uid="{084D08F8-B579-452E-B94B-FC4C46CD3D40}"/>
    <cellStyle name="Note 2 3 2 4 3" xfId="6146" xr:uid="{00000000-0005-0000-0000-0000FB200000}"/>
    <cellStyle name="Note 2 3 2 4 3 2" xfId="24772" xr:uid="{B09752EF-B90C-45CE-8528-2B59E69ABD4F}"/>
    <cellStyle name="Note 2 3 2 4 3 3" xfId="33219" xr:uid="{16EF2F31-7AE3-4CA4-9D71-A1EB93CACCD3}"/>
    <cellStyle name="Note 2 3 2 4 3 4" xfId="41666" xr:uid="{945D76AD-0DEE-44B7-AC63-B3AD59149CDB}"/>
    <cellStyle name="Note 2 3 2 4 3 5" xfId="15472" xr:uid="{655C87A8-1A72-4CAA-ABEE-261CB3A5F784}"/>
    <cellStyle name="Note 2 3 2 4 4" xfId="20555" xr:uid="{02C23D4C-1990-4E8B-B162-AB50B9234A79}"/>
    <cellStyle name="Note 2 3 2 4 5" xfId="29002" xr:uid="{5549B6B8-EB0A-43BE-8B0C-2D6F96F37525}"/>
    <cellStyle name="Note 2 3 2 4 6" xfId="37449" xr:uid="{B31952ED-CEF8-4CEC-B044-7F7F1AB083B2}"/>
    <cellStyle name="Note 2 3 2 4 7" xfId="11255" xr:uid="{7596D7B2-DC08-4021-9A47-54D1CDC340E4}"/>
    <cellStyle name="Note 2 3 2 5" xfId="2253" xr:uid="{00000000-0005-0000-0000-0000FC200000}"/>
    <cellStyle name="Note 2 3 2 5 2" xfId="4482" xr:uid="{00000000-0005-0000-0000-0000FD200000}"/>
    <cellStyle name="Note 2 3 2 5 2 2" xfId="8704" xr:uid="{00000000-0005-0000-0000-0000FE200000}"/>
    <cellStyle name="Note 2 3 2 5 2 2 2" xfId="27330" xr:uid="{8522E9BD-4BAE-42E0-A0E4-2976C23B600D}"/>
    <cellStyle name="Note 2 3 2 5 2 2 3" xfId="35777" xr:uid="{F8282CB7-C9D2-4B19-A00A-AA230F0C9509}"/>
    <cellStyle name="Note 2 3 2 5 2 2 4" xfId="44224" xr:uid="{17DE6B75-6471-4E60-A957-A109AEAB104C}"/>
    <cellStyle name="Note 2 3 2 5 2 2 5" xfId="18030" xr:uid="{4669AFF4-454A-46D3-898A-2AA7FCC33F63}"/>
    <cellStyle name="Note 2 3 2 5 2 3" xfId="23113" xr:uid="{7AF6E399-AD0D-467A-8A24-CC02791FD48F}"/>
    <cellStyle name="Note 2 3 2 5 2 4" xfId="31560" xr:uid="{28ED764D-2227-4024-8E7B-90ED44DCFFC5}"/>
    <cellStyle name="Note 2 3 2 5 2 5" xfId="40007" xr:uid="{E50A83B5-06D0-40D8-B7B8-D1D8963B6244}"/>
    <cellStyle name="Note 2 3 2 5 2 6" xfId="13813" xr:uid="{C46C56FC-2CA0-48FC-9084-AC7555293BFC}"/>
    <cellStyle name="Note 2 3 2 5 3" xfId="6559" xr:uid="{00000000-0005-0000-0000-0000FF200000}"/>
    <cellStyle name="Note 2 3 2 5 3 2" xfId="25185" xr:uid="{1D64A9C2-CB61-48AD-BB24-860DBC85E4DF}"/>
    <cellStyle name="Note 2 3 2 5 3 3" xfId="33632" xr:uid="{BE40B60B-8D2E-4773-AFC6-CAA8BACCF395}"/>
    <cellStyle name="Note 2 3 2 5 3 4" xfId="42079" xr:uid="{5D1AB856-1378-4D5B-897F-862E12C5BD36}"/>
    <cellStyle name="Note 2 3 2 5 3 5" xfId="15885" xr:uid="{655695D0-3BEF-4E96-AC38-0AEBC42B985F}"/>
    <cellStyle name="Note 2 3 2 5 4" xfId="20968" xr:uid="{126EA6D4-9CFF-4998-8375-AEC4BEDC6DEE}"/>
    <cellStyle name="Note 2 3 2 5 5" xfId="29415" xr:uid="{7BA69636-0004-4550-BA0C-CF14B8C27776}"/>
    <cellStyle name="Note 2 3 2 5 6" xfId="37862" xr:uid="{6E8EC0F7-A81F-4EF1-964A-6858B1911457}"/>
    <cellStyle name="Note 2 3 2 5 7" xfId="11668" xr:uid="{BF616DFA-1873-42CA-BAD0-D6B65F5CE1E0}"/>
    <cellStyle name="Note 2 3 2 6" xfId="2689" xr:uid="{00000000-0005-0000-0000-000000210000}"/>
    <cellStyle name="Note 2 3 2 6 2" xfId="6972" xr:uid="{00000000-0005-0000-0000-000001210000}"/>
    <cellStyle name="Note 2 3 2 6 2 2" xfId="25598" xr:uid="{2AA1793F-6C24-4AD7-B8DE-A02DCE7009D4}"/>
    <cellStyle name="Note 2 3 2 6 2 3" xfId="34045" xr:uid="{3CCD2530-DBF8-489A-A725-451C45E29D3C}"/>
    <cellStyle name="Note 2 3 2 6 2 4" xfId="42492" xr:uid="{EAF83D37-479C-4DAF-9B41-EAE807DABC9E}"/>
    <cellStyle name="Note 2 3 2 6 2 5" xfId="16298" xr:uid="{63607687-98FE-4BF5-AE94-8B5888A179E0}"/>
    <cellStyle name="Note 2 3 2 6 3" xfId="21381" xr:uid="{3C578F96-607A-4319-9667-9D210973DE5B}"/>
    <cellStyle name="Note 2 3 2 6 4" xfId="29828" xr:uid="{C510C66D-0BEE-4569-A8CE-C7C2ECE5C2A4}"/>
    <cellStyle name="Note 2 3 2 6 5" xfId="38275" xr:uid="{ECB477D2-479C-4E15-A9C5-2B29332CF953}"/>
    <cellStyle name="Note 2 3 2 6 6" xfId="12081" xr:uid="{AF2279C0-4639-471B-8799-FAF708BAFAC4}"/>
    <cellStyle name="Note 2 3 2 7" xfId="2748" xr:uid="{00000000-0005-0000-0000-000002210000}"/>
    <cellStyle name="Note 2 3 2 8" xfId="2829" xr:uid="{00000000-0005-0000-0000-000003210000}"/>
    <cellStyle name="Note 2 3 2 8 2" xfId="7052" xr:uid="{00000000-0005-0000-0000-000004210000}"/>
    <cellStyle name="Note 2 3 2 8 2 2" xfId="25678" xr:uid="{061A20FD-D708-464C-B270-C5C9C33CB10C}"/>
    <cellStyle name="Note 2 3 2 8 2 3" xfId="34125" xr:uid="{8652B2AD-0106-48A8-92BA-358D9BD7A044}"/>
    <cellStyle name="Note 2 3 2 8 2 4" xfId="42572" xr:uid="{7D4A920A-4308-4B76-8ADB-5DA8CBAFF1CB}"/>
    <cellStyle name="Note 2 3 2 8 2 5" xfId="16378" xr:uid="{FD2067DF-C0F3-47CD-9D5A-1E85EC8B86F9}"/>
    <cellStyle name="Note 2 3 2 8 3" xfId="21461" xr:uid="{46CC38BC-1192-4160-B799-D9DE37D0E341}"/>
    <cellStyle name="Note 2 3 2 8 4" xfId="29908" xr:uid="{C3AB9638-FDAC-48BC-9508-345D90E050B2}"/>
    <cellStyle name="Note 2 3 2 8 5" xfId="38355" xr:uid="{645D5090-40CE-4B0F-8068-E4F01CD5FCE1}"/>
    <cellStyle name="Note 2 3 2 8 6" xfId="12161" xr:uid="{924F62AC-A4D1-4571-BCC1-D05D078F6B87}"/>
    <cellStyle name="Note 2 3 2 9" xfId="4907" xr:uid="{00000000-0005-0000-0000-000005210000}"/>
    <cellStyle name="Note 2 3 2 9 2" xfId="23533" xr:uid="{29EBD0AF-932B-49FB-839A-502F7C499C0F}"/>
    <cellStyle name="Note 2 3 2 9 3" xfId="31980" xr:uid="{8C42C207-52DE-49D7-8ADF-565D3EFB465F}"/>
    <cellStyle name="Note 2 3 2 9 4" xfId="40427" xr:uid="{33F4BF57-B790-4270-A579-EA42A15E0B6D}"/>
    <cellStyle name="Note 2 3 2 9 5" xfId="14233" xr:uid="{CA71CF05-BB7F-45F9-B339-F27F9A3C9B62}"/>
    <cellStyle name="Note 2 3 3" xfId="1010" xr:uid="{00000000-0005-0000-0000-000006210000}"/>
    <cellStyle name="Note 2 3 3 2" xfId="3242" xr:uid="{00000000-0005-0000-0000-000007210000}"/>
    <cellStyle name="Note 2 3 3 2 2" xfId="7464" xr:uid="{00000000-0005-0000-0000-000008210000}"/>
    <cellStyle name="Note 2 3 3 2 2 2" xfId="26090" xr:uid="{89FA018F-FFA5-485D-91E4-9B2B33DA57E8}"/>
    <cellStyle name="Note 2 3 3 2 2 3" xfId="34537" xr:uid="{EAE58E15-3B94-40D3-A7CF-A8BE2D5B2208}"/>
    <cellStyle name="Note 2 3 3 2 2 4" xfId="42984" xr:uid="{48532A43-BF45-4C21-9DE5-5924A11B0505}"/>
    <cellStyle name="Note 2 3 3 2 2 5" xfId="16790" xr:uid="{E33881F1-24B7-46E0-AA82-8C4AFF56D972}"/>
    <cellStyle name="Note 2 3 3 2 3" xfId="21873" xr:uid="{4BAEFD0C-F0F7-4948-9EBD-F3789322E4C4}"/>
    <cellStyle name="Note 2 3 3 2 4" xfId="30320" xr:uid="{B28202AD-19D2-43BA-A573-4B9259EB80F9}"/>
    <cellStyle name="Note 2 3 3 2 5" xfId="38767" xr:uid="{15A0DE11-067F-4F62-974B-FAB47E209977}"/>
    <cellStyle name="Note 2 3 3 2 6" xfId="12573" xr:uid="{FFB421AB-5AD3-4458-94C9-ED621446F224}"/>
    <cellStyle name="Note 2 3 3 3" xfId="5319" xr:uid="{00000000-0005-0000-0000-000009210000}"/>
    <cellStyle name="Note 2 3 3 3 2" xfId="23945" xr:uid="{0BB7CB9F-1DF0-4F29-A2B7-04C0F57C0329}"/>
    <cellStyle name="Note 2 3 3 3 3" xfId="32392" xr:uid="{98EBC6DC-23BF-4C14-A450-99A9D04A5B47}"/>
    <cellStyle name="Note 2 3 3 3 4" xfId="40839" xr:uid="{2ECA8D46-1C5A-402A-94EB-55C31101E7A1}"/>
    <cellStyle name="Note 2 3 3 3 5" xfId="14645" xr:uid="{9194FE32-C4DD-412C-95D6-9BF920C64FC0}"/>
    <cellStyle name="Note 2 3 3 4" xfId="9319" xr:uid="{06E4A3C6-5CAA-4424-B4C3-41162F21AE7D}"/>
    <cellStyle name="Note 2 3 3 4 2" xfId="18635" xr:uid="{CD4094B3-EE6B-4BE8-93AB-AAF783E1F258}"/>
    <cellStyle name="Note 2 3 3 5" xfId="19728" xr:uid="{C9FE3658-E186-4130-A61D-23CEA845A92D}"/>
    <cellStyle name="Note 2 3 3 6" xfId="28175" xr:uid="{B7D29375-2EC9-473C-B6B8-520D4BC23F7D}"/>
    <cellStyle name="Note 2 3 3 7" xfId="36622" xr:uid="{F1CF913A-AD3E-4A8A-A0C6-67F4FAD0A04F}"/>
    <cellStyle name="Note 2 3 3 8" xfId="10428" xr:uid="{72723138-85CA-4E9B-AE31-678A50C21EEF}"/>
    <cellStyle name="Note 2 3 4" xfId="1425" xr:uid="{00000000-0005-0000-0000-00000A210000}"/>
    <cellStyle name="Note 2 3 4 2" xfId="3655" xr:uid="{00000000-0005-0000-0000-00000B210000}"/>
    <cellStyle name="Note 2 3 4 2 2" xfId="7877" xr:uid="{00000000-0005-0000-0000-00000C210000}"/>
    <cellStyle name="Note 2 3 4 2 2 2" xfId="26503" xr:uid="{DF4B32D5-7026-41D6-939F-34C54C8B3B43}"/>
    <cellStyle name="Note 2 3 4 2 2 3" xfId="34950" xr:uid="{5817F7AB-9CDE-4F6D-A9D9-953AE5EA57B1}"/>
    <cellStyle name="Note 2 3 4 2 2 4" xfId="43397" xr:uid="{ED7ECFE4-230B-4820-A208-D0280E71A86E}"/>
    <cellStyle name="Note 2 3 4 2 2 5" xfId="17203" xr:uid="{1F319739-FC77-4244-8DB7-7B499657BD74}"/>
    <cellStyle name="Note 2 3 4 2 3" xfId="22286" xr:uid="{A528CD03-E46B-4E52-B9BE-746D6C74ACD4}"/>
    <cellStyle name="Note 2 3 4 2 4" xfId="30733" xr:uid="{BB31A468-E32E-4075-98CD-644CEE314AA4}"/>
    <cellStyle name="Note 2 3 4 2 5" xfId="39180" xr:uid="{094AEAEE-9626-4CC6-8387-0FF4B42E8D17}"/>
    <cellStyle name="Note 2 3 4 2 6" xfId="12986" xr:uid="{A6B3113A-5065-4E82-855E-5A9C5D552B79}"/>
    <cellStyle name="Note 2 3 4 3" xfId="5732" xr:uid="{00000000-0005-0000-0000-00000D210000}"/>
    <cellStyle name="Note 2 3 4 3 2" xfId="24358" xr:uid="{1E683AD9-CA89-4A1A-A541-29EF81A09FD4}"/>
    <cellStyle name="Note 2 3 4 3 3" xfId="32805" xr:uid="{4B426A6D-37CB-481E-8FEC-6993613ED088}"/>
    <cellStyle name="Note 2 3 4 3 4" xfId="41252" xr:uid="{83F510B6-C4DA-408E-9B9F-4D5941D28862}"/>
    <cellStyle name="Note 2 3 4 3 5" xfId="15058" xr:uid="{94D2F841-81E4-43BC-A6B6-36140A2943D8}"/>
    <cellStyle name="Note 2 3 4 4" xfId="20141" xr:uid="{EAE81B26-B073-43EF-8C7A-67B3CB59DE67}"/>
    <cellStyle name="Note 2 3 4 5" xfId="28588" xr:uid="{04EA9E00-7865-49C5-A30D-A62B651659BB}"/>
    <cellStyle name="Note 2 3 4 6" xfId="37035" xr:uid="{286710C3-A679-4096-90AA-AE2DB3D6048E}"/>
    <cellStyle name="Note 2 3 4 7" xfId="10841" xr:uid="{041AFDE8-C88B-418E-B6E1-77359D167362}"/>
    <cellStyle name="Note 2 3 5" xfId="1839" xr:uid="{00000000-0005-0000-0000-00000E210000}"/>
    <cellStyle name="Note 2 3 5 2" xfId="4068" xr:uid="{00000000-0005-0000-0000-00000F210000}"/>
    <cellStyle name="Note 2 3 5 2 2" xfId="8290" xr:uid="{00000000-0005-0000-0000-000010210000}"/>
    <cellStyle name="Note 2 3 5 2 2 2" xfId="26916" xr:uid="{12ED17F8-468A-4BC3-854C-131BB287AE89}"/>
    <cellStyle name="Note 2 3 5 2 2 3" xfId="35363" xr:uid="{7C2030B3-ABF7-471C-85CB-B6B24A403CE9}"/>
    <cellStyle name="Note 2 3 5 2 2 4" xfId="43810" xr:uid="{0408B5F8-44B5-4C98-8FE7-14BD601FF788}"/>
    <cellStyle name="Note 2 3 5 2 2 5" xfId="17616" xr:uid="{892B04B4-95AF-45B4-91D4-4D7434F5EFCB}"/>
    <cellStyle name="Note 2 3 5 2 3" xfId="22699" xr:uid="{E050C325-9E8A-45BC-9A57-E6953F48F8F5}"/>
    <cellStyle name="Note 2 3 5 2 4" xfId="31146" xr:uid="{CA984DD8-3EB9-4374-920A-639588C7D58C}"/>
    <cellStyle name="Note 2 3 5 2 5" xfId="39593" xr:uid="{C12C8745-5935-4867-89BC-4D4462BCD804}"/>
    <cellStyle name="Note 2 3 5 2 6" xfId="13399" xr:uid="{BD327D41-E6F4-4BAF-A36F-8B613B6C6323}"/>
    <cellStyle name="Note 2 3 5 3" xfId="6145" xr:uid="{00000000-0005-0000-0000-000011210000}"/>
    <cellStyle name="Note 2 3 5 3 2" xfId="24771" xr:uid="{65E879BC-53BB-481F-ACCD-3AB1DF28C984}"/>
    <cellStyle name="Note 2 3 5 3 3" xfId="33218" xr:uid="{5A269BF4-7393-48A2-B620-4F5DBAFFD774}"/>
    <cellStyle name="Note 2 3 5 3 4" xfId="41665" xr:uid="{C133B071-BBA7-40BB-92ED-AAF983FB3E14}"/>
    <cellStyle name="Note 2 3 5 3 5" xfId="15471" xr:uid="{097E243B-D2F5-464F-8F41-287AF0E742D6}"/>
    <cellStyle name="Note 2 3 5 4" xfId="20554" xr:uid="{2CDD83A2-96A2-45E8-B3BA-5310ACEBBDA6}"/>
    <cellStyle name="Note 2 3 5 5" xfId="29001" xr:uid="{51A21E2F-922E-490A-B85C-6AB93B60F69C}"/>
    <cellStyle name="Note 2 3 5 6" xfId="37448" xr:uid="{80B39794-4C8F-4118-B925-66DE54EFFD5E}"/>
    <cellStyle name="Note 2 3 5 7" xfId="11254" xr:uid="{61E9BA0E-CFF3-4CB7-8D87-45F44326084F}"/>
    <cellStyle name="Note 2 3 6" xfId="2252" xr:uid="{00000000-0005-0000-0000-000012210000}"/>
    <cellStyle name="Note 2 3 6 2" xfId="4481" xr:uid="{00000000-0005-0000-0000-000013210000}"/>
    <cellStyle name="Note 2 3 6 2 2" xfId="8703" xr:uid="{00000000-0005-0000-0000-000014210000}"/>
    <cellStyle name="Note 2 3 6 2 2 2" xfId="27329" xr:uid="{98A3D081-72F3-43C4-AF59-2D99CC7A9CD0}"/>
    <cellStyle name="Note 2 3 6 2 2 3" xfId="35776" xr:uid="{8FFC40FD-95D5-4128-9733-52F999629355}"/>
    <cellStyle name="Note 2 3 6 2 2 4" xfId="44223" xr:uid="{6B0B4A72-BC45-4961-8596-705F5AAB10EA}"/>
    <cellStyle name="Note 2 3 6 2 2 5" xfId="18029" xr:uid="{16A492A9-EB14-4E3B-9704-87028F198280}"/>
    <cellStyle name="Note 2 3 6 2 3" xfId="23112" xr:uid="{7B135021-922E-45CD-ADAA-848897D2CB65}"/>
    <cellStyle name="Note 2 3 6 2 4" xfId="31559" xr:uid="{59D01EAD-2998-4242-82CB-D61556DFF9CC}"/>
    <cellStyle name="Note 2 3 6 2 5" xfId="40006" xr:uid="{A2133F94-2CA1-4297-A737-3EFC7D6BFEB2}"/>
    <cellStyle name="Note 2 3 6 2 6" xfId="13812" xr:uid="{4968713A-C0ED-4740-B8FA-9CCEC5037B6A}"/>
    <cellStyle name="Note 2 3 6 3" xfId="6558" xr:uid="{00000000-0005-0000-0000-000015210000}"/>
    <cellStyle name="Note 2 3 6 3 2" xfId="25184" xr:uid="{05F20C7B-D559-4373-8A24-594C04D47246}"/>
    <cellStyle name="Note 2 3 6 3 3" xfId="33631" xr:uid="{DEC92234-0EC5-47F4-A67F-40D90764F430}"/>
    <cellStyle name="Note 2 3 6 3 4" xfId="42078" xr:uid="{05D5F8F3-B985-4771-805D-EE008B646191}"/>
    <cellStyle name="Note 2 3 6 3 5" xfId="15884" xr:uid="{B4083E24-FE5A-4BD2-87B7-10950CE017CD}"/>
    <cellStyle name="Note 2 3 6 4" xfId="20967" xr:uid="{1003C9E2-9126-4BDC-A502-0A64CC1A0A7A}"/>
    <cellStyle name="Note 2 3 6 5" xfId="29414" xr:uid="{27FD8CEE-7891-471A-AB79-78A542E29D0F}"/>
    <cellStyle name="Note 2 3 6 6" xfId="37861" xr:uid="{6A1D1F7F-0777-4366-96CF-4625CF7B5D82}"/>
    <cellStyle name="Note 2 3 6 7" xfId="11667" xr:uid="{9F89331D-97D4-41BD-94F7-6CB221928F76}"/>
    <cellStyle name="Note 2 3 7" xfId="2688" xr:uid="{00000000-0005-0000-0000-000016210000}"/>
    <cellStyle name="Note 2 3 7 2" xfId="6971" xr:uid="{00000000-0005-0000-0000-000017210000}"/>
    <cellStyle name="Note 2 3 7 2 2" xfId="25597" xr:uid="{86F3681A-9325-4D68-85AE-7C3417D90DEB}"/>
    <cellStyle name="Note 2 3 7 2 3" xfId="34044" xr:uid="{19AA8E3C-B3CC-4334-AE59-CDAF3F0343AC}"/>
    <cellStyle name="Note 2 3 7 2 4" xfId="42491" xr:uid="{3EFE858E-89EB-4725-ABA1-646F980E1E99}"/>
    <cellStyle name="Note 2 3 7 2 5" xfId="16297" xr:uid="{25E4DB13-BC39-468C-A577-43D216B79931}"/>
    <cellStyle name="Note 2 3 7 3" xfId="21380" xr:uid="{DEEA8AE9-472C-42EF-B9E1-EBB6FF25C734}"/>
    <cellStyle name="Note 2 3 7 4" xfId="29827" xr:uid="{A2576DB5-BEFC-4F12-B4FE-6A0B463996E6}"/>
    <cellStyle name="Note 2 3 7 5" xfId="38274" xr:uid="{1012F120-69FA-4119-8477-91ADAC952CEF}"/>
    <cellStyle name="Note 2 3 7 6" xfId="12080" xr:uid="{C36990F5-EEEA-4B30-9B84-F7E7CC680FC0}"/>
    <cellStyle name="Note 2 3 8" xfId="2747" xr:uid="{00000000-0005-0000-0000-000018210000}"/>
    <cellStyle name="Note 2 3 9" xfId="2828" xr:uid="{00000000-0005-0000-0000-000019210000}"/>
    <cellStyle name="Note 2 3 9 2" xfId="7051" xr:uid="{00000000-0005-0000-0000-00001A210000}"/>
    <cellStyle name="Note 2 3 9 2 2" xfId="25677" xr:uid="{A0323405-99B1-49EF-BEF2-0C638A5864F8}"/>
    <cellStyle name="Note 2 3 9 2 3" xfId="34124" xr:uid="{F056AE5E-CE89-445F-8BBF-1686F7081945}"/>
    <cellStyle name="Note 2 3 9 2 4" xfId="42571" xr:uid="{60F25464-01F2-44BC-8404-DAFFD2F5677C}"/>
    <cellStyle name="Note 2 3 9 2 5" xfId="16377" xr:uid="{90AF3837-279A-44AC-8195-D9E91A27834A}"/>
    <cellStyle name="Note 2 3 9 3" xfId="21460" xr:uid="{F1003E7D-F21D-452A-9C69-F14829B75634}"/>
    <cellStyle name="Note 2 3 9 4" xfId="29907" xr:uid="{85C48341-D727-4A79-BBF4-D145B6423850}"/>
    <cellStyle name="Note 2 3 9 5" xfId="38354" xr:uid="{F71F27A4-5541-4433-9601-BCFE5410699D}"/>
    <cellStyle name="Note 2 3 9 6" xfId="12160" xr:uid="{573E5B9F-3888-4CE5-B9DF-1C32AF667338}"/>
    <cellStyle name="Note 2 4" xfId="551" xr:uid="{00000000-0005-0000-0000-00001B210000}"/>
    <cellStyle name="Note 2 4 10" xfId="8998" xr:uid="{AC87C288-14A9-4FB3-A26C-1706964E6651}"/>
    <cellStyle name="Note 2 4 10 2" xfId="18322" xr:uid="{3B6BA551-0EE6-48D6-B62C-2BCE2E3B1E61}"/>
    <cellStyle name="Note 2 4 11" xfId="19317" xr:uid="{5287F0D2-454F-459C-B074-6B67FBF7CFB8}"/>
    <cellStyle name="Note 2 4 12" xfId="27764" xr:uid="{6C6E4F82-1566-4A6D-A331-175CFAB116A3}"/>
    <cellStyle name="Note 2 4 13" xfId="36211" xr:uid="{D0C3992C-EBD2-490E-ADF6-9EE698B707EC}"/>
    <cellStyle name="Note 2 4 14" xfId="10017" xr:uid="{C7B85D77-9A2D-411B-B0AE-8C7E84A90709}"/>
    <cellStyle name="Note 2 4 2" xfId="1012" xr:uid="{00000000-0005-0000-0000-00001C210000}"/>
    <cellStyle name="Note 2 4 2 2" xfId="3244" xr:uid="{00000000-0005-0000-0000-00001D210000}"/>
    <cellStyle name="Note 2 4 2 2 2" xfId="7466" xr:uid="{00000000-0005-0000-0000-00001E210000}"/>
    <cellStyle name="Note 2 4 2 2 2 2" xfId="26092" xr:uid="{3D76E977-5F00-4435-B239-CC90615D20A3}"/>
    <cellStyle name="Note 2 4 2 2 2 3" xfId="34539" xr:uid="{BA72FC42-A79E-40DC-ACFB-6009D4564482}"/>
    <cellStyle name="Note 2 4 2 2 2 4" xfId="42986" xr:uid="{FBDE0D49-78DE-4307-BF18-D49623A1750A}"/>
    <cellStyle name="Note 2 4 2 2 2 5" xfId="16792" xr:uid="{4E304F65-2F9C-4269-A3CC-4012136E7D6F}"/>
    <cellStyle name="Note 2 4 2 2 3" xfId="21875" xr:uid="{37BCC371-6E72-4701-8D6B-A5443349D74D}"/>
    <cellStyle name="Note 2 4 2 2 4" xfId="30322" xr:uid="{2F289523-B659-4B3E-9B33-FE358E95D59E}"/>
    <cellStyle name="Note 2 4 2 2 5" xfId="38769" xr:uid="{715644B6-B491-4BE4-9B36-C3965829C470}"/>
    <cellStyle name="Note 2 4 2 2 6" xfId="12575" xr:uid="{9FD31531-2C98-4297-BFAF-E0924B7B8174}"/>
    <cellStyle name="Note 2 4 2 3" xfId="5321" xr:uid="{00000000-0005-0000-0000-00001F210000}"/>
    <cellStyle name="Note 2 4 2 3 2" xfId="23947" xr:uid="{EBD6C759-1FEE-45B6-A53B-17F1649B5D3C}"/>
    <cellStyle name="Note 2 4 2 3 3" xfId="32394" xr:uid="{733C9CD4-AF58-49DE-B184-336B255D2120}"/>
    <cellStyle name="Note 2 4 2 3 4" xfId="40841" xr:uid="{9FDD233C-CE3D-45C6-9497-FCB51FC62714}"/>
    <cellStyle name="Note 2 4 2 3 5" xfId="14647" xr:uid="{D5E653F0-85AE-4F9E-B335-0DEDBCBC326F}"/>
    <cellStyle name="Note 2 4 2 4" xfId="9423" xr:uid="{43B93802-BE55-43D9-BEBC-4095E3C1FF74}"/>
    <cellStyle name="Note 2 4 2 4 2" xfId="18739" xr:uid="{6DC4BBFD-D5AE-4D60-977C-381C6235784D}"/>
    <cellStyle name="Note 2 4 2 5" xfId="19730" xr:uid="{8825C0E0-82A5-4ECC-8EB3-92FCCE2037FD}"/>
    <cellStyle name="Note 2 4 2 6" xfId="28177" xr:uid="{294B2BBE-CD8F-4B40-B800-061FF9114E24}"/>
    <cellStyle name="Note 2 4 2 7" xfId="36624" xr:uid="{BA9FECDB-B5DB-44EB-9574-DBF70057CDA1}"/>
    <cellStyle name="Note 2 4 2 8" xfId="10430" xr:uid="{CB350F8F-6287-4292-8F9A-97B54CB88ECC}"/>
    <cellStyle name="Note 2 4 3" xfId="1427" xr:uid="{00000000-0005-0000-0000-000020210000}"/>
    <cellStyle name="Note 2 4 3 2" xfId="3657" xr:uid="{00000000-0005-0000-0000-000021210000}"/>
    <cellStyle name="Note 2 4 3 2 2" xfId="7879" xr:uid="{00000000-0005-0000-0000-000022210000}"/>
    <cellStyle name="Note 2 4 3 2 2 2" xfId="26505" xr:uid="{64D2B277-113A-467F-9B85-58A47D81AE7A}"/>
    <cellStyle name="Note 2 4 3 2 2 3" xfId="34952" xr:uid="{DF1E2E32-ED34-47FE-94C0-FA58FF8CD4C6}"/>
    <cellStyle name="Note 2 4 3 2 2 4" xfId="43399" xr:uid="{7CBA80E7-3C35-41CF-902D-3B546941A285}"/>
    <cellStyle name="Note 2 4 3 2 2 5" xfId="17205" xr:uid="{4DB3D728-ACE5-4D69-983E-993CC06CF6EE}"/>
    <cellStyle name="Note 2 4 3 2 3" xfId="22288" xr:uid="{2C38DF73-3A78-4D63-B0DD-0B864552D97D}"/>
    <cellStyle name="Note 2 4 3 2 4" xfId="30735" xr:uid="{21792B23-2608-4067-B6A1-F0E4E69B50EF}"/>
    <cellStyle name="Note 2 4 3 2 5" xfId="39182" xr:uid="{1BBDDC0F-9FAE-4F43-98CF-3B5807139982}"/>
    <cellStyle name="Note 2 4 3 2 6" xfId="12988" xr:uid="{4AE10D78-EED9-4E6B-A340-0D59FC96DBF0}"/>
    <cellStyle name="Note 2 4 3 3" xfId="5734" xr:uid="{00000000-0005-0000-0000-000023210000}"/>
    <cellStyle name="Note 2 4 3 3 2" xfId="24360" xr:uid="{B26E2C07-8F65-4EC7-9BF3-8D8E4CF51874}"/>
    <cellStyle name="Note 2 4 3 3 3" xfId="32807" xr:uid="{D0866939-1AA0-449A-B17C-3DD5C0356C33}"/>
    <cellStyle name="Note 2 4 3 3 4" xfId="41254" xr:uid="{5249137C-00F5-441F-AB75-F950F25DEC64}"/>
    <cellStyle name="Note 2 4 3 3 5" xfId="15060" xr:uid="{210ADEE1-7BE7-4242-B369-7F1E1DCFE4ED}"/>
    <cellStyle name="Note 2 4 3 4" xfId="20143" xr:uid="{90A7CE53-EE85-42F3-96FE-A3E80E72CBB2}"/>
    <cellStyle name="Note 2 4 3 5" xfId="28590" xr:uid="{E19A1F28-251E-45E6-ABBF-5FD84906C9A7}"/>
    <cellStyle name="Note 2 4 3 6" xfId="37037" xr:uid="{35E88C82-CC31-4973-86D5-7702279454B0}"/>
    <cellStyle name="Note 2 4 3 7" xfId="10843" xr:uid="{74641420-6C0C-4F19-8D98-0656D3EC2207}"/>
    <cellStyle name="Note 2 4 4" xfId="1841" xr:uid="{00000000-0005-0000-0000-000024210000}"/>
    <cellStyle name="Note 2 4 4 2" xfId="4070" xr:uid="{00000000-0005-0000-0000-000025210000}"/>
    <cellStyle name="Note 2 4 4 2 2" xfId="8292" xr:uid="{00000000-0005-0000-0000-000026210000}"/>
    <cellStyle name="Note 2 4 4 2 2 2" xfId="26918" xr:uid="{8064A0A2-99CF-4446-BBE7-8014CCCF38E8}"/>
    <cellStyle name="Note 2 4 4 2 2 3" xfId="35365" xr:uid="{B3E2EEF2-A19B-4D88-AEC9-446CEB9471C5}"/>
    <cellStyle name="Note 2 4 4 2 2 4" xfId="43812" xr:uid="{4B691B7C-A106-4E6A-BEC0-82CDA1B365B2}"/>
    <cellStyle name="Note 2 4 4 2 2 5" xfId="17618" xr:uid="{2D5D4C23-E7F1-4499-A9C9-1532274F3A0A}"/>
    <cellStyle name="Note 2 4 4 2 3" xfId="22701" xr:uid="{5D1B2EBE-1944-4019-A4DB-3CC4548AA223}"/>
    <cellStyle name="Note 2 4 4 2 4" xfId="31148" xr:uid="{E2CF5E47-F7E7-4392-82A0-3F58973BC4E1}"/>
    <cellStyle name="Note 2 4 4 2 5" xfId="39595" xr:uid="{DA062DB4-D9FA-4D3F-B70F-93D4DBD3DACA}"/>
    <cellStyle name="Note 2 4 4 2 6" xfId="13401" xr:uid="{CBA351F1-E74E-4E54-BAC6-88DB4C5F0265}"/>
    <cellStyle name="Note 2 4 4 3" xfId="6147" xr:uid="{00000000-0005-0000-0000-000027210000}"/>
    <cellStyle name="Note 2 4 4 3 2" xfId="24773" xr:uid="{65293B6A-EBBA-418A-B7EF-1DA1EC951ED0}"/>
    <cellStyle name="Note 2 4 4 3 3" xfId="33220" xr:uid="{86E61AD7-8359-4AA2-93A0-F496DA48CD85}"/>
    <cellStyle name="Note 2 4 4 3 4" xfId="41667" xr:uid="{5C7C4C68-347F-4D9F-8050-22DB47094B6B}"/>
    <cellStyle name="Note 2 4 4 3 5" xfId="15473" xr:uid="{CD96D526-C38D-44AD-88BA-AC96CED3D1FD}"/>
    <cellStyle name="Note 2 4 4 4" xfId="20556" xr:uid="{29CA9CC3-FE67-4BA0-A498-2471022A6BEC}"/>
    <cellStyle name="Note 2 4 4 5" xfId="29003" xr:uid="{EFAE63F6-2FB4-4DD7-A905-04D456D851CE}"/>
    <cellStyle name="Note 2 4 4 6" xfId="37450" xr:uid="{25FB7319-5748-4E89-83E7-CE24F7302D85}"/>
    <cellStyle name="Note 2 4 4 7" xfId="11256" xr:uid="{0E7CD08F-FD77-482A-8924-BA94747F0B04}"/>
    <cellStyle name="Note 2 4 5" xfId="2254" xr:uid="{00000000-0005-0000-0000-000028210000}"/>
    <cellStyle name="Note 2 4 5 2" xfId="4483" xr:uid="{00000000-0005-0000-0000-000029210000}"/>
    <cellStyle name="Note 2 4 5 2 2" xfId="8705" xr:uid="{00000000-0005-0000-0000-00002A210000}"/>
    <cellStyle name="Note 2 4 5 2 2 2" xfId="27331" xr:uid="{9798F89B-64A1-42C3-9183-ED0B28A0DF95}"/>
    <cellStyle name="Note 2 4 5 2 2 3" xfId="35778" xr:uid="{7FD02FA4-F074-4B1D-AEFA-678DA071ED33}"/>
    <cellStyle name="Note 2 4 5 2 2 4" xfId="44225" xr:uid="{AE076A40-4754-4C7F-AAD2-3654E00248D8}"/>
    <cellStyle name="Note 2 4 5 2 2 5" xfId="18031" xr:uid="{04A4D70D-79E7-43E5-9346-B71F478B848C}"/>
    <cellStyle name="Note 2 4 5 2 3" xfId="23114" xr:uid="{77F7C05A-7CA5-4751-8E2C-99ABB8FA06C1}"/>
    <cellStyle name="Note 2 4 5 2 4" xfId="31561" xr:uid="{98E16E17-3469-43A0-A12B-E8B43EA4DC65}"/>
    <cellStyle name="Note 2 4 5 2 5" xfId="40008" xr:uid="{A34F2869-6BC9-4BEA-8C25-9C2F9CA9C85E}"/>
    <cellStyle name="Note 2 4 5 2 6" xfId="13814" xr:uid="{29C6B256-9628-4BC3-BE40-6A6AF1E85A68}"/>
    <cellStyle name="Note 2 4 5 3" xfId="6560" xr:uid="{00000000-0005-0000-0000-00002B210000}"/>
    <cellStyle name="Note 2 4 5 3 2" xfId="25186" xr:uid="{F96F770F-ADA0-4A2E-A6B3-08ADE4AD49EA}"/>
    <cellStyle name="Note 2 4 5 3 3" xfId="33633" xr:uid="{80E1BA27-F0FF-410A-B7DC-D383D47B02EB}"/>
    <cellStyle name="Note 2 4 5 3 4" xfId="42080" xr:uid="{BB5AB401-CAA6-4A25-B240-89F1F7C9CF15}"/>
    <cellStyle name="Note 2 4 5 3 5" xfId="15886" xr:uid="{E0163156-5B5F-4130-9309-8F6827F98B5E}"/>
    <cellStyle name="Note 2 4 5 4" xfId="20969" xr:uid="{5267D13A-F816-4EC3-80D7-74D08D6D42F2}"/>
    <cellStyle name="Note 2 4 5 5" xfId="29416" xr:uid="{CD5B4521-4719-4264-AB93-82A1CB26D76D}"/>
    <cellStyle name="Note 2 4 5 6" xfId="37863" xr:uid="{3C34AFD4-DA9E-41DB-93EA-23CD1CF4054F}"/>
    <cellStyle name="Note 2 4 5 7" xfId="11669" xr:uid="{0C5F7B2D-BCF3-48FC-BE7E-BDC1149EE16D}"/>
    <cellStyle name="Note 2 4 6" xfId="2690" xr:uid="{00000000-0005-0000-0000-00002C210000}"/>
    <cellStyle name="Note 2 4 6 2" xfId="6973" xr:uid="{00000000-0005-0000-0000-00002D210000}"/>
    <cellStyle name="Note 2 4 6 2 2" xfId="25599" xr:uid="{B3C53079-85E9-4F9E-AF5F-FD88DD55EF0B}"/>
    <cellStyle name="Note 2 4 6 2 3" xfId="34046" xr:uid="{0700DA6A-B7D9-4162-BCB8-E3164920AA5C}"/>
    <cellStyle name="Note 2 4 6 2 4" xfId="42493" xr:uid="{25E1D303-6A0C-49CB-984F-21309FC9E389}"/>
    <cellStyle name="Note 2 4 6 2 5" xfId="16299" xr:uid="{0B7D8E2C-A35C-4E85-928C-B72AE6ABDE96}"/>
    <cellStyle name="Note 2 4 6 3" xfId="21382" xr:uid="{9F24FD52-4943-4A23-934F-632E2F9FA00C}"/>
    <cellStyle name="Note 2 4 6 4" xfId="29829" xr:uid="{F734CC20-6EFD-4F63-9D62-B7A39FB47485}"/>
    <cellStyle name="Note 2 4 6 5" xfId="38276" xr:uid="{791E90D5-A70F-4A43-865E-FB40F306C63C}"/>
    <cellStyle name="Note 2 4 6 6" xfId="12082" xr:uid="{3E8FAABE-C06B-42B2-A44D-AAE2A7E1AE50}"/>
    <cellStyle name="Note 2 4 7" xfId="2749" xr:uid="{00000000-0005-0000-0000-00002E210000}"/>
    <cellStyle name="Note 2 4 8" xfId="2830" xr:uid="{00000000-0005-0000-0000-00002F210000}"/>
    <cellStyle name="Note 2 4 8 2" xfId="7053" xr:uid="{00000000-0005-0000-0000-000030210000}"/>
    <cellStyle name="Note 2 4 8 2 2" xfId="25679" xr:uid="{B1036776-8225-4462-ABD7-8FD359505B84}"/>
    <cellStyle name="Note 2 4 8 2 3" xfId="34126" xr:uid="{96FD8734-B68A-431C-B2A8-98908647DE06}"/>
    <cellStyle name="Note 2 4 8 2 4" xfId="42573" xr:uid="{7CD8964B-78A2-4B0A-95F4-FEB314480647}"/>
    <cellStyle name="Note 2 4 8 2 5" xfId="16379" xr:uid="{BA37FB82-BF47-45E3-889F-2CE46A422458}"/>
    <cellStyle name="Note 2 4 8 3" xfId="21462" xr:uid="{0EA3C767-F760-4446-8790-C8FF5A4B42A8}"/>
    <cellStyle name="Note 2 4 8 4" xfId="29909" xr:uid="{DBDBC572-E36D-4DB3-B41C-900E05E71CB4}"/>
    <cellStyle name="Note 2 4 8 5" xfId="38356" xr:uid="{0079AC9D-63B3-4FAF-8F86-13B75AD12D62}"/>
    <cellStyle name="Note 2 4 8 6" xfId="12162" xr:uid="{8151AC78-A280-4FE0-A716-AC4AD6B7F75F}"/>
    <cellStyle name="Note 2 4 9" xfId="4908" xr:uid="{00000000-0005-0000-0000-000031210000}"/>
    <cellStyle name="Note 2 4 9 2" xfId="23534" xr:uid="{C7B7ED65-1803-4F2C-9D6D-2E40AC0F64E6}"/>
    <cellStyle name="Note 2 4 9 3" xfId="31981" xr:uid="{C5269CB0-2B41-4601-A3AF-E8C6BDA65504}"/>
    <cellStyle name="Note 2 4 9 4" xfId="40428" xr:uid="{D8185711-9405-459E-A61D-ADA5EF89B3C0}"/>
    <cellStyle name="Note 2 4 9 5" xfId="14234" xr:uid="{9B2C1757-728D-4000-8B6A-393D22B5943B}"/>
    <cellStyle name="Note 2 5" xfId="552" xr:uid="{00000000-0005-0000-0000-000032210000}"/>
    <cellStyle name="Note 2 5 10" xfId="9215" xr:uid="{69947D86-0683-476F-9E74-96CA08091560}"/>
    <cellStyle name="Note 2 5 10 2" xfId="18532" xr:uid="{5867D31A-3F1B-4AEF-B8B0-0B9D1F535BA9}"/>
    <cellStyle name="Note 2 5 11" xfId="19318" xr:uid="{8FD2CB2E-77F0-4D73-8D0D-702329639693}"/>
    <cellStyle name="Note 2 5 12" xfId="27765" xr:uid="{5CE83194-11CD-44D1-8002-08611152CEB5}"/>
    <cellStyle name="Note 2 5 13" xfId="36212" xr:uid="{3ADD51C9-C2F9-4282-BCCE-899E5DE38CEF}"/>
    <cellStyle name="Note 2 5 14" xfId="10018" xr:uid="{C09710EC-B679-4AB2-8673-0EC4AEDC590D}"/>
    <cellStyle name="Note 2 5 2" xfId="1013" xr:uid="{00000000-0005-0000-0000-000033210000}"/>
    <cellStyle name="Note 2 5 2 2" xfId="3245" xr:uid="{00000000-0005-0000-0000-000034210000}"/>
    <cellStyle name="Note 2 5 2 2 2" xfId="7467" xr:uid="{00000000-0005-0000-0000-000035210000}"/>
    <cellStyle name="Note 2 5 2 2 2 2" xfId="26093" xr:uid="{668B57B7-C213-499B-912A-2E0EEB487573}"/>
    <cellStyle name="Note 2 5 2 2 2 3" xfId="34540" xr:uid="{0540D125-F916-4938-829B-7821DF423F41}"/>
    <cellStyle name="Note 2 5 2 2 2 4" xfId="42987" xr:uid="{397D8E80-47F1-4FAA-B515-2F0BCF735E02}"/>
    <cellStyle name="Note 2 5 2 2 2 5" xfId="16793" xr:uid="{3D7CF416-29FC-4055-A58E-8750A8219E84}"/>
    <cellStyle name="Note 2 5 2 2 3" xfId="21876" xr:uid="{A6DFB8D1-0FE4-4B5C-A026-84A199452906}"/>
    <cellStyle name="Note 2 5 2 2 4" xfId="30323" xr:uid="{5CFD0254-7C16-425C-BA8C-BBD71E275609}"/>
    <cellStyle name="Note 2 5 2 2 5" xfId="38770" xr:uid="{C03AAFC7-8C33-4418-B3DA-4D0EA4618CEB}"/>
    <cellStyle name="Note 2 5 2 2 6" xfId="12576" xr:uid="{8892E3CE-D8B1-49EA-B31F-5FA23A7EDD56}"/>
    <cellStyle name="Note 2 5 2 3" xfId="5322" xr:uid="{00000000-0005-0000-0000-000036210000}"/>
    <cellStyle name="Note 2 5 2 3 2" xfId="23948" xr:uid="{81FEE7DB-F0FA-4636-8727-51C441BC3E74}"/>
    <cellStyle name="Note 2 5 2 3 3" xfId="32395" xr:uid="{A6E4C34E-4D41-4753-BCAB-32DFE377721E}"/>
    <cellStyle name="Note 2 5 2 3 4" xfId="40842" xr:uid="{B878740F-E147-43D4-9B29-327D13ACABF2}"/>
    <cellStyle name="Note 2 5 2 3 5" xfId="14648" xr:uid="{8C276332-3B34-4142-B8E0-2978A8753A26}"/>
    <cellStyle name="Note 2 5 2 4" xfId="9610" xr:uid="{26530D10-1DF8-4FA4-8FC9-4C945AA92A94}"/>
    <cellStyle name="Note 2 5 2 4 2" xfId="18911" xr:uid="{77A1A93B-1E64-44B0-83AD-1558D7ACD360}"/>
    <cellStyle name="Note 2 5 2 5" xfId="19731" xr:uid="{EBD25ED7-1493-492C-BDC1-A57D72CDB3BB}"/>
    <cellStyle name="Note 2 5 2 6" xfId="28178" xr:uid="{79FB731D-AD3C-4251-A005-0FAE80D7FB18}"/>
    <cellStyle name="Note 2 5 2 7" xfId="36625" xr:uid="{44A24247-84AB-4299-B111-44A5F32D80DA}"/>
    <cellStyle name="Note 2 5 2 8" xfId="10431" xr:uid="{DBCFC7D1-F8C3-4AC6-8850-2ABED07EC3BF}"/>
    <cellStyle name="Note 2 5 3" xfId="1428" xr:uid="{00000000-0005-0000-0000-000037210000}"/>
    <cellStyle name="Note 2 5 3 2" xfId="3658" xr:uid="{00000000-0005-0000-0000-000038210000}"/>
    <cellStyle name="Note 2 5 3 2 2" xfId="7880" xr:uid="{00000000-0005-0000-0000-000039210000}"/>
    <cellStyle name="Note 2 5 3 2 2 2" xfId="26506" xr:uid="{75F6859D-1C7A-4B57-B0C3-D5C2043E539B}"/>
    <cellStyle name="Note 2 5 3 2 2 3" xfId="34953" xr:uid="{0D3AE670-4EAC-4A6A-9CF2-5ECEAA0C8C6D}"/>
    <cellStyle name="Note 2 5 3 2 2 4" xfId="43400" xr:uid="{FAEDED62-D174-49AA-8A68-D5970A0B7D28}"/>
    <cellStyle name="Note 2 5 3 2 2 5" xfId="17206" xr:uid="{69EE8495-0A78-42A8-B38B-EA83934E069C}"/>
    <cellStyle name="Note 2 5 3 2 3" xfId="22289" xr:uid="{560EA5C1-A7DB-4852-B959-8A58A809B75C}"/>
    <cellStyle name="Note 2 5 3 2 4" xfId="30736" xr:uid="{8DACC1AD-6BF7-4F5E-B1D4-0089BAE49A2E}"/>
    <cellStyle name="Note 2 5 3 2 5" xfId="39183" xr:uid="{DBE3CAAC-DDA9-4ED4-907F-19E180B0A442}"/>
    <cellStyle name="Note 2 5 3 2 6" xfId="12989" xr:uid="{2CE0D033-EEC7-4F0A-9AD9-954FDD7ADC8A}"/>
    <cellStyle name="Note 2 5 3 3" xfId="5735" xr:uid="{00000000-0005-0000-0000-00003A210000}"/>
    <cellStyle name="Note 2 5 3 3 2" xfId="24361" xr:uid="{F6E8027E-7B2A-4B97-9891-16445EF8AFC0}"/>
    <cellStyle name="Note 2 5 3 3 3" xfId="32808" xr:uid="{B51520FF-30C8-40EA-B6F7-C8704E686DA2}"/>
    <cellStyle name="Note 2 5 3 3 4" xfId="41255" xr:uid="{84591F41-7C9D-4991-AF2F-52DAE687CFDC}"/>
    <cellStyle name="Note 2 5 3 3 5" xfId="15061" xr:uid="{E9695BC6-0DCE-4DAE-96D8-253927B6863B}"/>
    <cellStyle name="Note 2 5 3 4" xfId="20144" xr:uid="{0F4F2E6D-19DA-4BA2-8BEE-7F926F517876}"/>
    <cellStyle name="Note 2 5 3 5" xfId="28591" xr:uid="{BBD6A7F1-2E7F-4504-9659-87C67B4CBFEE}"/>
    <cellStyle name="Note 2 5 3 6" xfId="37038" xr:uid="{79DF8333-A21C-4C97-AABA-2CA83BC7F22A}"/>
    <cellStyle name="Note 2 5 3 7" xfId="10844" xr:uid="{95891361-F810-4695-8D90-013491E616FB}"/>
    <cellStyle name="Note 2 5 4" xfId="1842" xr:uid="{00000000-0005-0000-0000-00003B210000}"/>
    <cellStyle name="Note 2 5 4 2" xfId="4071" xr:uid="{00000000-0005-0000-0000-00003C210000}"/>
    <cellStyle name="Note 2 5 4 2 2" xfId="8293" xr:uid="{00000000-0005-0000-0000-00003D210000}"/>
    <cellStyle name="Note 2 5 4 2 2 2" xfId="26919" xr:uid="{5C06478D-97E4-4801-B328-7974E2CECFA1}"/>
    <cellStyle name="Note 2 5 4 2 2 3" xfId="35366" xr:uid="{4E6377E3-36CF-4D7B-96D9-847E241ADAF6}"/>
    <cellStyle name="Note 2 5 4 2 2 4" xfId="43813" xr:uid="{F260401D-3BFA-4CFC-BD65-450BCBD1343C}"/>
    <cellStyle name="Note 2 5 4 2 2 5" xfId="17619" xr:uid="{E528F7BC-A1BE-4363-AF7C-8FB44E03F03D}"/>
    <cellStyle name="Note 2 5 4 2 3" xfId="22702" xr:uid="{D690B689-7266-4173-96F3-3E39209B0B2A}"/>
    <cellStyle name="Note 2 5 4 2 4" xfId="31149" xr:uid="{CFCEEE38-D922-40C2-8641-88DB0EF82712}"/>
    <cellStyle name="Note 2 5 4 2 5" xfId="39596" xr:uid="{43E7F0A7-2B28-497D-8145-FD222BE18059}"/>
    <cellStyle name="Note 2 5 4 2 6" xfId="13402" xr:uid="{58C8A860-9179-416F-B1DC-E40B8757D849}"/>
    <cellStyle name="Note 2 5 4 3" xfId="6148" xr:uid="{00000000-0005-0000-0000-00003E210000}"/>
    <cellStyle name="Note 2 5 4 3 2" xfId="24774" xr:uid="{7ABAACC2-0B96-4D88-ACBF-90930116B0EB}"/>
    <cellStyle name="Note 2 5 4 3 3" xfId="33221" xr:uid="{AD4C13DF-4A9B-490B-BAF6-EEBBE227B91F}"/>
    <cellStyle name="Note 2 5 4 3 4" xfId="41668" xr:uid="{96E9CD95-A1F8-4D0D-8902-B4D96D93F221}"/>
    <cellStyle name="Note 2 5 4 3 5" xfId="15474" xr:uid="{4852DAB0-FB77-4A83-85D6-CBA4CDC6E743}"/>
    <cellStyle name="Note 2 5 4 4" xfId="20557" xr:uid="{9E2B1DB9-7471-4C69-B85B-6CDD7176FCBD}"/>
    <cellStyle name="Note 2 5 4 5" xfId="29004" xr:uid="{5BF375D2-2932-47AF-B51A-B7D66A09C537}"/>
    <cellStyle name="Note 2 5 4 6" xfId="37451" xr:uid="{7867B6C4-0C68-4B19-87E3-D947EEBBC8DF}"/>
    <cellStyle name="Note 2 5 4 7" xfId="11257" xr:uid="{F6EE735C-0162-416F-80A2-84228CB76C8A}"/>
    <cellStyle name="Note 2 5 5" xfId="2255" xr:uid="{00000000-0005-0000-0000-00003F210000}"/>
    <cellStyle name="Note 2 5 5 2" xfId="4484" xr:uid="{00000000-0005-0000-0000-000040210000}"/>
    <cellStyle name="Note 2 5 5 2 2" xfId="8706" xr:uid="{00000000-0005-0000-0000-000041210000}"/>
    <cellStyle name="Note 2 5 5 2 2 2" xfId="27332" xr:uid="{728A337A-0E74-4282-9440-28FB4D1D9B1E}"/>
    <cellStyle name="Note 2 5 5 2 2 3" xfId="35779" xr:uid="{871B7DFC-B6E9-4DD3-83A2-1DB22291C98B}"/>
    <cellStyle name="Note 2 5 5 2 2 4" xfId="44226" xr:uid="{3065BE51-ED04-4939-82F0-24921743956B}"/>
    <cellStyle name="Note 2 5 5 2 2 5" xfId="18032" xr:uid="{F81FE3C7-5D81-4AA3-8489-03B0B27D9EC5}"/>
    <cellStyle name="Note 2 5 5 2 3" xfId="23115" xr:uid="{7943B294-1055-437C-9D4F-6CD186A87F6E}"/>
    <cellStyle name="Note 2 5 5 2 4" xfId="31562" xr:uid="{0F0C43EF-AE21-4C9F-B02C-4E00B4C374CC}"/>
    <cellStyle name="Note 2 5 5 2 5" xfId="40009" xr:uid="{328384A1-8A76-4673-BE22-5AF9545CA14D}"/>
    <cellStyle name="Note 2 5 5 2 6" xfId="13815" xr:uid="{A060FC6B-088D-45A4-A32D-F0DA76DA31AF}"/>
    <cellStyle name="Note 2 5 5 3" xfId="6561" xr:uid="{00000000-0005-0000-0000-000042210000}"/>
    <cellStyle name="Note 2 5 5 3 2" xfId="25187" xr:uid="{89327F45-985A-4480-9EEC-6BF8C63A2F98}"/>
    <cellStyle name="Note 2 5 5 3 3" xfId="33634" xr:uid="{3F7621CA-F2A9-4B48-8EBB-43AF98AA8F43}"/>
    <cellStyle name="Note 2 5 5 3 4" xfId="42081" xr:uid="{2C5E1297-D165-42B2-B377-1D66EFC0ABAB}"/>
    <cellStyle name="Note 2 5 5 3 5" xfId="15887" xr:uid="{0E03716B-3382-4D57-80CD-AFDFBBAFAA22}"/>
    <cellStyle name="Note 2 5 5 4" xfId="20970" xr:uid="{22749D11-523D-4FB1-8C3B-44892468EB91}"/>
    <cellStyle name="Note 2 5 5 5" xfId="29417" xr:uid="{35350D23-3FE0-4152-9232-841B36160097}"/>
    <cellStyle name="Note 2 5 5 6" xfId="37864" xr:uid="{E77A0156-E5B6-4D30-9308-8B49DE2A7B74}"/>
    <cellStyle name="Note 2 5 5 7" xfId="11670" xr:uid="{2AC22795-D84A-46FA-BE42-F4AB3ACE149D}"/>
    <cellStyle name="Note 2 5 6" xfId="2691" xr:uid="{00000000-0005-0000-0000-000043210000}"/>
    <cellStyle name="Note 2 5 6 2" xfId="6974" xr:uid="{00000000-0005-0000-0000-000044210000}"/>
    <cellStyle name="Note 2 5 6 2 2" xfId="25600" xr:uid="{C3D4C738-7401-4ABC-89FC-F48052B2D045}"/>
    <cellStyle name="Note 2 5 6 2 3" xfId="34047" xr:uid="{DD75482A-27F0-4BA6-B145-684BE5B72ECF}"/>
    <cellStyle name="Note 2 5 6 2 4" xfId="42494" xr:uid="{C506564E-0C8A-4248-B765-AF1C0C94FD42}"/>
    <cellStyle name="Note 2 5 6 2 5" xfId="16300" xr:uid="{1EB74756-9BA5-42BF-9E6A-99FB2D8E3B66}"/>
    <cellStyle name="Note 2 5 6 3" xfId="21383" xr:uid="{68996B7C-5B50-49D8-99D1-78B2112BE8DC}"/>
    <cellStyle name="Note 2 5 6 4" xfId="29830" xr:uid="{98A04F7F-D4FC-473F-A450-0D178C9D6AEC}"/>
    <cellStyle name="Note 2 5 6 5" xfId="38277" xr:uid="{03E06A3B-AD5E-413D-A09C-B3E6EB759FA6}"/>
    <cellStyle name="Note 2 5 6 6" xfId="12083" xr:uid="{0A8D8E34-5B99-4DB9-A79F-63FD90DDB135}"/>
    <cellStyle name="Note 2 5 7" xfId="2750" xr:uid="{00000000-0005-0000-0000-000045210000}"/>
    <cellStyle name="Note 2 5 8" xfId="2831" xr:uid="{00000000-0005-0000-0000-000046210000}"/>
    <cellStyle name="Note 2 5 8 2" xfId="7054" xr:uid="{00000000-0005-0000-0000-000047210000}"/>
    <cellStyle name="Note 2 5 8 2 2" xfId="25680" xr:uid="{40E52043-82AB-4C4F-A22A-627D49937AC2}"/>
    <cellStyle name="Note 2 5 8 2 3" xfId="34127" xr:uid="{29E44827-599D-4248-92B1-6B09C2C2E04E}"/>
    <cellStyle name="Note 2 5 8 2 4" xfId="42574" xr:uid="{D0AE9ACE-EC97-4E1A-BB6C-DED719D00E80}"/>
    <cellStyle name="Note 2 5 8 2 5" xfId="16380" xr:uid="{D05FA2CB-22DF-45E6-89B4-4CE3DDACA46E}"/>
    <cellStyle name="Note 2 5 8 3" xfId="21463" xr:uid="{10247CF3-CC26-4F30-95E0-EEF50C80F65A}"/>
    <cellStyle name="Note 2 5 8 4" xfId="29910" xr:uid="{62FD192A-82EF-48CB-B96D-D5AE392D5393}"/>
    <cellStyle name="Note 2 5 8 5" xfId="38357" xr:uid="{FD1DB8BC-4F25-4CDD-9096-C4C6D5288109}"/>
    <cellStyle name="Note 2 5 8 6" xfId="12163" xr:uid="{474CF5E0-A30D-4F65-B99C-398AF1EA81FA}"/>
    <cellStyle name="Note 2 5 9" xfId="4909" xr:uid="{00000000-0005-0000-0000-000048210000}"/>
    <cellStyle name="Note 2 5 9 2" xfId="23535" xr:uid="{B30424E8-73EC-4D44-BE2A-8E97DD197D99}"/>
    <cellStyle name="Note 2 5 9 3" xfId="31982" xr:uid="{3D1F0788-3BE5-465B-9864-B6BAECF5003A}"/>
    <cellStyle name="Note 2 5 9 4" xfId="40429" xr:uid="{CC987E49-18E4-424C-816B-42230670E772}"/>
    <cellStyle name="Note 2 5 9 5" xfId="14235" xr:uid="{A061535F-FEEF-4826-90BC-B1AE4FF348BA}"/>
    <cellStyle name="Note 2 6" xfId="9587" xr:uid="{DE0DCBC9-1C06-4AD6-BDCF-10B3C6A625B6}"/>
    <cellStyle name="Note 2 7" xfId="8791" xr:uid="{7AC3614D-154D-4BB0-B207-B3151ECF2433}"/>
    <cellStyle name="Note 2 7 2" xfId="18115" xr:uid="{350C7A90-2B42-483E-96C5-F32575A03E8A}"/>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0 2 2" xfId="25681" xr:uid="{28D59E9B-BDA2-4D4D-9014-854AD751A611}"/>
    <cellStyle name="Note 3 2 10 2 3" xfId="34128" xr:uid="{436B04CA-41C3-4824-B57E-2D2F22A2DE43}"/>
    <cellStyle name="Note 3 2 10 2 4" xfId="42575" xr:uid="{0E50AA1E-63AA-4D7D-8714-8A0099003F45}"/>
    <cellStyle name="Note 3 2 10 2 5" xfId="16381" xr:uid="{8CC3519F-5131-4A87-BBE8-E849FC94DB6B}"/>
    <cellStyle name="Note 3 2 10 3" xfId="21464" xr:uid="{78B6EAC3-7526-4DC2-80BA-6EA2B3FDB700}"/>
    <cellStyle name="Note 3 2 10 4" xfId="29911" xr:uid="{FBD70F03-2BC9-4B45-A0F6-371AD3493CB6}"/>
    <cellStyle name="Note 3 2 10 5" xfId="38358" xr:uid="{01B3E70F-FC5D-450A-AF6E-BEDB1C5BEA7D}"/>
    <cellStyle name="Note 3 2 10 6" xfId="12164" xr:uid="{D56B0242-7262-4239-9F91-D4593465E39E}"/>
    <cellStyle name="Note 3 2 11" xfId="4910" xr:uid="{00000000-0005-0000-0000-00004D210000}"/>
    <cellStyle name="Note 3 2 11 2" xfId="23536" xr:uid="{347B9F40-AF8F-44CA-8F26-C767C2DF1B7E}"/>
    <cellStyle name="Note 3 2 11 3" xfId="31983" xr:uid="{347384EB-E2DE-45D0-86F4-30C8E6AAFE52}"/>
    <cellStyle name="Note 3 2 11 4" xfId="40430" xr:uid="{EAD01EB7-DA0D-44AC-B11B-A71452A578E7}"/>
    <cellStyle name="Note 3 2 11 5" xfId="14236" xr:uid="{8059CA9D-6498-4565-BFAB-00B61A40B6CE}"/>
    <cellStyle name="Note 3 2 12" xfId="8842" xr:uid="{646587AC-B7A9-43E2-AC1E-1B77745805D8}"/>
    <cellStyle name="Note 3 2 12 2" xfId="18166" xr:uid="{B246D5CA-B8E9-4F3F-815D-37B2DBE1522F}"/>
    <cellStyle name="Note 3 2 13" xfId="19319" xr:uid="{1BACE47B-A55A-494E-8EA7-D3C36AF74D9D}"/>
    <cellStyle name="Note 3 2 14" xfId="27766" xr:uid="{705F5E8E-5174-45B6-BB7D-22C166CFB0B2}"/>
    <cellStyle name="Note 3 2 15" xfId="36213" xr:uid="{664E2BAA-83A0-4922-A4B9-BD11324B6447}"/>
    <cellStyle name="Note 3 2 16" xfId="10019" xr:uid="{35073D22-17FE-43D0-83E6-3B90929BFCC8}"/>
    <cellStyle name="Note 3 2 2" xfId="555" xr:uid="{00000000-0005-0000-0000-00004E210000}"/>
    <cellStyle name="Note 3 2 2 10" xfId="4911" xr:uid="{00000000-0005-0000-0000-00004F210000}"/>
    <cellStyle name="Note 3 2 2 10 2" xfId="23537" xr:uid="{C692707D-A64B-4B09-AF88-9594AE94483D}"/>
    <cellStyle name="Note 3 2 2 10 3" xfId="31984" xr:uid="{AFF81E05-E656-4FAD-8F02-BE5CE3070C2F}"/>
    <cellStyle name="Note 3 2 2 10 4" xfId="40431" xr:uid="{8D211171-8737-4D92-90AC-DE445B0A3947}"/>
    <cellStyle name="Note 3 2 2 10 5" xfId="14237" xr:uid="{16E26835-2568-492D-AC8C-036195D8AE9E}"/>
    <cellStyle name="Note 3 2 2 11" xfId="8945" xr:uid="{D320AF38-4F47-4266-9CB9-3BD7E15BFDAE}"/>
    <cellStyle name="Note 3 2 2 11 2" xfId="18269" xr:uid="{1D719F27-205E-4EC0-BE3C-7544CDA48B90}"/>
    <cellStyle name="Note 3 2 2 12" xfId="19320" xr:uid="{AAFE4257-CAE3-464F-87E2-65A8CDDF13B4}"/>
    <cellStyle name="Note 3 2 2 13" xfId="27767" xr:uid="{318FBE98-F862-452E-BCCD-13E0A2669D7F}"/>
    <cellStyle name="Note 3 2 2 14" xfId="36214" xr:uid="{9918F306-50A0-441A-A192-E4BBE92F4BCB}"/>
    <cellStyle name="Note 3 2 2 15" xfId="10020" xr:uid="{30DFBB88-D9BE-4FAE-8120-F9B6B2AC0D36}"/>
    <cellStyle name="Note 3 2 2 2" xfId="556" xr:uid="{00000000-0005-0000-0000-000050210000}"/>
    <cellStyle name="Note 3 2 2 2 10" xfId="9152" xr:uid="{24874F5B-4700-44ED-9556-84C4E89A274D}"/>
    <cellStyle name="Note 3 2 2 2 10 2" xfId="18476" xr:uid="{E6E9FD25-8BF0-40F7-9600-CE49C8E7FADE}"/>
    <cellStyle name="Note 3 2 2 2 11" xfId="19321" xr:uid="{F9620D45-EB57-4885-86FB-54F54AA20A62}"/>
    <cellStyle name="Note 3 2 2 2 12" xfId="27768" xr:uid="{9D2B33E4-7E47-4A8F-B2EE-DDA1CB673516}"/>
    <cellStyle name="Note 3 2 2 2 13" xfId="36215" xr:uid="{195C193D-85C6-42DB-A114-175F8B8C5D74}"/>
    <cellStyle name="Note 3 2 2 2 14" xfId="10021" xr:uid="{DDE611DC-E2CC-409B-BEAD-E7D088BF316D}"/>
    <cellStyle name="Note 3 2 2 2 2" xfId="1016" xr:uid="{00000000-0005-0000-0000-000051210000}"/>
    <cellStyle name="Note 3 2 2 2 2 2" xfId="3248" xr:uid="{00000000-0005-0000-0000-000052210000}"/>
    <cellStyle name="Note 3 2 2 2 2 2 2" xfId="7470" xr:uid="{00000000-0005-0000-0000-000053210000}"/>
    <cellStyle name="Note 3 2 2 2 2 2 2 2" xfId="26096" xr:uid="{A6F21ACF-79AD-4028-8ACA-44E245B229B2}"/>
    <cellStyle name="Note 3 2 2 2 2 2 2 3" xfId="34543" xr:uid="{4993ADD5-F8FE-4E73-9C97-FECE50BCA11A}"/>
    <cellStyle name="Note 3 2 2 2 2 2 2 4" xfId="42990" xr:uid="{E2DDA109-6A68-4B29-B65E-74997C4A88CD}"/>
    <cellStyle name="Note 3 2 2 2 2 2 2 5" xfId="16796" xr:uid="{3FBB4DA9-9C0F-426E-B5C8-12300C6C3BCD}"/>
    <cellStyle name="Note 3 2 2 2 2 2 3" xfId="21879" xr:uid="{DCACA6DF-3F09-4899-8A18-C620A9C45852}"/>
    <cellStyle name="Note 3 2 2 2 2 2 4" xfId="30326" xr:uid="{A52E865A-6D3D-4602-9570-DCFB98BD33A9}"/>
    <cellStyle name="Note 3 2 2 2 2 2 5" xfId="38773" xr:uid="{C2FC4F19-6E97-4851-9512-713D2544E7EC}"/>
    <cellStyle name="Note 3 2 2 2 2 2 6" xfId="12579" xr:uid="{19B9E81C-6AE7-4111-B090-6DA47BB6EEBF}"/>
    <cellStyle name="Note 3 2 2 2 2 3" xfId="5325" xr:uid="{00000000-0005-0000-0000-000054210000}"/>
    <cellStyle name="Note 3 2 2 2 2 3 2" xfId="23951" xr:uid="{215751A8-BB67-4585-82EF-8336CBF8EE67}"/>
    <cellStyle name="Note 3 2 2 2 2 3 3" xfId="32398" xr:uid="{51736818-D949-4D45-9425-F159E356237F}"/>
    <cellStyle name="Note 3 2 2 2 2 3 4" xfId="40845" xr:uid="{ACEF5EB7-197E-4F79-953C-4719F4C83982}"/>
    <cellStyle name="Note 3 2 2 2 2 3 5" xfId="14651" xr:uid="{C85696F6-54B6-444D-8B38-80B31514E30B}"/>
    <cellStyle name="Note 3 2 2 2 2 4" xfId="9577" xr:uid="{7C0C89D7-CA14-4942-89B2-D584AC810EDC}"/>
    <cellStyle name="Note 3 2 2 2 2 4 2" xfId="18893" xr:uid="{9D3DA4F3-35B8-415D-A13E-CD6F58DC7C3A}"/>
    <cellStyle name="Note 3 2 2 2 2 5" xfId="19734" xr:uid="{5CF7D542-C528-4786-9D4A-98E299A56431}"/>
    <cellStyle name="Note 3 2 2 2 2 6" xfId="28181" xr:uid="{BE8D0323-05DD-4496-8042-2331ACF63462}"/>
    <cellStyle name="Note 3 2 2 2 2 7" xfId="36628" xr:uid="{F7FD7E1A-2304-4FB5-98DE-250683DF6382}"/>
    <cellStyle name="Note 3 2 2 2 2 8" xfId="10434" xr:uid="{4EBEB5FA-4418-4793-8F57-9DD249AE98C4}"/>
    <cellStyle name="Note 3 2 2 2 3" xfId="1431" xr:uid="{00000000-0005-0000-0000-000055210000}"/>
    <cellStyle name="Note 3 2 2 2 3 2" xfId="3661" xr:uid="{00000000-0005-0000-0000-000056210000}"/>
    <cellStyle name="Note 3 2 2 2 3 2 2" xfId="7883" xr:uid="{00000000-0005-0000-0000-000057210000}"/>
    <cellStyle name="Note 3 2 2 2 3 2 2 2" xfId="26509" xr:uid="{78AA155B-C710-4D7A-AF94-DF73EDC61402}"/>
    <cellStyle name="Note 3 2 2 2 3 2 2 3" xfId="34956" xr:uid="{46C537E8-BA0D-4835-9D3F-AC56B7C5CAE3}"/>
    <cellStyle name="Note 3 2 2 2 3 2 2 4" xfId="43403" xr:uid="{7A6CC0B0-2C55-4A97-84F5-6BD3E8661221}"/>
    <cellStyle name="Note 3 2 2 2 3 2 2 5" xfId="17209" xr:uid="{A4BFCDFC-AAE0-4535-B68C-A292B7688520}"/>
    <cellStyle name="Note 3 2 2 2 3 2 3" xfId="22292" xr:uid="{E972D43C-F3F4-4051-AB2A-D85EFD7D45D3}"/>
    <cellStyle name="Note 3 2 2 2 3 2 4" xfId="30739" xr:uid="{5ABD45B6-C572-492D-BADE-DB45D5A11AC5}"/>
    <cellStyle name="Note 3 2 2 2 3 2 5" xfId="39186" xr:uid="{C4F2336A-7F9F-4168-A1F8-B82A7B316429}"/>
    <cellStyle name="Note 3 2 2 2 3 2 6" xfId="12992" xr:uid="{6BFF4453-D024-445D-8308-0DAC868A9533}"/>
    <cellStyle name="Note 3 2 2 2 3 3" xfId="5738" xr:uid="{00000000-0005-0000-0000-000058210000}"/>
    <cellStyle name="Note 3 2 2 2 3 3 2" xfId="24364" xr:uid="{482DA502-D1A6-4442-BE2C-271E885753BA}"/>
    <cellStyle name="Note 3 2 2 2 3 3 3" xfId="32811" xr:uid="{9FDC12E8-F5C2-4277-A233-2E1B90C10516}"/>
    <cellStyle name="Note 3 2 2 2 3 3 4" xfId="41258" xr:uid="{C117C5A0-4A83-443F-9419-1FFBC0741C4B}"/>
    <cellStyle name="Note 3 2 2 2 3 3 5" xfId="15064" xr:uid="{AA98CA09-7241-4F5E-BFD6-7B69F730C4F3}"/>
    <cellStyle name="Note 3 2 2 2 3 4" xfId="20147" xr:uid="{35420359-550C-457C-989B-5987090A087F}"/>
    <cellStyle name="Note 3 2 2 2 3 5" xfId="28594" xr:uid="{979825D2-2D56-47B6-8673-3974808834AE}"/>
    <cellStyle name="Note 3 2 2 2 3 6" xfId="37041" xr:uid="{A05B0901-CF57-4919-821A-C9B98E11C690}"/>
    <cellStyle name="Note 3 2 2 2 3 7" xfId="10847" xr:uid="{A03DCB7C-1B87-40C5-9A0F-52B4768B4AB7}"/>
    <cellStyle name="Note 3 2 2 2 4" xfId="1845" xr:uid="{00000000-0005-0000-0000-000059210000}"/>
    <cellStyle name="Note 3 2 2 2 4 2" xfId="4074" xr:uid="{00000000-0005-0000-0000-00005A210000}"/>
    <cellStyle name="Note 3 2 2 2 4 2 2" xfId="8296" xr:uid="{00000000-0005-0000-0000-00005B210000}"/>
    <cellStyle name="Note 3 2 2 2 4 2 2 2" xfId="26922" xr:uid="{DB475510-A71A-41BB-8547-8A6F3B199339}"/>
    <cellStyle name="Note 3 2 2 2 4 2 2 3" xfId="35369" xr:uid="{A63900CA-1CE2-4C95-870C-94A0AFE526EE}"/>
    <cellStyle name="Note 3 2 2 2 4 2 2 4" xfId="43816" xr:uid="{1AAEC77B-35CE-45CE-86EB-877785F87ADC}"/>
    <cellStyle name="Note 3 2 2 2 4 2 2 5" xfId="17622" xr:uid="{D9FA8B57-1C9C-4702-BDC7-91AC3F356984}"/>
    <cellStyle name="Note 3 2 2 2 4 2 3" xfId="22705" xr:uid="{3E3D00BA-EE2A-434F-A61A-4CC921A53E50}"/>
    <cellStyle name="Note 3 2 2 2 4 2 4" xfId="31152" xr:uid="{1F060B38-D8DE-44F3-B2AB-3F64EEC56548}"/>
    <cellStyle name="Note 3 2 2 2 4 2 5" xfId="39599" xr:uid="{6635ADF5-A7FF-4425-9F03-6F79024FEDE5}"/>
    <cellStyle name="Note 3 2 2 2 4 2 6" xfId="13405" xr:uid="{9662FC07-EB87-4BA6-A45A-742FD62FBB33}"/>
    <cellStyle name="Note 3 2 2 2 4 3" xfId="6151" xr:uid="{00000000-0005-0000-0000-00005C210000}"/>
    <cellStyle name="Note 3 2 2 2 4 3 2" xfId="24777" xr:uid="{1978ED3A-B056-4FBA-AC98-0DFD0ECCAFB3}"/>
    <cellStyle name="Note 3 2 2 2 4 3 3" xfId="33224" xr:uid="{C1BC027D-FFE8-4D70-A46B-590DF989A438}"/>
    <cellStyle name="Note 3 2 2 2 4 3 4" xfId="41671" xr:uid="{E1D889BA-8C0A-49E0-9ADD-07EC96FD672A}"/>
    <cellStyle name="Note 3 2 2 2 4 3 5" xfId="15477" xr:uid="{AD131B2F-CA4C-4F81-84DE-9B68A8B75718}"/>
    <cellStyle name="Note 3 2 2 2 4 4" xfId="20560" xr:uid="{1EA6B13C-D67D-405F-96DB-5001FAD18DDF}"/>
    <cellStyle name="Note 3 2 2 2 4 5" xfId="29007" xr:uid="{7967AF76-B850-4CD1-85E1-3FB492DC3EE9}"/>
    <cellStyle name="Note 3 2 2 2 4 6" xfId="37454" xr:uid="{A6DD92D1-4FC7-471E-AECC-31F83DEFAF51}"/>
    <cellStyle name="Note 3 2 2 2 4 7" xfId="11260" xr:uid="{7CAB8AF4-0BD2-4D4F-A540-659850761BC1}"/>
    <cellStyle name="Note 3 2 2 2 5" xfId="2258" xr:uid="{00000000-0005-0000-0000-00005D210000}"/>
    <cellStyle name="Note 3 2 2 2 5 2" xfId="4487" xr:uid="{00000000-0005-0000-0000-00005E210000}"/>
    <cellStyle name="Note 3 2 2 2 5 2 2" xfId="8709" xr:uid="{00000000-0005-0000-0000-00005F210000}"/>
    <cellStyle name="Note 3 2 2 2 5 2 2 2" xfId="27335" xr:uid="{A7067106-96B3-40EE-9909-ED75DAB7C6A0}"/>
    <cellStyle name="Note 3 2 2 2 5 2 2 3" xfId="35782" xr:uid="{F1FEF480-27E3-4788-951D-F6283CC3F8D1}"/>
    <cellStyle name="Note 3 2 2 2 5 2 2 4" xfId="44229" xr:uid="{CACEF10E-E8FB-40C4-8322-8D4C4D6FCB0A}"/>
    <cellStyle name="Note 3 2 2 2 5 2 2 5" xfId="18035" xr:uid="{C7BE9A24-8762-4AE4-9D37-172E4FA1E668}"/>
    <cellStyle name="Note 3 2 2 2 5 2 3" xfId="23118" xr:uid="{02798563-6085-48A1-A9DC-9EEF9A0C6ECA}"/>
    <cellStyle name="Note 3 2 2 2 5 2 4" xfId="31565" xr:uid="{F80978CC-C200-4BF9-B638-4485825DFBA0}"/>
    <cellStyle name="Note 3 2 2 2 5 2 5" xfId="40012" xr:uid="{A67A4799-7664-4A34-833F-2B433D1A8082}"/>
    <cellStyle name="Note 3 2 2 2 5 2 6" xfId="13818" xr:uid="{C09A4506-88E3-4CFA-BADB-3D47FDF88511}"/>
    <cellStyle name="Note 3 2 2 2 5 3" xfId="6564" xr:uid="{00000000-0005-0000-0000-000060210000}"/>
    <cellStyle name="Note 3 2 2 2 5 3 2" xfId="25190" xr:uid="{31E0405A-D666-4EE9-BBD2-6CA425BA8ECE}"/>
    <cellStyle name="Note 3 2 2 2 5 3 3" xfId="33637" xr:uid="{5472DDA9-7182-42CC-9142-C4D58ED55387}"/>
    <cellStyle name="Note 3 2 2 2 5 3 4" xfId="42084" xr:uid="{786C8B4F-5651-4685-A9BB-3FCDFD991676}"/>
    <cellStyle name="Note 3 2 2 2 5 3 5" xfId="15890" xr:uid="{E6885C3C-663B-4497-A36E-65DBD33537DA}"/>
    <cellStyle name="Note 3 2 2 2 5 4" xfId="20973" xr:uid="{F50F1F39-A356-44DC-8BEC-567ABC31C103}"/>
    <cellStyle name="Note 3 2 2 2 5 5" xfId="29420" xr:uid="{7DB899BE-59FF-48A3-BAE4-079F1583B98D}"/>
    <cellStyle name="Note 3 2 2 2 5 6" xfId="37867" xr:uid="{40D1364B-ED0E-4D4E-A7A6-68985881583A}"/>
    <cellStyle name="Note 3 2 2 2 5 7" xfId="11673" xr:uid="{C1CB1F66-94D8-49F7-98F2-9B87FE77A277}"/>
    <cellStyle name="Note 3 2 2 2 6" xfId="2694" xr:uid="{00000000-0005-0000-0000-000061210000}"/>
    <cellStyle name="Note 3 2 2 2 6 2" xfId="6977" xr:uid="{00000000-0005-0000-0000-000062210000}"/>
    <cellStyle name="Note 3 2 2 2 6 2 2" xfId="25603" xr:uid="{42D58FE5-BB3F-4A50-8CB3-8D2067A7D0B5}"/>
    <cellStyle name="Note 3 2 2 2 6 2 3" xfId="34050" xr:uid="{4D3B6F42-A3AE-4C8D-A8F6-0FAC43D346AA}"/>
    <cellStyle name="Note 3 2 2 2 6 2 4" xfId="42497" xr:uid="{5FBE32AB-852E-4B69-9F82-EEABEFEDE0F1}"/>
    <cellStyle name="Note 3 2 2 2 6 2 5" xfId="16303" xr:uid="{40261D40-99D0-4500-BC48-0FC3CDE41C4A}"/>
    <cellStyle name="Note 3 2 2 2 6 3" xfId="21386" xr:uid="{C2B9BAD5-1944-4A11-B6B5-A8B34F30B394}"/>
    <cellStyle name="Note 3 2 2 2 6 4" xfId="29833" xr:uid="{5C6A50DF-0DEC-426D-B8F6-15C171CA0E27}"/>
    <cellStyle name="Note 3 2 2 2 6 5" xfId="38280" xr:uid="{0B2E3799-8BC7-4BCF-8C7C-044A18BBC8DE}"/>
    <cellStyle name="Note 3 2 2 2 6 6" xfId="12086" xr:uid="{C0C16D90-19F3-493D-B348-61EE71EF2005}"/>
    <cellStyle name="Note 3 2 2 2 7" xfId="2753" xr:uid="{00000000-0005-0000-0000-000063210000}"/>
    <cellStyle name="Note 3 2 2 2 8" xfId="2834" xr:uid="{00000000-0005-0000-0000-000064210000}"/>
    <cellStyle name="Note 3 2 2 2 8 2" xfId="7057" xr:uid="{00000000-0005-0000-0000-000065210000}"/>
    <cellStyle name="Note 3 2 2 2 8 2 2" xfId="25683" xr:uid="{A6088C4B-DA48-4FE6-9E06-33D62666BFFA}"/>
    <cellStyle name="Note 3 2 2 2 8 2 3" xfId="34130" xr:uid="{75829F97-0BD3-4F77-BB83-4668081A5249}"/>
    <cellStyle name="Note 3 2 2 2 8 2 4" xfId="42577" xr:uid="{4AAB4DFD-C384-4014-B1B2-E47FEA9A7464}"/>
    <cellStyle name="Note 3 2 2 2 8 2 5" xfId="16383" xr:uid="{C05D992A-6407-4795-99C3-E110E5212B91}"/>
    <cellStyle name="Note 3 2 2 2 8 3" xfId="21466" xr:uid="{3F1C9834-673D-4DD4-8511-F30022CA6BEB}"/>
    <cellStyle name="Note 3 2 2 2 8 4" xfId="29913" xr:uid="{5C4FE280-ED5D-4AB6-AFB4-7BD34FDE15FB}"/>
    <cellStyle name="Note 3 2 2 2 8 5" xfId="38360" xr:uid="{30E14067-FF1A-4D8E-8527-FCC4044472FC}"/>
    <cellStyle name="Note 3 2 2 2 8 6" xfId="12166" xr:uid="{7076B031-1A48-4A2E-80DE-C4ADB7A8B8F2}"/>
    <cellStyle name="Note 3 2 2 2 9" xfId="4912" xr:uid="{00000000-0005-0000-0000-000066210000}"/>
    <cellStyle name="Note 3 2 2 2 9 2" xfId="23538" xr:uid="{10A01738-74A3-44D0-843D-46FC72EBAB97}"/>
    <cellStyle name="Note 3 2 2 2 9 3" xfId="31985" xr:uid="{0B58E353-CB0F-43C8-A7BA-49A8F90335B1}"/>
    <cellStyle name="Note 3 2 2 2 9 4" xfId="40432" xr:uid="{F52CDF1B-8139-40A8-91E0-F548E168B62A}"/>
    <cellStyle name="Note 3 2 2 2 9 5" xfId="14238" xr:uid="{33A6B2A9-540C-4992-83C5-22E162E35D12}"/>
    <cellStyle name="Note 3 2 2 3" xfId="1015" xr:uid="{00000000-0005-0000-0000-000067210000}"/>
    <cellStyle name="Note 3 2 2 3 2" xfId="3247" xr:uid="{00000000-0005-0000-0000-000068210000}"/>
    <cellStyle name="Note 3 2 2 3 2 2" xfId="7469" xr:uid="{00000000-0005-0000-0000-000069210000}"/>
    <cellStyle name="Note 3 2 2 3 2 2 2" xfId="26095" xr:uid="{7B599141-6786-4549-BAAE-8189FF41E019}"/>
    <cellStyle name="Note 3 2 2 3 2 2 3" xfId="34542" xr:uid="{8595643E-6D8A-4FA8-9B23-6C68A6D254B5}"/>
    <cellStyle name="Note 3 2 2 3 2 2 4" xfId="42989" xr:uid="{CAE9D8EF-760F-49F1-A47E-926DF0BC6F06}"/>
    <cellStyle name="Note 3 2 2 3 2 2 5" xfId="16795" xr:uid="{0262EB95-4978-454E-9996-CA940C0B4F5E}"/>
    <cellStyle name="Note 3 2 2 3 2 3" xfId="21878" xr:uid="{02741959-DE6C-45E8-8290-4348BD868C5C}"/>
    <cellStyle name="Note 3 2 2 3 2 4" xfId="30325" xr:uid="{7EBC68C0-B7B0-4CB6-86C2-D141B1AC46E0}"/>
    <cellStyle name="Note 3 2 2 3 2 5" xfId="38772" xr:uid="{77832555-5B1E-47B5-BD62-7CBF6B818BF5}"/>
    <cellStyle name="Note 3 2 2 3 2 6" xfId="12578" xr:uid="{4D7AE090-16FA-41BE-9A85-5669855D7C9C}"/>
    <cellStyle name="Note 3 2 2 3 3" xfId="5324" xr:uid="{00000000-0005-0000-0000-00006A210000}"/>
    <cellStyle name="Note 3 2 2 3 3 2" xfId="23950" xr:uid="{116D8251-2AB9-4319-B053-2E4E0BB7E6B5}"/>
    <cellStyle name="Note 3 2 2 3 3 3" xfId="32397" xr:uid="{D9F4EFFE-5475-4910-9456-EEC7624DA1C6}"/>
    <cellStyle name="Note 3 2 2 3 3 4" xfId="40844" xr:uid="{A0CF37A4-5E31-4BAD-8851-DAAB48294265}"/>
    <cellStyle name="Note 3 2 2 3 3 5" xfId="14650" xr:uid="{BACCAAB2-9B27-47E7-A903-EFB01D9A586D}"/>
    <cellStyle name="Note 3 2 2 3 4" xfId="9370" xr:uid="{7A803908-679B-4EF0-9BD4-89724B1FB321}"/>
    <cellStyle name="Note 3 2 2 3 4 2" xfId="18686" xr:uid="{0F96BA86-13A5-4B6E-9C36-B05E1F8C27C1}"/>
    <cellStyle name="Note 3 2 2 3 5" xfId="19733" xr:uid="{2ADB3629-1B02-4F1D-8AA3-E9E778A43E9C}"/>
    <cellStyle name="Note 3 2 2 3 6" xfId="28180" xr:uid="{838232A7-9F66-4EF4-9878-8FE30163A944}"/>
    <cellStyle name="Note 3 2 2 3 7" xfId="36627" xr:uid="{7D1570A8-3D8D-431B-967E-D423BDB4A7F9}"/>
    <cellStyle name="Note 3 2 2 3 8" xfId="10433" xr:uid="{43E960DB-EBF7-4D5C-8772-64D164EE8AD1}"/>
    <cellStyle name="Note 3 2 2 4" xfId="1430" xr:uid="{00000000-0005-0000-0000-00006B210000}"/>
    <cellStyle name="Note 3 2 2 4 2" xfId="3660" xr:uid="{00000000-0005-0000-0000-00006C210000}"/>
    <cellStyle name="Note 3 2 2 4 2 2" xfId="7882" xr:uid="{00000000-0005-0000-0000-00006D210000}"/>
    <cellStyle name="Note 3 2 2 4 2 2 2" xfId="26508" xr:uid="{0F92F77E-344A-4122-8C23-3788C7B62EB8}"/>
    <cellStyle name="Note 3 2 2 4 2 2 3" xfId="34955" xr:uid="{8D77C437-D899-4893-897D-FA888D98D1E3}"/>
    <cellStyle name="Note 3 2 2 4 2 2 4" xfId="43402" xr:uid="{3EE6C6E4-468B-4F16-A2D4-B6D53880479E}"/>
    <cellStyle name="Note 3 2 2 4 2 2 5" xfId="17208" xr:uid="{D986A9F8-2C09-4ACC-A1F5-4D0FE7D610E1}"/>
    <cellStyle name="Note 3 2 2 4 2 3" xfId="22291" xr:uid="{90389687-9492-46CF-BBF8-CC40EAF79205}"/>
    <cellStyle name="Note 3 2 2 4 2 4" xfId="30738" xr:uid="{A5DE6D2A-5EA9-469B-A4B6-4E7909DB5220}"/>
    <cellStyle name="Note 3 2 2 4 2 5" xfId="39185" xr:uid="{6D0FE0A1-D25C-4E66-9640-9EA60A5D7CF2}"/>
    <cellStyle name="Note 3 2 2 4 2 6" xfId="12991" xr:uid="{E96E0828-5D50-4E3D-B0B1-D13B7C0FC04C}"/>
    <cellStyle name="Note 3 2 2 4 3" xfId="5737" xr:uid="{00000000-0005-0000-0000-00006E210000}"/>
    <cellStyle name="Note 3 2 2 4 3 2" xfId="24363" xr:uid="{088E12B8-4643-4694-9D24-8F417BCC320F}"/>
    <cellStyle name="Note 3 2 2 4 3 3" xfId="32810" xr:uid="{8225C0B0-6411-499E-84CF-C33C22A886C5}"/>
    <cellStyle name="Note 3 2 2 4 3 4" xfId="41257" xr:uid="{52200091-D6C2-4191-9F2D-427C33B2929E}"/>
    <cellStyle name="Note 3 2 2 4 3 5" xfId="15063" xr:uid="{3B38856D-DEA6-4AEF-984C-0D449FAF687D}"/>
    <cellStyle name="Note 3 2 2 4 4" xfId="20146" xr:uid="{55AF3F92-E239-4116-8325-C18B48004871}"/>
    <cellStyle name="Note 3 2 2 4 5" xfId="28593" xr:uid="{2BBD12FF-B93A-4823-8D51-E93F49E35997}"/>
    <cellStyle name="Note 3 2 2 4 6" xfId="37040" xr:uid="{1E61BF98-8E56-438B-8D66-DF6E9D2D93AA}"/>
    <cellStyle name="Note 3 2 2 4 7" xfId="10846" xr:uid="{89FBE1A0-0974-4604-A5E5-D11E76A32B94}"/>
    <cellStyle name="Note 3 2 2 5" xfId="1844" xr:uid="{00000000-0005-0000-0000-00006F210000}"/>
    <cellStyle name="Note 3 2 2 5 2" xfId="4073" xr:uid="{00000000-0005-0000-0000-000070210000}"/>
    <cellStyle name="Note 3 2 2 5 2 2" xfId="8295" xr:uid="{00000000-0005-0000-0000-000071210000}"/>
    <cellStyle name="Note 3 2 2 5 2 2 2" xfId="26921" xr:uid="{F51C05F8-4242-43FB-B7D3-437411FCD838}"/>
    <cellStyle name="Note 3 2 2 5 2 2 3" xfId="35368" xr:uid="{8A9849A7-4462-41CB-AD62-5E1249550721}"/>
    <cellStyle name="Note 3 2 2 5 2 2 4" xfId="43815" xr:uid="{FCFBE901-6810-4467-AF00-6668B48CC0A3}"/>
    <cellStyle name="Note 3 2 2 5 2 2 5" xfId="17621" xr:uid="{64F7D2A5-6524-4FF5-9C4E-9E22EB56A292}"/>
    <cellStyle name="Note 3 2 2 5 2 3" xfId="22704" xr:uid="{3BC0CA0B-72CD-4C5B-89D4-D553208F9066}"/>
    <cellStyle name="Note 3 2 2 5 2 4" xfId="31151" xr:uid="{7438AAE0-8B0A-4A87-987E-21EA33CB8729}"/>
    <cellStyle name="Note 3 2 2 5 2 5" xfId="39598" xr:uid="{EB3B7570-C68F-4A0C-8111-94855A408DA9}"/>
    <cellStyle name="Note 3 2 2 5 2 6" xfId="13404" xr:uid="{0083EE2F-C146-45E4-8DAF-6EC6900AD174}"/>
    <cellStyle name="Note 3 2 2 5 3" xfId="6150" xr:uid="{00000000-0005-0000-0000-000072210000}"/>
    <cellStyle name="Note 3 2 2 5 3 2" xfId="24776" xr:uid="{C7BC44AC-3C3E-44DD-8A64-85C8130B6E96}"/>
    <cellStyle name="Note 3 2 2 5 3 3" xfId="33223" xr:uid="{FAFB7F56-E1DD-465B-98A1-244DFE2EE2B7}"/>
    <cellStyle name="Note 3 2 2 5 3 4" xfId="41670" xr:uid="{CCBC7B1A-7325-4BAF-A26D-B88CE63F28B6}"/>
    <cellStyle name="Note 3 2 2 5 3 5" xfId="15476" xr:uid="{52D0549B-DE3D-44DA-AF1F-08D94030FAE3}"/>
    <cellStyle name="Note 3 2 2 5 4" xfId="20559" xr:uid="{6D7C1656-D5BC-47A8-99D5-FF804868F31B}"/>
    <cellStyle name="Note 3 2 2 5 5" xfId="29006" xr:uid="{B9AD27F1-F867-4698-9D4E-3985E17BEE4B}"/>
    <cellStyle name="Note 3 2 2 5 6" xfId="37453" xr:uid="{F5FE26D2-6407-473F-8517-339417A1951A}"/>
    <cellStyle name="Note 3 2 2 5 7" xfId="11259" xr:uid="{723F97F7-FA21-4374-812A-DAEFF3BC5CAB}"/>
    <cellStyle name="Note 3 2 2 6" xfId="2257" xr:uid="{00000000-0005-0000-0000-000073210000}"/>
    <cellStyle name="Note 3 2 2 6 2" xfId="4486" xr:uid="{00000000-0005-0000-0000-000074210000}"/>
    <cellStyle name="Note 3 2 2 6 2 2" xfId="8708" xr:uid="{00000000-0005-0000-0000-000075210000}"/>
    <cellStyle name="Note 3 2 2 6 2 2 2" xfId="27334" xr:uid="{3A5BBC77-3DB9-4F88-85E4-A2CF3675EF53}"/>
    <cellStyle name="Note 3 2 2 6 2 2 3" xfId="35781" xr:uid="{1F80D7D9-1F9A-4F9D-8EE8-E5488E5D087A}"/>
    <cellStyle name="Note 3 2 2 6 2 2 4" xfId="44228" xr:uid="{C8D1E426-D104-470B-B58F-44DDA572E89F}"/>
    <cellStyle name="Note 3 2 2 6 2 2 5" xfId="18034" xr:uid="{77777459-5B48-4CE1-BE2F-CAC9B9B20C05}"/>
    <cellStyle name="Note 3 2 2 6 2 3" xfId="23117" xr:uid="{46ECE8CB-87CB-4B05-B16F-A81F78ECAB7B}"/>
    <cellStyle name="Note 3 2 2 6 2 4" xfId="31564" xr:uid="{B6E17238-098F-49AA-8336-798D514133FF}"/>
    <cellStyle name="Note 3 2 2 6 2 5" xfId="40011" xr:uid="{9F859ACA-98A7-45FA-8FD4-CF7FFFDEE316}"/>
    <cellStyle name="Note 3 2 2 6 2 6" xfId="13817" xr:uid="{7C79288C-8125-4C1D-A361-973FE66F5C05}"/>
    <cellStyle name="Note 3 2 2 6 3" xfId="6563" xr:uid="{00000000-0005-0000-0000-000076210000}"/>
    <cellStyle name="Note 3 2 2 6 3 2" xfId="25189" xr:uid="{4055DC18-9671-49C2-BB74-E89A51856BF8}"/>
    <cellStyle name="Note 3 2 2 6 3 3" xfId="33636" xr:uid="{459364C2-20DC-4E3E-9221-F991646A6ADD}"/>
    <cellStyle name="Note 3 2 2 6 3 4" xfId="42083" xr:uid="{1E9E936D-C5C8-4C06-A352-79D6E3F47103}"/>
    <cellStyle name="Note 3 2 2 6 3 5" xfId="15889" xr:uid="{B119856A-40B6-4376-A0C8-7E014FAD6DBC}"/>
    <cellStyle name="Note 3 2 2 6 4" xfId="20972" xr:uid="{EEE38E1D-A22B-457B-B141-96310D5B43C8}"/>
    <cellStyle name="Note 3 2 2 6 5" xfId="29419" xr:uid="{F0CC1CAB-3A94-41DD-85B5-3C46339F439E}"/>
    <cellStyle name="Note 3 2 2 6 6" xfId="37866" xr:uid="{A91094C0-539C-4DA7-8F64-433F7BBE2180}"/>
    <cellStyle name="Note 3 2 2 6 7" xfId="11672" xr:uid="{94D56563-36F3-466C-8C34-EA2C6CA6EAC2}"/>
    <cellStyle name="Note 3 2 2 7" xfId="2693" xr:uid="{00000000-0005-0000-0000-000077210000}"/>
    <cellStyle name="Note 3 2 2 7 2" xfId="6976" xr:uid="{00000000-0005-0000-0000-000078210000}"/>
    <cellStyle name="Note 3 2 2 7 2 2" xfId="25602" xr:uid="{B33E4BC5-A655-4780-9F6A-2B219A894696}"/>
    <cellStyle name="Note 3 2 2 7 2 3" xfId="34049" xr:uid="{D9840CAB-313A-4426-AB23-306B20320863}"/>
    <cellStyle name="Note 3 2 2 7 2 4" xfId="42496" xr:uid="{C1452042-BDFD-4C21-A912-C0DEBCBB79DF}"/>
    <cellStyle name="Note 3 2 2 7 2 5" xfId="16302" xr:uid="{889E228A-14CC-4634-900E-0393BADEED02}"/>
    <cellStyle name="Note 3 2 2 7 3" xfId="21385" xr:uid="{EE51F516-5C7F-4ED0-8ADF-3FB3773CA9AC}"/>
    <cellStyle name="Note 3 2 2 7 4" xfId="29832" xr:uid="{4F6C669C-AC31-4043-A0E9-86E69FFF8103}"/>
    <cellStyle name="Note 3 2 2 7 5" xfId="38279" xr:uid="{F6A7BFD6-92BA-4649-914E-62873BEE3830}"/>
    <cellStyle name="Note 3 2 2 7 6" xfId="12085" xr:uid="{E2C3AF46-8A9E-4897-BEA1-755389DAACBC}"/>
    <cellStyle name="Note 3 2 2 8" xfId="2752" xr:uid="{00000000-0005-0000-0000-000079210000}"/>
    <cellStyle name="Note 3 2 2 9" xfId="2833" xr:uid="{00000000-0005-0000-0000-00007A210000}"/>
    <cellStyle name="Note 3 2 2 9 2" xfId="7056" xr:uid="{00000000-0005-0000-0000-00007B210000}"/>
    <cellStyle name="Note 3 2 2 9 2 2" xfId="25682" xr:uid="{5DAECFC9-C0B6-4E42-A0C4-4C70489EB294}"/>
    <cellStyle name="Note 3 2 2 9 2 3" xfId="34129" xr:uid="{097B532C-5745-4D76-A8C8-52F5F60FB8BB}"/>
    <cellStyle name="Note 3 2 2 9 2 4" xfId="42576" xr:uid="{A0CABC17-3D6C-4D4B-AED9-F619F87B1379}"/>
    <cellStyle name="Note 3 2 2 9 2 5" xfId="16382" xr:uid="{B1055EB3-C1C9-42BD-84D4-422C96CB3898}"/>
    <cellStyle name="Note 3 2 2 9 3" xfId="21465" xr:uid="{B82FCF4E-9B10-4EC5-8680-2BF69745CCE0}"/>
    <cellStyle name="Note 3 2 2 9 4" xfId="29912" xr:uid="{30D06C2C-06CF-402D-ADE7-6E4B8ABA435A}"/>
    <cellStyle name="Note 3 2 2 9 5" xfId="38359" xr:uid="{F6D4CF7E-C45B-4959-9384-9E0BC65C1A0D}"/>
    <cellStyle name="Note 3 2 2 9 6" xfId="12165" xr:uid="{EF22C2E3-FC80-4FFE-9E45-9A33EE47BE7C}"/>
    <cellStyle name="Note 3 2 3" xfId="557" xr:uid="{00000000-0005-0000-0000-00007C210000}"/>
    <cellStyle name="Note 3 2 3 10" xfId="9049" xr:uid="{98DA21AE-8EED-4AF2-A5D5-94394E9C9EFE}"/>
    <cellStyle name="Note 3 2 3 10 2" xfId="18373" xr:uid="{B5A54CCA-CBF2-4177-9DD2-F6D655DD2BE1}"/>
    <cellStyle name="Note 3 2 3 11" xfId="19322" xr:uid="{528C3ECE-D5D4-4222-BB1D-F2946D8D2E8C}"/>
    <cellStyle name="Note 3 2 3 12" xfId="27769" xr:uid="{647F3528-C626-485E-AC6A-4A104C8AA8C1}"/>
    <cellStyle name="Note 3 2 3 13" xfId="36216" xr:uid="{409807B5-D289-44AE-8655-43870A86FC3D}"/>
    <cellStyle name="Note 3 2 3 14" xfId="10022" xr:uid="{66C16503-262D-4253-813C-4FFF09FF3422}"/>
    <cellStyle name="Note 3 2 3 2" xfId="1017" xr:uid="{00000000-0005-0000-0000-00007D210000}"/>
    <cellStyle name="Note 3 2 3 2 2" xfId="3249" xr:uid="{00000000-0005-0000-0000-00007E210000}"/>
    <cellStyle name="Note 3 2 3 2 2 2" xfId="7471" xr:uid="{00000000-0005-0000-0000-00007F210000}"/>
    <cellStyle name="Note 3 2 3 2 2 2 2" xfId="26097" xr:uid="{BACDEA6E-1905-465F-8593-EE95FA01D3EA}"/>
    <cellStyle name="Note 3 2 3 2 2 2 3" xfId="34544" xr:uid="{F6702345-CC25-4BB1-8B76-1D6703A79A8B}"/>
    <cellStyle name="Note 3 2 3 2 2 2 4" xfId="42991" xr:uid="{35173331-E9ED-4DE7-9A95-30947AE11144}"/>
    <cellStyle name="Note 3 2 3 2 2 2 5" xfId="16797" xr:uid="{5C99E432-61EC-4E28-BABB-3C24CD0D8E54}"/>
    <cellStyle name="Note 3 2 3 2 2 3" xfId="21880" xr:uid="{10076037-AFE7-45FD-A1D6-FABCD093B81E}"/>
    <cellStyle name="Note 3 2 3 2 2 4" xfId="30327" xr:uid="{E8CBC341-3E89-4C51-94D4-13951849A606}"/>
    <cellStyle name="Note 3 2 3 2 2 5" xfId="38774" xr:uid="{2E05F00C-6DF8-4B18-9521-D8B733E0D8D6}"/>
    <cellStyle name="Note 3 2 3 2 2 6" xfId="12580" xr:uid="{A455953F-CDDB-4E78-8397-68BE38927959}"/>
    <cellStyle name="Note 3 2 3 2 3" xfId="5326" xr:uid="{00000000-0005-0000-0000-000080210000}"/>
    <cellStyle name="Note 3 2 3 2 3 2" xfId="23952" xr:uid="{A0F1BB8A-0CCD-4C35-817B-F467F3163D91}"/>
    <cellStyle name="Note 3 2 3 2 3 3" xfId="32399" xr:uid="{89D5DD0B-E96A-435A-99AA-A48DEF624223}"/>
    <cellStyle name="Note 3 2 3 2 3 4" xfId="40846" xr:uid="{4C40AC33-416B-4C7F-8F25-36591789BD2E}"/>
    <cellStyle name="Note 3 2 3 2 3 5" xfId="14652" xr:uid="{9C799FD8-FDDA-4C06-8BC3-970DAD3FF453}"/>
    <cellStyle name="Note 3 2 3 2 4" xfId="9474" xr:uid="{8827394E-7DCF-4E58-BF45-94E8587F7D91}"/>
    <cellStyle name="Note 3 2 3 2 4 2" xfId="18790" xr:uid="{726CA270-DC4F-4C7B-98C9-DA49F8471631}"/>
    <cellStyle name="Note 3 2 3 2 5" xfId="19735" xr:uid="{238C018A-05FE-48BB-9D3F-95B27790BECC}"/>
    <cellStyle name="Note 3 2 3 2 6" xfId="28182" xr:uid="{AFCDEB64-6CA5-40DC-9451-116C865307A0}"/>
    <cellStyle name="Note 3 2 3 2 7" xfId="36629" xr:uid="{3E949650-2E0A-4F43-ADDF-D6F0B5FFEAFD}"/>
    <cellStyle name="Note 3 2 3 2 8" xfId="10435" xr:uid="{75358D88-A5F5-449A-B36B-350009D8F318}"/>
    <cellStyle name="Note 3 2 3 3" xfId="1432" xr:uid="{00000000-0005-0000-0000-000081210000}"/>
    <cellStyle name="Note 3 2 3 3 2" xfId="3662" xr:uid="{00000000-0005-0000-0000-000082210000}"/>
    <cellStyle name="Note 3 2 3 3 2 2" xfId="7884" xr:uid="{00000000-0005-0000-0000-000083210000}"/>
    <cellStyle name="Note 3 2 3 3 2 2 2" xfId="26510" xr:uid="{86E2DE32-7840-4B6D-9748-2A42D0C4FACC}"/>
    <cellStyle name="Note 3 2 3 3 2 2 3" xfId="34957" xr:uid="{39FBD70B-2C6F-48CF-B7A3-F409C1EA59D7}"/>
    <cellStyle name="Note 3 2 3 3 2 2 4" xfId="43404" xr:uid="{4B9C46BE-78AB-4667-A27F-BD35DAAE3BC9}"/>
    <cellStyle name="Note 3 2 3 3 2 2 5" xfId="17210" xr:uid="{B4E07379-8B7C-4C09-BC96-F22400397BC5}"/>
    <cellStyle name="Note 3 2 3 3 2 3" xfId="22293" xr:uid="{89494D68-8170-4E6B-B9C2-1D568497FB3F}"/>
    <cellStyle name="Note 3 2 3 3 2 4" xfId="30740" xr:uid="{E1EB1AC4-54C1-442D-B229-1F5DF069906F}"/>
    <cellStyle name="Note 3 2 3 3 2 5" xfId="39187" xr:uid="{646CF7FA-623C-4E65-BBCE-FD920C80C204}"/>
    <cellStyle name="Note 3 2 3 3 2 6" xfId="12993" xr:uid="{52C44764-B1B9-4123-A4EF-C6DF9F03D6A6}"/>
    <cellStyle name="Note 3 2 3 3 3" xfId="5739" xr:uid="{00000000-0005-0000-0000-000084210000}"/>
    <cellStyle name="Note 3 2 3 3 3 2" xfId="24365" xr:uid="{62173D71-56EE-45BA-97A8-871B7669CECE}"/>
    <cellStyle name="Note 3 2 3 3 3 3" xfId="32812" xr:uid="{1AFCC0D6-19F1-4B4A-849B-240B67A3D431}"/>
    <cellStyle name="Note 3 2 3 3 3 4" xfId="41259" xr:uid="{10327EE2-8B77-4304-9620-4ABDA08DD286}"/>
    <cellStyle name="Note 3 2 3 3 3 5" xfId="15065" xr:uid="{6B9744EF-4F47-4C1F-85EA-6717987ECAF7}"/>
    <cellStyle name="Note 3 2 3 3 4" xfId="20148" xr:uid="{EEE3DDBE-5C6A-474D-8A1D-E7E81FB7EFB0}"/>
    <cellStyle name="Note 3 2 3 3 5" xfId="28595" xr:uid="{D483D63E-98E7-4F83-ACBE-B3B94E69A927}"/>
    <cellStyle name="Note 3 2 3 3 6" xfId="37042" xr:uid="{FC5060FB-4B00-4222-A76C-C8F733631906}"/>
    <cellStyle name="Note 3 2 3 3 7" xfId="10848" xr:uid="{3D9B753C-0954-4718-BBAF-C0163B21719E}"/>
    <cellStyle name="Note 3 2 3 4" xfId="1846" xr:uid="{00000000-0005-0000-0000-000085210000}"/>
    <cellStyle name="Note 3 2 3 4 2" xfId="4075" xr:uid="{00000000-0005-0000-0000-000086210000}"/>
    <cellStyle name="Note 3 2 3 4 2 2" xfId="8297" xr:uid="{00000000-0005-0000-0000-000087210000}"/>
    <cellStyle name="Note 3 2 3 4 2 2 2" xfId="26923" xr:uid="{CE056414-9429-4030-9703-5A7505BE1FD8}"/>
    <cellStyle name="Note 3 2 3 4 2 2 3" xfId="35370" xr:uid="{1600540C-36B2-41AF-9C76-8D339876378D}"/>
    <cellStyle name="Note 3 2 3 4 2 2 4" xfId="43817" xr:uid="{6AF9CD5E-7677-4049-93C2-7EB59B099546}"/>
    <cellStyle name="Note 3 2 3 4 2 2 5" xfId="17623" xr:uid="{A0A64E8B-5D9B-45D7-9395-F2A06372D835}"/>
    <cellStyle name="Note 3 2 3 4 2 3" xfId="22706" xr:uid="{17C2A1BF-E39A-4BD1-A46B-68AA9C103E33}"/>
    <cellStyle name="Note 3 2 3 4 2 4" xfId="31153" xr:uid="{2A378A73-8556-43E1-9892-1A9DF9BE0D7A}"/>
    <cellStyle name="Note 3 2 3 4 2 5" xfId="39600" xr:uid="{5353F5FE-3F20-4A26-8678-841C6CC97087}"/>
    <cellStyle name="Note 3 2 3 4 2 6" xfId="13406" xr:uid="{C0833E81-503A-4560-B2B3-5D07F71258DA}"/>
    <cellStyle name="Note 3 2 3 4 3" xfId="6152" xr:uid="{00000000-0005-0000-0000-000088210000}"/>
    <cellStyle name="Note 3 2 3 4 3 2" xfId="24778" xr:uid="{60BA83CE-8D93-4DF1-BC93-0F846B70FC77}"/>
    <cellStyle name="Note 3 2 3 4 3 3" xfId="33225" xr:uid="{D954414A-5447-4975-9BD2-13106D354FE5}"/>
    <cellStyle name="Note 3 2 3 4 3 4" xfId="41672" xr:uid="{F6720DE8-9621-4552-92DD-04234FBC19E5}"/>
    <cellStyle name="Note 3 2 3 4 3 5" xfId="15478" xr:uid="{7F816FFA-EA61-4B24-8FB1-D3789B0E1354}"/>
    <cellStyle name="Note 3 2 3 4 4" xfId="20561" xr:uid="{CFBEFB1C-EA5F-4A35-8027-F76B9C5CAD17}"/>
    <cellStyle name="Note 3 2 3 4 5" xfId="29008" xr:uid="{80F21BBA-77D2-4D08-856E-60813F7D101E}"/>
    <cellStyle name="Note 3 2 3 4 6" xfId="37455" xr:uid="{96246347-7A1E-4C74-AA8E-94B46C411FCD}"/>
    <cellStyle name="Note 3 2 3 4 7" xfId="11261" xr:uid="{81D61EBC-6075-44FC-839D-9688670236DD}"/>
    <cellStyle name="Note 3 2 3 5" xfId="2259" xr:uid="{00000000-0005-0000-0000-000089210000}"/>
    <cellStyle name="Note 3 2 3 5 2" xfId="4488" xr:uid="{00000000-0005-0000-0000-00008A210000}"/>
    <cellStyle name="Note 3 2 3 5 2 2" xfId="8710" xr:uid="{00000000-0005-0000-0000-00008B210000}"/>
    <cellStyle name="Note 3 2 3 5 2 2 2" xfId="27336" xr:uid="{8B4B341A-08E1-419C-9DD6-55ECDC66D066}"/>
    <cellStyle name="Note 3 2 3 5 2 2 3" xfId="35783" xr:uid="{B7940A1E-4D9C-4E61-AD51-5B23CEE7FF8E}"/>
    <cellStyle name="Note 3 2 3 5 2 2 4" xfId="44230" xr:uid="{23C8C7C2-6E23-43E6-95AE-D91EA7BB821D}"/>
    <cellStyle name="Note 3 2 3 5 2 2 5" xfId="18036" xr:uid="{6F7D60F8-CE80-4D01-9C43-C8E1FFC2FA40}"/>
    <cellStyle name="Note 3 2 3 5 2 3" xfId="23119" xr:uid="{EF63523E-E953-41E5-8759-1FFECB02C3BB}"/>
    <cellStyle name="Note 3 2 3 5 2 4" xfId="31566" xr:uid="{55E4763E-AF9F-4CEA-9C8F-A043A39AA4FA}"/>
    <cellStyle name="Note 3 2 3 5 2 5" xfId="40013" xr:uid="{6ED0779D-D410-472B-AFAB-32C040787E77}"/>
    <cellStyle name="Note 3 2 3 5 2 6" xfId="13819" xr:uid="{808DF5D4-EE70-4189-A849-70E2C472E71F}"/>
    <cellStyle name="Note 3 2 3 5 3" xfId="6565" xr:uid="{00000000-0005-0000-0000-00008C210000}"/>
    <cellStyle name="Note 3 2 3 5 3 2" xfId="25191" xr:uid="{B868B6E0-09B8-461D-AE5B-428233E0FEEB}"/>
    <cellStyle name="Note 3 2 3 5 3 3" xfId="33638" xr:uid="{B7EB879C-FE12-4834-B6F9-F73E4F0CEA9F}"/>
    <cellStyle name="Note 3 2 3 5 3 4" xfId="42085" xr:uid="{4A55009A-87C2-4BB4-89FD-30A0309F83EC}"/>
    <cellStyle name="Note 3 2 3 5 3 5" xfId="15891" xr:uid="{E21B368C-C26A-4115-8752-63EF86A4C59A}"/>
    <cellStyle name="Note 3 2 3 5 4" xfId="20974" xr:uid="{8508ED84-2814-4E01-9AA0-2F4444FF94D8}"/>
    <cellStyle name="Note 3 2 3 5 5" xfId="29421" xr:uid="{76504C5F-73EB-4E39-9996-F226CDE7B87C}"/>
    <cellStyle name="Note 3 2 3 5 6" xfId="37868" xr:uid="{B9A69BD1-9F6E-4806-912C-375ABB82B675}"/>
    <cellStyle name="Note 3 2 3 5 7" xfId="11674" xr:uid="{D71E5C3E-348E-4056-A8ED-FDF0CE2DADBA}"/>
    <cellStyle name="Note 3 2 3 6" xfId="2695" xr:uid="{00000000-0005-0000-0000-00008D210000}"/>
    <cellStyle name="Note 3 2 3 6 2" xfId="6978" xr:uid="{00000000-0005-0000-0000-00008E210000}"/>
    <cellStyle name="Note 3 2 3 6 2 2" xfId="25604" xr:uid="{96E636F9-CAC6-4C46-8FA0-AA3D9615AA38}"/>
    <cellStyle name="Note 3 2 3 6 2 3" xfId="34051" xr:uid="{FCC93763-4C62-4137-9CAB-4EC5C9111708}"/>
    <cellStyle name="Note 3 2 3 6 2 4" xfId="42498" xr:uid="{D924F5B1-C4DE-480E-AE93-B2D864582E68}"/>
    <cellStyle name="Note 3 2 3 6 2 5" xfId="16304" xr:uid="{25BD2DEA-66F4-4767-A21E-699419CA19EB}"/>
    <cellStyle name="Note 3 2 3 6 3" xfId="21387" xr:uid="{6FDBDE4B-513D-430B-8BFD-02B4098ED047}"/>
    <cellStyle name="Note 3 2 3 6 4" xfId="29834" xr:uid="{3F5FDED7-4E88-4951-879D-BE83A49C5D55}"/>
    <cellStyle name="Note 3 2 3 6 5" xfId="38281" xr:uid="{2F0A0A62-ED9C-483F-A7B2-F5475CB94ABE}"/>
    <cellStyle name="Note 3 2 3 6 6" xfId="12087" xr:uid="{92B31037-063D-4862-82EF-1619B9429BE6}"/>
    <cellStyle name="Note 3 2 3 7" xfId="2754" xr:uid="{00000000-0005-0000-0000-00008F210000}"/>
    <cellStyle name="Note 3 2 3 8" xfId="2835" xr:uid="{00000000-0005-0000-0000-000090210000}"/>
    <cellStyle name="Note 3 2 3 8 2" xfId="7058" xr:uid="{00000000-0005-0000-0000-000091210000}"/>
    <cellStyle name="Note 3 2 3 8 2 2" xfId="25684" xr:uid="{30E77F77-CCA1-4650-BDDB-5D57FAD54D76}"/>
    <cellStyle name="Note 3 2 3 8 2 3" xfId="34131" xr:uid="{0862F9E5-243C-49AC-BB45-748F14FC3BFD}"/>
    <cellStyle name="Note 3 2 3 8 2 4" xfId="42578" xr:uid="{9BF343D6-C0CD-41BA-AB8B-67B06560AC7A}"/>
    <cellStyle name="Note 3 2 3 8 2 5" xfId="16384" xr:uid="{82C02EEB-61DC-4729-B9F3-37112310D396}"/>
    <cellStyle name="Note 3 2 3 8 3" xfId="21467" xr:uid="{9C35CCB1-DA6E-45A0-879A-550790812AFD}"/>
    <cellStyle name="Note 3 2 3 8 4" xfId="29914" xr:uid="{D0D52945-4CC9-4DAA-9FCC-DF78217CE196}"/>
    <cellStyle name="Note 3 2 3 8 5" xfId="38361" xr:uid="{7AF8109B-1650-433E-BEB4-E4E8DDFCF1E0}"/>
    <cellStyle name="Note 3 2 3 8 6" xfId="12167" xr:uid="{D053088D-D2BB-40DD-919D-AC680909D42B}"/>
    <cellStyle name="Note 3 2 3 9" xfId="4913" xr:uid="{00000000-0005-0000-0000-000092210000}"/>
    <cellStyle name="Note 3 2 3 9 2" xfId="23539" xr:uid="{6C82B246-F889-4287-B71B-CC7876E325F0}"/>
    <cellStyle name="Note 3 2 3 9 3" xfId="31986" xr:uid="{633AE128-2FC2-4CDE-8C10-F6BAF9605530}"/>
    <cellStyle name="Note 3 2 3 9 4" xfId="40433" xr:uid="{38434C64-3602-4B48-8689-52D8F869CD79}"/>
    <cellStyle name="Note 3 2 3 9 5" xfId="14239" xr:uid="{4080CE19-91A9-4F77-8ADA-00DEA4E0A9DA}"/>
    <cellStyle name="Note 3 2 4" xfId="1014" xr:uid="{00000000-0005-0000-0000-000093210000}"/>
    <cellStyle name="Note 3 2 4 2" xfId="3246" xr:uid="{00000000-0005-0000-0000-000094210000}"/>
    <cellStyle name="Note 3 2 4 2 2" xfId="7468" xr:uid="{00000000-0005-0000-0000-000095210000}"/>
    <cellStyle name="Note 3 2 4 2 2 2" xfId="26094" xr:uid="{9D0E87DC-FFE5-43B7-917E-9B2D7C7664FA}"/>
    <cellStyle name="Note 3 2 4 2 2 3" xfId="34541" xr:uid="{0A0D903A-2A40-4C69-AA38-95E70EC83814}"/>
    <cellStyle name="Note 3 2 4 2 2 4" xfId="42988" xr:uid="{E0226DAE-A466-42AC-9541-77BE388CFAB0}"/>
    <cellStyle name="Note 3 2 4 2 2 5" xfId="16794" xr:uid="{E5B48755-370A-4571-A084-F558FF30CCA0}"/>
    <cellStyle name="Note 3 2 4 2 3" xfId="21877" xr:uid="{FE659F25-AE56-4EC7-A53A-212CFAA17A82}"/>
    <cellStyle name="Note 3 2 4 2 4" xfId="30324" xr:uid="{65810015-F1E0-4E98-9B3C-70AC87A9F277}"/>
    <cellStyle name="Note 3 2 4 2 5" xfId="38771" xr:uid="{5167BADD-4A6C-4B95-B99E-0240D6DA2039}"/>
    <cellStyle name="Note 3 2 4 2 6" xfId="12577" xr:uid="{6B3B2A41-DF0C-4C74-A460-6455531A3610}"/>
    <cellStyle name="Note 3 2 4 3" xfId="5323" xr:uid="{00000000-0005-0000-0000-000096210000}"/>
    <cellStyle name="Note 3 2 4 3 2" xfId="23949" xr:uid="{5D1B4BB6-7A45-4B6A-8C20-13A49670C31D}"/>
    <cellStyle name="Note 3 2 4 3 3" xfId="32396" xr:uid="{106CFF2B-D0B8-4583-AD5B-FF2CB744D77C}"/>
    <cellStyle name="Note 3 2 4 3 4" xfId="40843" xr:uid="{8AA933F5-E18C-4615-BFEC-8E35553DC6C6}"/>
    <cellStyle name="Note 3 2 4 3 5" xfId="14649" xr:uid="{A8E1D3EE-EDCC-4BBE-8175-88946F4B76F0}"/>
    <cellStyle name="Note 3 2 4 4" xfId="9267" xr:uid="{1291CED5-E18E-4F1A-8856-A132B18F5C81}"/>
    <cellStyle name="Note 3 2 4 4 2" xfId="18583" xr:uid="{E9A30ED7-326A-4417-88BF-6C2AC73BFEF8}"/>
    <cellStyle name="Note 3 2 4 5" xfId="19732" xr:uid="{C9717434-AF7B-42E1-A9B8-407FB0F6E2D7}"/>
    <cellStyle name="Note 3 2 4 6" xfId="28179" xr:uid="{01BFC2A3-DCCA-4A26-B327-01E3F113584E}"/>
    <cellStyle name="Note 3 2 4 7" xfId="36626" xr:uid="{49B16248-0E45-4656-A522-098D0957A5AE}"/>
    <cellStyle name="Note 3 2 4 8" xfId="10432" xr:uid="{A3DAD725-BB47-4DBF-B8FA-11DFDEA75F62}"/>
    <cellStyle name="Note 3 2 5" xfId="1429" xr:uid="{00000000-0005-0000-0000-000097210000}"/>
    <cellStyle name="Note 3 2 5 2" xfId="3659" xr:uid="{00000000-0005-0000-0000-000098210000}"/>
    <cellStyle name="Note 3 2 5 2 2" xfId="7881" xr:uid="{00000000-0005-0000-0000-000099210000}"/>
    <cellStyle name="Note 3 2 5 2 2 2" xfId="26507" xr:uid="{59FCC1F1-7C83-4D8D-AE43-C85527C1D019}"/>
    <cellStyle name="Note 3 2 5 2 2 3" xfId="34954" xr:uid="{4640552B-E9AD-425A-890B-FBE9B8A7397F}"/>
    <cellStyle name="Note 3 2 5 2 2 4" xfId="43401" xr:uid="{524F3FD8-F37C-4B8E-9327-9F1785AF16EB}"/>
    <cellStyle name="Note 3 2 5 2 2 5" xfId="17207" xr:uid="{29C3B592-BE2D-4F93-9285-0FD8918BEECA}"/>
    <cellStyle name="Note 3 2 5 2 3" xfId="22290" xr:uid="{6424E9BD-1AF7-4871-B965-606232A1A754}"/>
    <cellStyle name="Note 3 2 5 2 4" xfId="30737" xr:uid="{6AC849C8-E30C-4314-B2C6-66A2128A15FE}"/>
    <cellStyle name="Note 3 2 5 2 5" xfId="39184" xr:uid="{15D56BA7-75CD-4263-B889-661E398FCE06}"/>
    <cellStyle name="Note 3 2 5 2 6" xfId="12990" xr:uid="{779CBD17-E35D-497B-BA53-D5B57E74E724}"/>
    <cellStyle name="Note 3 2 5 3" xfId="5736" xr:uid="{00000000-0005-0000-0000-00009A210000}"/>
    <cellStyle name="Note 3 2 5 3 2" xfId="24362" xr:uid="{200F387C-A9A5-46F6-838C-54F320F0B1B9}"/>
    <cellStyle name="Note 3 2 5 3 3" xfId="32809" xr:uid="{4EF0CAFE-916A-48DF-80A9-B7E76CD6F309}"/>
    <cellStyle name="Note 3 2 5 3 4" xfId="41256" xr:uid="{17D78439-05FA-4E3C-B665-5E7AA72354C7}"/>
    <cellStyle name="Note 3 2 5 3 5" xfId="15062" xr:uid="{84E4DAB8-8BEE-483A-8B71-A9DE18F9C44A}"/>
    <cellStyle name="Note 3 2 5 4" xfId="20145" xr:uid="{95976ADF-D32A-44E8-8D83-CC05825C41C4}"/>
    <cellStyle name="Note 3 2 5 5" xfId="28592" xr:uid="{6286DA9E-981E-4DC8-9661-1D8C4C795DDE}"/>
    <cellStyle name="Note 3 2 5 6" xfId="37039" xr:uid="{A9460FE2-5A0B-4403-A7F3-CCFD9826BE22}"/>
    <cellStyle name="Note 3 2 5 7" xfId="10845" xr:uid="{EF44FCFA-8280-473E-A637-2B2D2515C3DF}"/>
    <cellStyle name="Note 3 2 6" xfId="1843" xr:uid="{00000000-0005-0000-0000-00009B210000}"/>
    <cellStyle name="Note 3 2 6 2" xfId="4072" xr:uid="{00000000-0005-0000-0000-00009C210000}"/>
    <cellStyle name="Note 3 2 6 2 2" xfId="8294" xr:uid="{00000000-0005-0000-0000-00009D210000}"/>
    <cellStyle name="Note 3 2 6 2 2 2" xfId="26920" xr:uid="{00426780-B633-4701-8A46-85B26C86363E}"/>
    <cellStyle name="Note 3 2 6 2 2 3" xfId="35367" xr:uid="{49EC10F9-2126-48AF-BFAE-DC2A615A7F30}"/>
    <cellStyle name="Note 3 2 6 2 2 4" xfId="43814" xr:uid="{350C01D1-FE53-4040-9270-CFDE24387FF9}"/>
    <cellStyle name="Note 3 2 6 2 2 5" xfId="17620" xr:uid="{A2101E24-0086-40DD-8DD7-0FF8ED4DE480}"/>
    <cellStyle name="Note 3 2 6 2 3" xfId="22703" xr:uid="{091C309A-B728-4E68-9F86-650BE15840BA}"/>
    <cellStyle name="Note 3 2 6 2 4" xfId="31150" xr:uid="{8350F2B6-185C-4EA7-9804-265D66ED1E05}"/>
    <cellStyle name="Note 3 2 6 2 5" xfId="39597" xr:uid="{1C84A70C-6E75-420D-BFDC-68A6146D3F7D}"/>
    <cellStyle name="Note 3 2 6 2 6" xfId="13403" xr:uid="{0CC31BE8-8FE2-4A45-B950-B45CC8780718}"/>
    <cellStyle name="Note 3 2 6 3" xfId="6149" xr:uid="{00000000-0005-0000-0000-00009E210000}"/>
    <cellStyle name="Note 3 2 6 3 2" xfId="24775" xr:uid="{1AA0D0B3-4C9B-4178-BFEC-1A32B64D7CF3}"/>
    <cellStyle name="Note 3 2 6 3 3" xfId="33222" xr:uid="{F7EBA806-7180-4FE4-A13C-3B1EC04F3D0A}"/>
    <cellStyle name="Note 3 2 6 3 4" xfId="41669" xr:uid="{6CD4B969-359A-4977-91D2-ACFA77FAE41A}"/>
    <cellStyle name="Note 3 2 6 3 5" xfId="15475" xr:uid="{04A1BC54-EDB9-4658-A19C-358ED4AB066A}"/>
    <cellStyle name="Note 3 2 6 4" xfId="20558" xr:uid="{960F71E7-5394-4976-95E8-0FAEF5F0C0A4}"/>
    <cellStyle name="Note 3 2 6 5" xfId="29005" xr:uid="{E1A4C259-62C2-421F-8C2B-18B1980559AA}"/>
    <cellStyle name="Note 3 2 6 6" xfId="37452" xr:uid="{B76C5668-2D98-49EB-B8D5-CB255A941E36}"/>
    <cellStyle name="Note 3 2 6 7" xfId="11258" xr:uid="{86A0609A-3E57-468D-882E-7A292C0929DA}"/>
    <cellStyle name="Note 3 2 7" xfId="2256" xr:uid="{00000000-0005-0000-0000-00009F210000}"/>
    <cellStyle name="Note 3 2 7 2" xfId="4485" xr:uid="{00000000-0005-0000-0000-0000A0210000}"/>
    <cellStyle name="Note 3 2 7 2 2" xfId="8707" xr:uid="{00000000-0005-0000-0000-0000A1210000}"/>
    <cellStyle name="Note 3 2 7 2 2 2" xfId="27333" xr:uid="{F21D3554-3EF4-46FD-BED7-A1978F02027B}"/>
    <cellStyle name="Note 3 2 7 2 2 3" xfId="35780" xr:uid="{20884831-AD1B-4EBC-88B0-2093D5F2A412}"/>
    <cellStyle name="Note 3 2 7 2 2 4" xfId="44227" xr:uid="{1A8AF246-FE15-48A9-AEEF-FD06C4285043}"/>
    <cellStyle name="Note 3 2 7 2 2 5" xfId="18033" xr:uid="{BF239AB4-67D1-475C-8B7C-2831434BF497}"/>
    <cellStyle name="Note 3 2 7 2 3" xfId="23116" xr:uid="{AEA4FBA6-F6C6-41FC-BF90-3D9C3D08D22F}"/>
    <cellStyle name="Note 3 2 7 2 4" xfId="31563" xr:uid="{343D0F60-8BFB-4293-B775-260DE8F5E985}"/>
    <cellStyle name="Note 3 2 7 2 5" xfId="40010" xr:uid="{80DD03E8-BF2C-46C2-AB0C-D8163F88B3D7}"/>
    <cellStyle name="Note 3 2 7 2 6" xfId="13816" xr:uid="{4086AC1A-5F0A-4958-91EB-DCFDC4A63A68}"/>
    <cellStyle name="Note 3 2 7 3" xfId="6562" xr:uid="{00000000-0005-0000-0000-0000A2210000}"/>
    <cellStyle name="Note 3 2 7 3 2" xfId="25188" xr:uid="{CDC62DFA-3827-4327-9E84-62792B25C8D0}"/>
    <cellStyle name="Note 3 2 7 3 3" xfId="33635" xr:uid="{BB1078E3-9C91-471B-93D6-7FA85C6C7A84}"/>
    <cellStyle name="Note 3 2 7 3 4" xfId="42082" xr:uid="{8CB67D8E-6D6D-49BE-9017-756580814C9E}"/>
    <cellStyle name="Note 3 2 7 3 5" xfId="15888" xr:uid="{EA633B4C-4ABF-4A9C-833D-F682D67D38FF}"/>
    <cellStyle name="Note 3 2 7 4" xfId="20971" xr:uid="{B258E514-8FCC-4FA9-B613-301EC712CEBC}"/>
    <cellStyle name="Note 3 2 7 5" xfId="29418" xr:uid="{8FF89BD1-AACC-40C6-B3F0-A68E72D35F59}"/>
    <cellStyle name="Note 3 2 7 6" xfId="37865" xr:uid="{90026E9B-B037-4CBA-878C-ED2C9842E46C}"/>
    <cellStyle name="Note 3 2 7 7" xfId="11671" xr:uid="{687AA2BC-391B-4F27-8903-4B81B781EE1E}"/>
    <cellStyle name="Note 3 2 8" xfId="2692" xr:uid="{00000000-0005-0000-0000-0000A3210000}"/>
    <cellStyle name="Note 3 2 8 2" xfId="6975" xr:uid="{00000000-0005-0000-0000-0000A4210000}"/>
    <cellStyle name="Note 3 2 8 2 2" xfId="25601" xr:uid="{401C814F-5D2D-447B-BA0E-14B54B080052}"/>
    <cellStyle name="Note 3 2 8 2 3" xfId="34048" xr:uid="{39C7D57D-7550-4F13-98FD-9C783A351047}"/>
    <cellStyle name="Note 3 2 8 2 4" xfId="42495" xr:uid="{6F99FA6E-D076-4699-8CDD-B94E668A877A}"/>
    <cellStyle name="Note 3 2 8 2 5" xfId="16301" xr:uid="{B46DE547-B672-4064-B1C3-3397F90B0601}"/>
    <cellStyle name="Note 3 2 8 3" xfId="21384" xr:uid="{0CC370F9-2EDD-47B5-BBD3-D81AF29FCAA2}"/>
    <cellStyle name="Note 3 2 8 4" xfId="29831" xr:uid="{9F740854-A73E-4925-A2D5-5878AE6B4C41}"/>
    <cellStyle name="Note 3 2 8 5" xfId="38278" xr:uid="{1E40AAA7-F938-4A32-A7E0-5A158E9054DD}"/>
    <cellStyle name="Note 3 2 8 6" xfId="12084" xr:uid="{5935816A-B251-44EC-B012-9456049E2F03}"/>
    <cellStyle name="Note 3 2 9" xfId="2751" xr:uid="{00000000-0005-0000-0000-0000A5210000}"/>
    <cellStyle name="Note 3 3" xfId="558" xr:uid="{00000000-0005-0000-0000-0000A6210000}"/>
    <cellStyle name="Note 3 3 10" xfId="4914" xr:uid="{00000000-0005-0000-0000-0000A7210000}"/>
    <cellStyle name="Note 3 3 10 2" xfId="23540" xr:uid="{980125EB-DF74-47B6-A435-FA9881275BD6}"/>
    <cellStyle name="Note 3 3 10 3" xfId="31987" xr:uid="{251DB8AB-6B51-4160-9BD1-9324556E659C}"/>
    <cellStyle name="Note 3 3 10 4" xfId="40434" xr:uid="{384A4E51-52B3-4190-9E11-D1AE64263B19}"/>
    <cellStyle name="Note 3 3 10 5" xfId="14240" xr:uid="{C4886EB7-FA26-4201-89C2-5D40EF6321D2}"/>
    <cellStyle name="Note 3 3 11" xfId="8892" xr:uid="{8511F94A-7472-4DD0-A9AB-40754FEE5F47}"/>
    <cellStyle name="Note 3 3 11 2" xfId="18216" xr:uid="{38A1B7C5-98DC-4446-9C8E-4821421B4AE6}"/>
    <cellStyle name="Note 3 3 12" xfId="19323" xr:uid="{F2D2FBB1-A9C1-4361-9D2F-03A98FD2AAB7}"/>
    <cellStyle name="Note 3 3 13" xfId="27770" xr:uid="{16EACA90-95C8-45B3-9EF2-EB541B7347CF}"/>
    <cellStyle name="Note 3 3 14" xfId="36217" xr:uid="{3E7424C2-89BE-4CD9-854A-669C24A25215}"/>
    <cellStyle name="Note 3 3 15" xfId="10023" xr:uid="{6EB78A5B-CE5B-4850-9654-3174844149DD}"/>
    <cellStyle name="Note 3 3 2" xfId="559" xr:uid="{00000000-0005-0000-0000-0000A8210000}"/>
    <cellStyle name="Note 3 3 2 10" xfId="9099" xr:uid="{29F3AC20-D296-4B59-BA53-0A5C025B0569}"/>
    <cellStyle name="Note 3 3 2 10 2" xfId="18423" xr:uid="{F4D54D60-DF28-4EF7-B7BD-520A9FDB2BC1}"/>
    <cellStyle name="Note 3 3 2 11" xfId="19324" xr:uid="{56999CDA-8A01-4310-9C2B-B4A4E9F0A7D0}"/>
    <cellStyle name="Note 3 3 2 12" xfId="27771" xr:uid="{B024E191-C11B-436A-81D4-CF49377D7D66}"/>
    <cellStyle name="Note 3 3 2 13" xfId="36218" xr:uid="{1453168D-6992-44B8-8817-DF3438AA78FA}"/>
    <cellStyle name="Note 3 3 2 14" xfId="10024" xr:uid="{81C6510C-D5A9-4CC7-AE88-646A9518674D}"/>
    <cellStyle name="Note 3 3 2 2" xfId="1019" xr:uid="{00000000-0005-0000-0000-0000A9210000}"/>
    <cellStyle name="Note 3 3 2 2 2" xfId="3251" xr:uid="{00000000-0005-0000-0000-0000AA210000}"/>
    <cellStyle name="Note 3 3 2 2 2 2" xfId="7473" xr:uid="{00000000-0005-0000-0000-0000AB210000}"/>
    <cellStyle name="Note 3 3 2 2 2 2 2" xfId="26099" xr:uid="{AF712653-6C0D-4022-B945-DC7E211A88BD}"/>
    <cellStyle name="Note 3 3 2 2 2 2 3" xfId="34546" xr:uid="{9094E238-C871-47E2-B5D3-27AAC81EB38B}"/>
    <cellStyle name="Note 3 3 2 2 2 2 4" xfId="42993" xr:uid="{EE308B59-EB55-4F2D-8044-1FD30068AB5E}"/>
    <cellStyle name="Note 3 3 2 2 2 2 5" xfId="16799" xr:uid="{4973C0D5-10A3-4D8C-8563-32AE0CC507EC}"/>
    <cellStyle name="Note 3 3 2 2 2 3" xfId="21882" xr:uid="{21DAB34F-4D45-4716-ADF1-65907A854631}"/>
    <cellStyle name="Note 3 3 2 2 2 4" xfId="30329" xr:uid="{5C2641C5-B856-421B-B61A-079A4B035C82}"/>
    <cellStyle name="Note 3 3 2 2 2 5" xfId="38776" xr:uid="{B920754F-1D3E-4012-8EF4-4A7C75ADD4C9}"/>
    <cellStyle name="Note 3 3 2 2 2 6" xfId="12582" xr:uid="{81EC26B9-8BB4-44F9-B997-DB4F9CEE7B2D}"/>
    <cellStyle name="Note 3 3 2 2 3" xfId="5328" xr:uid="{00000000-0005-0000-0000-0000AC210000}"/>
    <cellStyle name="Note 3 3 2 2 3 2" xfId="23954" xr:uid="{3514C90F-03DF-4894-8FCB-32E50CAF439C}"/>
    <cellStyle name="Note 3 3 2 2 3 3" xfId="32401" xr:uid="{09CBF5D7-8679-4ADD-8FE4-0B87DA741A6D}"/>
    <cellStyle name="Note 3 3 2 2 3 4" xfId="40848" xr:uid="{9F823D7A-29F3-4A73-89E7-DDE19031196B}"/>
    <cellStyle name="Note 3 3 2 2 3 5" xfId="14654" xr:uid="{8757546D-D3FB-4DC4-BD4B-5AF8F5002FDB}"/>
    <cellStyle name="Note 3 3 2 2 4" xfId="9524" xr:uid="{D03F5DE7-D9AB-48C0-A1E3-0A929D2C18C5}"/>
    <cellStyle name="Note 3 3 2 2 4 2" xfId="18840" xr:uid="{9D0CE29D-3D8D-41BD-97C6-B0E28A9EA8C1}"/>
    <cellStyle name="Note 3 3 2 2 5" xfId="19737" xr:uid="{F25BFA78-F769-413A-8830-732CF41AA0B9}"/>
    <cellStyle name="Note 3 3 2 2 6" xfId="28184" xr:uid="{7234101E-EE2D-4C86-A394-7F4077B79FEE}"/>
    <cellStyle name="Note 3 3 2 2 7" xfId="36631" xr:uid="{804CB16A-3FE9-427F-9879-5A8511D82615}"/>
    <cellStyle name="Note 3 3 2 2 8" xfId="10437" xr:uid="{12407A7C-C6B5-4F57-A92B-CBEE4B9E0D3C}"/>
    <cellStyle name="Note 3 3 2 3" xfId="1434" xr:uid="{00000000-0005-0000-0000-0000AD210000}"/>
    <cellStyle name="Note 3 3 2 3 2" xfId="3664" xr:uid="{00000000-0005-0000-0000-0000AE210000}"/>
    <cellStyle name="Note 3 3 2 3 2 2" xfId="7886" xr:uid="{00000000-0005-0000-0000-0000AF210000}"/>
    <cellStyle name="Note 3 3 2 3 2 2 2" xfId="26512" xr:uid="{5AE68A95-AC59-4A3B-8D3D-9AA5ED81A1AD}"/>
    <cellStyle name="Note 3 3 2 3 2 2 3" xfId="34959" xr:uid="{243709E5-67AB-4F34-BCA2-17E585BC6A1F}"/>
    <cellStyle name="Note 3 3 2 3 2 2 4" xfId="43406" xr:uid="{2D702ED3-F151-45B3-BE72-AC841EDB684D}"/>
    <cellStyle name="Note 3 3 2 3 2 2 5" xfId="17212" xr:uid="{10BE6376-D73B-46FC-A997-B7098E59543A}"/>
    <cellStyle name="Note 3 3 2 3 2 3" xfId="22295" xr:uid="{01290AED-E5F8-4BCE-BFC8-3C4C1A4B03F5}"/>
    <cellStyle name="Note 3 3 2 3 2 4" xfId="30742" xr:uid="{0F669317-7532-4E14-B74A-6BFF67E8A5EB}"/>
    <cellStyle name="Note 3 3 2 3 2 5" xfId="39189" xr:uid="{A45D3357-CE5B-41A5-ADF3-D86650C35D36}"/>
    <cellStyle name="Note 3 3 2 3 2 6" xfId="12995" xr:uid="{5D35EB5C-E511-4CDB-A195-A551988BFE6D}"/>
    <cellStyle name="Note 3 3 2 3 3" xfId="5741" xr:uid="{00000000-0005-0000-0000-0000B0210000}"/>
    <cellStyle name="Note 3 3 2 3 3 2" xfId="24367" xr:uid="{E8FCF81B-B036-43A3-8168-D3A6C7662AAE}"/>
    <cellStyle name="Note 3 3 2 3 3 3" xfId="32814" xr:uid="{72203904-6F21-4176-8E93-405506A2BC3B}"/>
    <cellStyle name="Note 3 3 2 3 3 4" xfId="41261" xr:uid="{D9233545-D18B-48CF-90A4-C29C43D2A7CB}"/>
    <cellStyle name="Note 3 3 2 3 3 5" xfId="15067" xr:uid="{3EFC710E-C579-4ACF-A8E7-81555117371E}"/>
    <cellStyle name="Note 3 3 2 3 4" xfId="20150" xr:uid="{E719DF77-2325-4428-A5CE-DAC849C900FB}"/>
    <cellStyle name="Note 3 3 2 3 5" xfId="28597" xr:uid="{073C1839-10CE-4126-A136-DD0A29AB44C3}"/>
    <cellStyle name="Note 3 3 2 3 6" xfId="37044" xr:uid="{0ABD29A0-41CC-482F-9DA4-08C484C1C19F}"/>
    <cellStyle name="Note 3 3 2 3 7" xfId="10850" xr:uid="{7CD34CE1-ECA2-494C-BECD-1FEFE1C356ED}"/>
    <cellStyle name="Note 3 3 2 4" xfId="1848" xr:uid="{00000000-0005-0000-0000-0000B1210000}"/>
    <cellStyle name="Note 3 3 2 4 2" xfId="4077" xr:uid="{00000000-0005-0000-0000-0000B2210000}"/>
    <cellStyle name="Note 3 3 2 4 2 2" xfId="8299" xr:uid="{00000000-0005-0000-0000-0000B3210000}"/>
    <cellStyle name="Note 3 3 2 4 2 2 2" xfId="26925" xr:uid="{5BB0741A-28B8-43A6-A071-A7874A65409D}"/>
    <cellStyle name="Note 3 3 2 4 2 2 3" xfId="35372" xr:uid="{CC3D84C8-8D43-41F5-81E8-491947EF4D4E}"/>
    <cellStyle name="Note 3 3 2 4 2 2 4" xfId="43819" xr:uid="{51C1CB0F-A164-4D3C-9416-B3E8E59FFBFF}"/>
    <cellStyle name="Note 3 3 2 4 2 2 5" xfId="17625" xr:uid="{2CF351F3-F311-460B-8DAD-4BA4817E2CEF}"/>
    <cellStyle name="Note 3 3 2 4 2 3" xfId="22708" xr:uid="{DA018966-C2ED-4AB5-9419-27D4C5A67E8A}"/>
    <cellStyle name="Note 3 3 2 4 2 4" xfId="31155" xr:uid="{1E2EA4AD-5082-456D-96C0-77896F33308A}"/>
    <cellStyle name="Note 3 3 2 4 2 5" xfId="39602" xr:uid="{FD6F887D-545F-4847-895A-CE28FEDDE60A}"/>
    <cellStyle name="Note 3 3 2 4 2 6" xfId="13408" xr:uid="{6AA78C4B-23E7-4B3D-BDB1-F8602B33F500}"/>
    <cellStyle name="Note 3 3 2 4 3" xfId="6154" xr:uid="{00000000-0005-0000-0000-0000B4210000}"/>
    <cellStyle name="Note 3 3 2 4 3 2" xfId="24780" xr:uid="{967B5A0D-B0C7-46E4-8EB3-BC79906EBFF4}"/>
    <cellStyle name="Note 3 3 2 4 3 3" xfId="33227" xr:uid="{005E6695-116C-4A89-9AC7-04ADDBA12FF6}"/>
    <cellStyle name="Note 3 3 2 4 3 4" xfId="41674" xr:uid="{DA460A26-157A-4006-85A2-3C1AECBB2939}"/>
    <cellStyle name="Note 3 3 2 4 3 5" xfId="15480" xr:uid="{791D40EB-2482-4D95-B7F2-9BEDAA5A0F22}"/>
    <cellStyle name="Note 3 3 2 4 4" xfId="20563" xr:uid="{2A833F1B-AD71-49F8-9C5D-A572ACB48EC1}"/>
    <cellStyle name="Note 3 3 2 4 5" xfId="29010" xr:uid="{229B9C24-160E-46F5-A4BC-A2A28EC87164}"/>
    <cellStyle name="Note 3 3 2 4 6" xfId="37457" xr:uid="{052839C6-BDF9-444F-9C5F-6CA587D05952}"/>
    <cellStyle name="Note 3 3 2 4 7" xfId="11263" xr:uid="{9E8774B3-C899-4C73-9EEF-13C26AFC24BC}"/>
    <cellStyle name="Note 3 3 2 5" xfId="2261" xr:uid="{00000000-0005-0000-0000-0000B5210000}"/>
    <cellStyle name="Note 3 3 2 5 2" xfId="4490" xr:uid="{00000000-0005-0000-0000-0000B6210000}"/>
    <cellStyle name="Note 3 3 2 5 2 2" xfId="8712" xr:uid="{00000000-0005-0000-0000-0000B7210000}"/>
    <cellStyle name="Note 3 3 2 5 2 2 2" xfId="27338" xr:uid="{93D74BA9-F1B0-445E-83B6-394466C2F2E2}"/>
    <cellStyle name="Note 3 3 2 5 2 2 3" xfId="35785" xr:uid="{9360BF71-0BC3-4F81-9D62-D80EB3EF0647}"/>
    <cellStyle name="Note 3 3 2 5 2 2 4" xfId="44232" xr:uid="{FA5E9791-D1A1-4413-BD77-49E2C2E1E6C5}"/>
    <cellStyle name="Note 3 3 2 5 2 2 5" xfId="18038" xr:uid="{BADB0534-538E-46FF-A084-C20E6E275924}"/>
    <cellStyle name="Note 3 3 2 5 2 3" xfId="23121" xr:uid="{4209ED40-16A4-4E54-87B2-29DFD7EFA155}"/>
    <cellStyle name="Note 3 3 2 5 2 4" xfId="31568" xr:uid="{E64A931F-3A50-4F91-9FDF-12353E0FE6C1}"/>
    <cellStyle name="Note 3 3 2 5 2 5" xfId="40015" xr:uid="{4ADEF068-E9D9-4848-AEDC-44FC1C4F5C35}"/>
    <cellStyle name="Note 3 3 2 5 2 6" xfId="13821" xr:uid="{480C6F38-13DD-44C1-B521-A51F5648C801}"/>
    <cellStyle name="Note 3 3 2 5 3" xfId="6567" xr:uid="{00000000-0005-0000-0000-0000B8210000}"/>
    <cellStyle name="Note 3 3 2 5 3 2" xfId="25193" xr:uid="{E7DA221C-B4F7-443B-8DA4-7B433EDA610B}"/>
    <cellStyle name="Note 3 3 2 5 3 3" xfId="33640" xr:uid="{E5C0AF2A-5E18-4C76-97E3-12DBA8A630D7}"/>
    <cellStyle name="Note 3 3 2 5 3 4" xfId="42087" xr:uid="{79EDA18E-2064-4E24-8596-46E93F0C133D}"/>
    <cellStyle name="Note 3 3 2 5 3 5" xfId="15893" xr:uid="{89DAD63D-02FA-4DFF-B058-86809DB9EA46}"/>
    <cellStyle name="Note 3 3 2 5 4" xfId="20976" xr:uid="{E73FAE3D-2E10-41C3-B7F3-47BC4B3BC4A7}"/>
    <cellStyle name="Note 3 3 2 5 5" xfId="29423" xr:uid="{7C5300AB-74EA-414F-940C-9606FEA642ED}"/>
    <cellStyle name="Note 3 3 2 5 6" xfId="37870" xr:uid="{C309E6BA-A3F8-406E-BC98-DABAF625E98C}"/>
    <cellStyle name="Note 3 3 2 5 7" xfId="11676" xr:uid="{85AE31C1-2F2A-4E9C-A32D-A7F9254F75D9}"/>
    <cellStyle name="Note 3 3 2 6" xfId="2697" xr:uid="{00000000-0005-0000-0000-0000B9210000}"/>
    <cellStyle name="Note 3 3 2 6 2" xfId="6980" xr:uid="{00000000-0005-0000-0000-0000BA210000}"/>
    <cellStyle name="Note 3 3 2 6 2 2" xfId="25606" xr:uid="{5057CC78-EA6F-42EB-9A16-9BBBCFD4C9E4}"/>
    <cellStyle name="Note 3 3 2 6 2 3" xfId="34053" xr:uid="{0DA5594F-AEA2-4CE0-9112-90DE24C9A174}"/>
    <cellStyle name="Note 3 3 2 6 2 4" xfId="42500" xr:uid="{09A28356-197F-496B-A6F9-AD0EE4010106}"/>
    <cellStyle name="Note 3 3 2 6 2 5" xfId="16306" xr:uid="{D5EFB8F3-0278-4FE3-B488-F889DC9C097F}"/>
    <cellStyle name="Note 3 3 2 6 3" xfId="21389" xr:uid="{6CEA0C30-0E31-46AC-8DAC-65F6D4557B6D}"/>
    <cellStyle name="Note 3 3 2 6 4" xfId="29836" xr:uid="{2BADC6D6-493A-43A2-8987-6F3821FEAC3D}"/>
    <cellStyle name="Note 3 3 2 6 5" xfId="38283" xr:uid="{9573B1F2-23B0-4466-B6DE-8E4BC29739B6}"/>
    <cellStyle name="Note 3 3 2 6 6" xfId="12089" xr:uid="{84465ADF-1556-458E-9454-8DF8E0EBEEC6}"/>
    <cellStyle name="Note 3 3 2 7" xfId="2756" xr:uid="{00000000-0005-0000-0000-0000BB210000}"/>
    <cellStyle name="Note 3 3 2 8" xfId="2837" xr:uid="{00000000-0005-0000-0000-0000BC210000}"/>
    <cellStyle name="Note 3 3 2 8 2" xfId="7060" xr:uid="{00000000-0005-0000-0000-0000BD210000}"/>
    <cellStyle name="Note 3 3 2 8 2 2" xfId="25686" xr:uid="{9C4ED540-F7F6-4575-926F-E90C43614133}"/>
    <cellStyle name="Note 3 3 2 8 2 3" xfId="34133" xr:uid="{D0CAC9B9-C5D3-4DF6-B5C1-23181407FC35}"/>
    <cellStyle name="Note 3 3 2 8 2 4" xfId="42580" xr:uid="{8F0BD6BA-74A6-466F-BEE3-2A9B84F59C61}"/>
    <cellStyle name="Note 3 3 2 8 2 5" xfId="16386" xr:uid="{FBF83DBA-8EE8-4473-AC13-B8C65303B8C7}"/>
    <cellStyle name="Note 3 3 2 8 3" xfId="21469" xr:uid="{BE2BF7DF-F796-4FBF-8ED7-CEC91CEE6FA6}"/>
    <cellStyle name="Note 3 3 2 8 4" xfId="29916" xr:uid="{69906549-A00A-4D18-9ED4-ADD3D5263A8E}"/>
    <cellStyle name="Note 3 3 2 8 5" xfId="38363" xr:uid="{AD57C2BF-A543-4453-B823-B28A2D92E768}"/>
    <cellStyle name="Note 3 3 2 8 6" xfId="12169" xr:uid="{4955912F-965B-4C9D-9D18-9062AB46D30C}"/>
    <cellStyle name="Note 3 3 2 9" xfId="4915" xr:uid="{00000000-0005-0000-0000-0000BE210000}"/>
    <cellStyle name="Note 3 3 2 9 2" xfId="23541" xr:uid="{4229C10C-699E-4BE9-9995-AEBE8BD388C4}"/>
    <cellStyle name="Note 3 3 2 9 3" xfId="31988" xr:uid="{8E420896-B77D-4DF7-AB98-E2F652405E83}"/>
    <cellStyle name="Note 3 3 2 9 4" xfId="40435" xr:uid="{01D1C5E4-0E53-44FD-911D-C2E0C921744B}"/>
    <cellStyle name="Note 3 3 2 9 5" xfId="14241" xr:uid="{8BF845FC-3DEF-49C2-B7FD-B26E5D07D8C6}"/>
    <cellStyle name="Note 3 3 3" xfId="1018" xr:uid="{00000000-0005-0000-0000-0000BF210000}"/>
    <cellStyle name="Note 3 3 3 2" xfId="3250" xr:uid="{00000000-0005-0000-0000-0000C0210000}"/>
    <cellStyle name="Note 3 3 3 2 2" xfId="7472" xr:uid="{00000000-0005-0000-0000-0000C1210000}"/>
    <cellStyle name="Note 3 3 3 2 2 2" xfId="26098" xr:uid="{0F580CE9-589F-4E03-9C1B-0660ACBBE2C3}"/>
    <cellStyle name="Note 3 3 3 2 2 3" xfId="34545" xr:uid="{6A263390-9F02-48B6-8AB2-3A9D379F5BA4}"/>
    <cellStyle name="Note 3 3 3 2 2 4" xfId="42992" xr:uid="{73407147-075E-4091-8D8B-FAF03FE08881}"/>
    <cellStyle name="Note 3 3 3 2 2 5" xfId="16798" xr:uid="{93C58844-12FE-4A4D-A4DF-4351869565DA}"/>
    <cellStyle name="Note 3 3 3 2 3" xfId="21881" xr:uid="{AA87AD90-D74A-4C88-A410-6BED32CC8180}"/>
    <cellStyle name="Note 3 3 3 2 4" xfId="30328" xr:uid="{CD087FF2-6219-42B9-801C-1B4780F829B7}"/>
    <cellStyle name="Note 3 3 3 2 5" xfId="38775" xr:uid="{83C014C7-E89E-440B-AB61-B1501CD2B634}"/>
    <cellStyle name="Note 3 3 3 2 6" xfId="12581" xr:uid="{A49E472A-C47A-4F42-81F7-D55FB107B4BC}"/>
    <cellStyle name="Note 3 3 3 3" xfId="5327" xr:uid="{00000000-0005-0000-0000-0000C2210000}"/>
    <cellStyle name="Note 3 3 3 3 2" xfId="23953" xr:uid="{A1C84896-DDE7-4D01-A8CB-D729B03E1D54}"/>
    <cellStyle name="Note 3 3 3 3 3" xfId="32400" xr:uid="{C7011AED-47BD-410E-A8A4-A4048C8595F6}"/>
    <cellStyle name="Note 3 3 3 3 4" xfId="40847" xr:uid="{E32B22E8-DFDC-47D7-AF87-DB49357A0298}"/>
    <cellStyle name="Note 3 3 3 3 5" xfId="14653" xr:uid="{46074CBC-794F-47A4-9E7E-B6D9AD10FF06}"/>
    <cellStyle name="Note 3 3 3 4" xfId="9317" xr:uid="{171D8024-554D-4F15-BFD3-81CBE1A601EA}"/>
    <cellStyle name="Note 3 3 3 4 2" xfId="18633" xr:uid="{4DB216D4-DB01-4895-9080-F739B81BC3E9}"/>
    <cellStyle name="Note 3 3 3 5" xfId="19736" xr:uid="{7E929459-AEBA-473D-BA1F-E590CD4F1572}"/>
    <cellStyle name="Note 3 3 3 6" xfId="28183" xr:uid="{32F68700-C8C1-4DC2-9F70-315577113407}"/>
    <cellStyle name="Note 3 3 3 7" xfId="36630" xr:uid="{AC7A4917-7FEA-4FF6-A521-89B231DF5C45}"/>
    <cellStyle name="Note 3 3 3 8" xfId="10436" xr:uid="{A3FDABD2-3314-42B1-875D-3159EC5D6B94}"/>
    <cellStyle name="Note 3 3 4" xfId="1433" xr:uid="{00000000-0005-0000-0000-0000C3210000}"/>
    <cellStyle name="Note 3 3 4 2" xfId="3663" xr:uid="{00000000-0005-0000-0000-0000C4210000}"/>
    <cellStyle name="Note 3 3 4 2 2" xfId="7885" xr:uid="{00000000-0005-0000-0000-0000C5210000}"/>
    <cellStyle name="Note 3 3 4 2 2 2" xfId="26511" xr:uid="{3BC493FB-6E70-45FC-A681-DB0029E2314C}"/>
    <cellStyle name="Note 3 3 4 2 2 3" xfId="34958" xr:uid="{A0913727-A4A1-4D52-A13A-DC3772F94117}"/>
    <cellStyle name="Note 3 3 4 2 2 4" xfId="43405" xr:uid="{AF2A94AD-9F47-4BBA-A815-763E1BA531AA}"/>
    <cellStyle name="Note 3 3 4 2 2 5" xfId="17211" xr:uid="{500A4740-3F9C-4351-BA8B-3A557995EE0F}"/>
    <cellStyle name="Note 3 3 4 2 3" xfId="22294" xr:uid="{940BC0D2-72E8-44EE-9528-474C94FCE5BA}"/>
    <cellStyle name="Note 3 3 4 2 4" xfId="30741" xr:uid="{9B24DF3E-4B61-4911-A677-74347C0107BE}"/>
    <cellStyle name="Note 3 3 4 2 5" xfId="39188" xr:uid="{1475A483-650C-4957-83FC-3F67EFEE28B2}"/>
    <cellStyle name="Note 3 3 4 2 6" xfId="12994" xr:uid="{CE6F6C86-97B5-4C4A-B74B-7373F9AAC4A3}"/>
    <cellStyle name="Note 3 3 4 3" xfId="5740" xr:uid="{00000000-0005-0000-0000-0000C6210000}"/>
    <cellStyle name="Note 3 3 4 3 2" xfId="24366" xr:uid="{F279C763-A7FC-4A05-BF7B-6D31CCEE563D}"/>
    <cellStyle name="Note 3 3 4 3 3" xfId="32813" xr:uid="{20E863DC-3481-4456-99F4-A92EEAD96E09}"/>
    <cellStyle name="Note 3 3 4 3 4" xfId="41260" xr:uid="{FD58C568-DC5D-46B0-91BE-977646055013}"/>
    <cellStyle name="Note 3 3 4 3 5" xfId="15066" xr:uid="{27D40B68-46A0-477E-BD82-2DE74153B667}"/>
    <cellStyle name="Note 3 3 4 4" xfId="20149" xr:uid="{FD716B08-EE40-4DAD-863E-91B7BA46BEFA}"/>
    <cellStyle name="Note 3 3 4 5" xfId="28596" xr:uid="{7252F1AB-05FE-4BFA-BFB2-279F5BCA03BB}"/>
    <cellStyle name="Note 3 3 4 6" xfId="37043" xr:uid="{0A10CDF2-CE78-4AFF-B0C4-F74890352B30}"/>
    <cellStyle name="Note 3 3 4 7" xfId="10849" xr:uid="{C4D7E627-430D-4C4B-A400-4535A810F7A1}"/>
    <cellStyle name="Note 3 3 5" xfId="1847" xr:uid="{00000000-0005-0000-0000-0000C7210000}"/>
    <cellStyle name="Note 3 3 5 2" xfId="4076" xr:uid="{00000000-0005-0000-0000-0000C8210000}"/>
    <cellStyle name="Note 3 3 5 2 2" xfId="8298" xr:uid="{00000000-0005-0000-0000-0000C9210000}"/>
    <cellStyle name="Note 3 3 5 2 2 2" xfId="26924" xr:uid="{0E54D320-0005-4BF9-B201-876597F948C6}"/>
    <cellStyle name="Note 3 3 5 2 2 3" xfId="35371" xr:uid="{6F18D1D6-7B85-4B11-9AF1-D6607466D53B}"/>
    <cellStyle name="Note 3 3 5 2 2 4" xfId="43818" xr:uid="{983A6888-00C1-4404-974F-55197DF51FA4}"/>
    <cellStyle name="Note 3 3 5 2 2 5" xfId="17624" xr:uid="{46AF378E-38A0-400E-B34F-E8FDB657BFA1}"/>
    <cellStyle name="Note 3 3 5 2 3" xfId="22707" xr:uid="{D95DF7EC-0F3D-4EB6-B9A9-C072BD399233}"/>
    <cellStyle name="Note 3 3 5 2 4" xfId="31154" xr:uid="{AA84A659-1318-4B82-95BA-BD08E73B643E}"/>
    <cellStyle name="Note 3 3 5 2 5" xfId="39601" xr:uid="{86216C45-6E36-4524-BB3A-EE42022BB38D}"/>
    <cellStyle name="Note 3 3 5 2 6" xfId="13407" xr:uid="{8E63F288-DC71-45D2-BF27-5289725BB75B}"/>
    <cellStyle name="Note 3 3 5 3" xfId="6153" xr:uid="{00000000-0005-0000-0000-0000CA210000}"/>
    <cellStyle name="Note 3 3 5 3 2" xfId="24779" xr:uid="{6708375B-372B-4AA4-B813-A80FCAB7057C}"/>
    <cellStyle name="Note 3 3 5 3 3" xfId="33226" xr:uid="{ECC01B93-FCCE-4542-B9B8-83D096CCF5AB}"/>
    <cellStyle name="Note 3 3 5 3 4" xfId="41673" xr:uid="{F55A4078-F092-42E4-A260-037313E13A7E}"/>
    <cellStyle name="Note 3 3 5 3 5" xfId="15479" xr:uid="{C2EAAB87-593E-4C70-B0E5-4A643F7552DF}"/>
    <cellStyle name="Note 3 3 5 4" xfId="20562" xr:uid="{D4D08FC8-AE93-4525-85A7-7718B22EC4C8}"/>
    <cellStyle name="Note 3 3 5 5" xfId="29009" xr:uid="{E6504CF5-CF88-4EAB-B19F-CB3864FDDBA6}"/>
    <cellStyle name="Note 3 3 5 6" xfId="37456" xr:uid="{81BDC672-2AA5-426C-B731-B40F8309774F}"/>
    <cellStyle name="Note 3 3 5 7" xfId="11262" xr:uid="{F574FBD6-D197-4299-877E-9B3DC7A0B1E1}"/>
    <cellStyle name="Note 3 3 6" xfId="2260" xr:uid="{00000000-0005-0000-0000-0000CB210000}"/>
    <cellStyle name="Note 3 3 6 2" xfId="4489" xr:uid="{00000000-0005-0000-0000-0000CC210000}"/>
    <cellStyle name="Note 3 3 6 2 2" xfId="8711" xr:uid="{00000000-0005-0000-0000-0000CD210000}"/>
    <cellStyle name="Note 3 3 6 2 2 2" xfId="27337" xr:uid="{4DFA1168-CC29-4D83-96E9-CE690B489BBB}"/>
    <cellStyle name="Note 3 3 6 2 2 3" xfId="35784" xr:uid="{C90C5DEC-793A-4839-930F-E9129C0D0DCE}"/>
    <cellStyle name="Note 3 3 6 2 2 4" xfId="44231" xr:uid="{BBE7D5C5-FEB3-4EB0-AAA1-97413205581E}"/>
    <cellStyle name="Note 3 3 6 2 2 5" xfId="18037" xr:uid="{F55BA35F-C3EF-4FBF-AD14-A68B2A8B30C8}"/>
    <cellStyle name="Note 3 3 6 2 3" xfId="23120" xr:uid="{D961F74F-6341-4B2C-87E7-F1454A585086}"/>
    <cellStyle name="Note 3 3 6 2 4" xfId="31567" xr:uid="{8D23135D-172F-4C6B-A3AB-BD6703533A9C}"/>
    <cellStyle name="Note 3 3 6 2 5" xfId="40014" xr:uid="{70096F73-59D4-4757-BFB6-AB7046B28E79}"/>
    <cellStyle name="Note 3 3 6 2 6" xfId="13820" xr:uid="{5A2C3E12-8A7A-4E92-9F96-C9F7362F0C98}"/>
    <cellStyle name="Note 3 3 6 3" xfId="6566" xr:uid="{00000000-0005-0000-0000-0000CE210000}"/>
    <cellStyle name="Note 3 3 6 3 2" xfId="25192" xr:uid="{C2141F49-7B40-4A8F-8024-EC929962E68E}"/>
    <cellStyle name="Note 3 3 6 3 3" xfId="33639" xr:uid="{6650D6B6-38EB-422A-A202-1C8FDCE83D44}"/>
    <cellStyle name="Note 3 3 6 3 4" xfId="42086" xr:uid="{3C1823EE-6156-45FC-8C65-C7E92F3F93F7}"/>
    <cellStyle name="Note 3 3 6 3 5" xfId="15892" xr:uid="{1DECFA9E-C5E9-4877-ADA1-B0190A2F0F2A}"/>
    <cellStyle name="Note 3 3 6 4" xfId="20975" xr:uid="{4F180BF0-D1B4-4DD5-B9BB-2D27D1EBD55B}"/>
    <cellStyle name="Note 3 3 6 5" xfId="29422" xr:uid="{C50452DD-7BAF-4E81-856C-C76A6C43DF26}"/>
    <cellStyle name="Note 3 3 6 6" xfId="37869" xr:uid="{04B90556-F00A-4638-9465-57ACB217F1F0}"/>
    <cellStyle name="Note 3 3 6 7" xfId="11675" xr:uid="{E67162E6-3A80-4A40-B36D-84CA14FCB979}"/>
    <cellStyle name="Note 3 3 7" xfId="2696" xr:uid="{00000000-0005-0000-0000-0000CF210000}"/>
    <cellStyle name="Note 3 3 7 2" xfId="6979" xr:uid="{00000000-0005-0000-0000-0000D0210000}"/>
    <cellStyle name="Note 3 3 7 2 2" xfId="25605" xr:uid="{0746384B-C897-4EE9-BFCF-6E3E98100181}"/>
    <cellStyle name="Note 3 3 7 2 3" xfId="34052" xr:uid="{2C62F6AC-2BAD-41E2-90A9-2CB2EC9632BE}"/>
    <cellStyle name="Note 3 3 7 2 4" xfId="42499" xr:uid="{3E915AE4-173D-4802-8C41-8DC203FF8940}"/>
    <cellStyle name="Note 3 3 7 2 5" xfId="16305" xr:uid="{A173FCD5-2FE6-4E18-B152-64912017D663}"/>
    <cellStyle name="Note 3 3 7 3" xfId="21388" xr:uid="{70D319BF-ED22-46F1-8FB5-7C5CF044ACDF}"/>
    <cellStyle name="Note 3 3 7 4" xfId="29835" xr:uid="{44D9E50A-2599-47C3-8E7A-26755F35E00E}"/>
    <cellStyle name="Note 3 3 7 5" xfId="38282" xr:uid="{63B099CA-A3FA-48B9-8899-E1A7823DCF29}"/>
    <cellStyle name="Note 3 3 7 6" xfId="12088" xr:uid="{47CC7230-6EFE-4266-90F5-FD08B9696634}"/>
    <cellStyle name="Note 3 3 8" xfId="2755" xr:uid="{00000000-0005-0000-0000-0000D1210000}"/>
    <cellStyle name="Note 3 3 9" xfId="2836" xr:uid="{00000000-0005-0000-0000-0000D2210000}"/>
    <cellStyle name="Note 3 3 9 2" xfId="7059" xr:uid="{00000000-0005-0000-0000-0000D3210000}"/>
    <cellStyle name="Note 3 3 9 2 2" xfId="25685" xr:uid="{828AE75C-2112-44E5-8B08-8035FCB9D8E6}"/>
    <cellStyle name="Note 3 3 9 2 3" xfId="34132" xr:uid="{F3C129F0-2B0C-4FD1-81E9-EDCD234FF390}"/>
    <cellStyle name="Note 3 3 9 2 4" xfId="42579" xr:uid="{5EB83D3F-EF6E-4E0A-8A71-CCA20EF00E15}"/>
    <cellStyle name="Note 3 3 9 2 5" xfId="16385" xr:uid="{FB2392E4-E078-467F-9876-1E38373720E0}"/>
    <cellStyle name="Note 3 3 9 3" xfId="21468" xr:uid="{07868D3B-5420-4949-96B8-CC0AC135D2C8}"/>
    <cellStyle name="Note 3 3 9 4" xfId="29915" xr:uid="{A03BBADB-6B27-4E0F-A40A-6B9C933A5262}"/>
    <cellStyle name="Note 3 3 9 5" xfId="38362" xr:uid="{88054953-855C-48F5-AB5D-9D61BBCFB43D}"/>
    <cellStyle name="Note 3 3 9 6" xfId="12168" xr:uid="{C8F29084-016D-49C2-8E66-DDB15E4C8C41}"/>
    <cellStyle name="Note 3 4" xfId="560" xr:uid="{00000000-0005-0000-0000-0000D4210000}"/>
    <cellStyle name="Note 3 4 10" xfId="8996" xr:uid="{0D704BEA-0820-4E61-9EA3-F4C1E73C6543}"/>
    <cellStyle name="Note 3 4 10 2" xfId="18320" xr:uid="{78EBA2A8-DF88-4727-AA1F-30AD8292D8D5}"/>
    <cellStyle name="Note 3 4 11" xfId="19325" xr:uid="{4DD2B303-F737-4949-BF99-8978D2DA5235}"/>
    <cellStyle name="Note 3 4 12" xfId="27772" xr:uid="{553D028A-09C1-4D58-93F5-0CA59FCA018B}"/>
    <cellStyle name="Note 3 4 13" xfId="36219" xr:uid="{8196727E-B031-4030-B1B5-B4AC273922EC}"/>
    <cellStyle name="Note 3 4 14" xfId="10025" xr:uid="{DBB0FF7A-DA62-4D3E-B087-DD2A94DF0279}"/>
    <cellStyle name="Note 3 4 2" xfId="1020" xr:uid="{00000000-0005-0000-0000-0000D5210000}"/>
    <cellStyle name="Note 3 4 2 2" xfId="3252" xr:uid="{00000000-0005-0000-0000-0000D6210000}"/>
    <cellStyle name="Note 3 4 2 2 2" xfId="7474" xr:uid="{00000000-0005-0000-0000-0000D7210000}"/>
    <cellStyle name="Note 3 4 2 2 2 2" xfId="26100" xr:uid="{9CFBDF36-33FA-4211-A8F2-316184BCD523}"/>
    <cellStyle name="Note 3 4 2 2 2 3" xfId="34547" xr:uid="{696DE849-FA7C-4BBC-9409-0D3BF957D051}"/>
    <cellStyle name="Note 3 4 2 2 2 4" xfId="42994" xr:uid="{06DCE9C9-84DC-496E-9975-40DA16FED6D5}"/>
    <cellStyle name="Note 3 4 2 2 2 5" xfId="16800" xr:uid="{534662D2-130B-4198-BD1E-77843DE8A88D}"/>
    <cellStyle name="Note 3 4 2 2 3" xfId="21883" xr:uid="{3948C2ED-25EF-4E34-8CC9-6896E48EB7D7}"/>
    <cellStyle name="Note 3 4 2 2 4" xfId="30330" xr:uid="{45B0697D-DDFB-4B01-90FE-EB0298ED1BBB}"/>
    <cellStyle name="Note 3 4 2 2 5" xfId="38777" xr:uid="{8319AC16-4E79-4FA7-A85B-8DB281C1307D}"/>
    <cellStyle name="Note 3 4 2 2 6" xfId="12583" xr:uid="{460998A9-9A54-49AF-A942-415452B99606}"/>
    <cellStyle name="Note 3 4 2 3" xfId="5329" xr:uid="{00000000-0005-0000-0000-0000D8210000}"/>
    <cellStyle name="Note 3 4 2 3 2" xfId="23955" xr:uid="{FF689181-BD53-4A30-90A8-2CB0E6DEED6B}"/>
    <cellStyle name="Note 3 4 2 3 3" xfId="32402" xr:uid="{FA3580D3-55B4-41CA-BE98-D21E0225FCCC}"/>
    <cellStyle name="Note 3 4 2 3 4" xfId="40849" xr:uid="{B7D03221-8FFB-4BAE-B145-CB1373200505}"/>
    <cellStyle name="Note 3 4 2 3 5" xfId="14655" xr:uid="{4A84D4A2-C8C7-40C9-BCFB-3362C18CCFBF}"/>
    <cellStyle name="Note 3 4 2 4" xfId="9421" xr:uid="{EC0A57E0-416C-4EC5-866A-A09E44531CB5}"/>
    <cellStyle name="Note 3 4 2 4 2" xfId="18737" xr:uid="{9A8ADC95-C21D-4B04-B7D3-0D99639A091A}"/>
    <cellStyle name="Note 3 4 2 5" xfId="19738" xr:uid="{66C2C1B9-9245-427B-95F3-BC66124008CB}"/>
    <cellStyle name="Note 3 4 2 6" xfId="28185" xr:uid="{56F7C62A-8A28-4E78-B085-F7914B86C5A7}"/>
    <cellStyle name="Note 3 4 2 7" xfId="36632" xr:uid="{950F9F55-1620-4F75-A354-AA904503D40C}"/>
    <cellStyle name="Note 3 4 2 8" xfId="10438" xr:uid="{4B2DD551-2FE1-4E3C-8AB7-A16265926A23}"/>
    <cellStyle name="Note 3 4 3" xfId="1435" xr:uid="{00000000-0005-0000-0000-0000D9210000}"/>
    <cellStyle name="Note 3 4 3 2" xfId="3665" xr:uid="{00000000-0005-0000-0000-0000DA210000}"/>
    <cellStyle name="Note 3 4 3 2 2" xfId="7887" xr:uid="{00000000-0005-0000-0000-0000DB210000}"/>
    <cellStyle name="Note 3 4 3 2 2 2" xfId="26513" xr:uid="{4AA02653-72EB-4C3D-9A71-DCEF61069991}"/>
    <cellStyle name="Note 3 4 3 2 2 3" xfId="34960" xr:uid="{FCD6D038-4C45-4980-B0B3-E3FD4B3535F1}"/>
    <cellStyle name="Note 3 4 3 2 2 4" xfId="43407" xr:uid="{489C4686-A287-408A-94FA-3DC07DAE6067}"/>
    <cellStyle name="Note 3 4 3 2 2 5" xfId="17213" xr:uid="{742236E8-4FC1-4EED-80B4-FB9732EFF3C8}"/>
    <cellStyle name="Note 3 4 3 2 3" xfId="22296" xr:uid="{4710FF93-D5F8-4B1B-8155-0A407C652308}"/>
    <cellStyle name="Note 3 4 3 2 4" xfId="30743" xr:uid="{CFF19EED-A7B9-424A-B02D-0F1F8DFDD46A}"/>
    <cellStyle name="Note 3 4 3 2 5" xfId="39190" xr:uid="{52A71721-C007-41AF-9932-B4763F904B65}"/>
    <cellStyle name="Note 3 4 3 2 6" xfId="12996" xr:uid="{97D31B8B-5D16-4C9F-BD26-A1B95C1F0FB1}"/>
    <cellStyle name="Note 3 4 3 3" xfId="5742" xr:uid="{00000000-0005-0000-0000-0000DC210000}"/>
    <cellStyle name="Note 3 4 3 3 2" xfId="24368" xr:uid="{14991E49-BF98-4844-9A74-2228D5DE3E36}"/>
    <cellStyle name="Note 3 4 3 3 3" xfId="32815" xr:uid="{9A078E62-D753-4561-9432-FFC397DC7F03}"/>
    <cellStyle name="Note 3 4 3 3 4" xfId="41262" xr:uid="{0C2640C5-0CFE-478A-982D-4922C56D9E39}"/>
    <cellStyle name="Note 3 4 3 3 5" xfId="15068" xr:uid="{7B4DE834-2D89-4E75-A76B-3DFBFD970596}"/>
    <cellStyle name="Note 3 4 3 4" xfId="20151" xr:uid="{558807D7-D056-4740-96CC-15DE9A525A56}"/>
    <cellStyle name="Note 3 4 3 5" xfId="28598" xr:uid="{14BFB784-8F62-43A5-B3BF-CDA8EB63D64A}"/>
    <cellStyle name="Note 3 4 3 6" xfId="37045" xr:uid="{A8F49730-F83B-4EE7-A746-E8F413D77D41}"/>
    <cellStyle name="Note 3 4 3 7" xfId="10851" xr:uid="{CB6BEE8D-2E6B-4C9E-99EA-584D1159C0D6}"/>
    <cellStyle name="Note 3 4 4" xfId="1849" xr:uid="{00000000-0005-0000-0000-0000DD210000}"/>
    <cellStyle name="Note 3 4 4 2" xfId="4078" xr:uid="{00000000-0005-0000-0000-0000DE210000}"/>
    <cellStyle name="Note 3 4 4 2 2" xfId="8300" xr:uid="{00000000-0005-0000-0000-0000DF210000}"/>
    <cellStyle name="Note 3 4 4 2 2 2" xfId="26926" xr:uid="{EF964DE1-C800-4A63-BA17-3F9AE08CF63E}"/>
    <cellStyle name="Note 3 4 4 2 2 3" xfId="35373" xr:uid="{6E42B2E0-815E-43B4-B21B-D4337B2AE519}"/>
    <cellStyle name="Note 3 4 4 2 2 4" xfId="43820" xr:uid="{D35B85E5-5A89-48B2-8CDC-1ACE0A0BCFE9}"/>
    <cellStyle name="Note 3 4 4 2 2 5" xfId="17626" xr:uid="{FD478580-6B0D-4724-8F1C-B8692DFCAA0C}"/>
    <cellStyle name="Note 3 4 4 2 3" xfId="22709" xr:uid="{D7D61B4E-0EA1-4AFD-9748-5F0D73EE2C07}"/>
    <cellStyle name="Note 3 4 4 2 4" xfId="31156" xr:uid="{13FF132C-ED0C-4142-A980-BE6DC5FDA3AE}"/>
    <cellStyle name="Note 3 4 4 2 5" xfId="39603" xr:uid="{418D1232-0FB8-4FF3-8221-AC3F00153165}"/>
    <cellStyle name="Note 3 4 4 2 6" xfId="13409" xr:uid="{660EAFD6-8858-4420-848E-9A482BFBFFC9}"/>
    <cellStyle name="Note 3 4 4 3" xfId="6155" xr:uid="{00000000-0005-0000-0000-0000E0210000}"/>
    <cellStyle name="Note 3 4 4 3 2" xfId="24781" xr:uid="{8DA43BA8-A810-46B2-9AAC-A4C87810A837}"/>
    <cellStyle name="Note 3 4 4 3 3" xfId="33228" xr:uid="{4300F1E7-A8CC-49F1-B1BE-6750762C2472}"/>
    <cellStyle name="Note 3 4 4 3 4" xfId="41675" xr:uid="{C6B54AA6-8550-4006-9C6D-A6A705978F2C}"/>
    <cellStyle name="Note 3 4 4 3 5" xfId="15481" xr:uid="{743E1169-F54B-49B3-8077-D16D8A2B01FB}"/>
    <cellStyle name="Note 3 4 4 4" xfId="20564" xr:uid="{D3D40086-99F8-4C5B-AC72-983AFB4C424F}"/>
    <cellStyle name="Note 3 4 4 5" xfId="29011" xr:uid="{E8EC1433-F2DA-417B-B219-EB3C20BED6B3}"/>
    <cellStyle name="Note 3 4 4 6" xfId="37458" xr:uid="{28DC5510-650B-4DBD-9296-1C451C77BC79}"/>
    <cellStyle name="Note 3 4 4 7" xfId="11264" xr:uid="{F7ED1078-F773-409D-AE25-A8818793FE84}"/>
    <cellStyle name="Note 3 4 5" xfId="2262" xr:uid="{00000000-0005-0000-0000-0000E1210000}"/>
    <cellStyle name="Note 3 4 5 2" xfId="4491" xr:uid="{00000000-0005-0000-0000-0000E2210000}"/>
    <cellStyle name="Note 3 4 5 2 2" xfId="8713" xr:uid="{00000000-0005-0000-0000-0000E3210000}"/>
    <cellStyle name="Note 3 4 5 2 2 2" xfId="27339" xr:uid="{86E7C32E-B1E4-4071-A3A4-0595B9E1A704}"/>
    <cellStyle name="Note 3 4 5 2 2 3" xfId="35786" xr:uid="{C15EC11A-0C5A-43EF-805F-A4C1243191FE}"/>
    <cellStyle name="Note 3 4 5 2 2 4" xfId="44233" xr:uid="{411B4D96-35E3-4847-8560-C34095FB109E}"/>
    <cellStyle name="Note 3 4 5 2 2 5" xfId="18039" xr:uid="{D02153DE-5054-4BAB-A68D-3F217E73AE74}"/>
    <cellStyle name="Note 3 4 5 2 3" xfId="23122" xr:uid="{1FCBEB5E-1818-4960-B810-AD454834E082}"/>
    <cellStyle name="Note 3 4 5 2 4" xfId="31569" xr:uid="{8E4D0463-452F-4A5D-91AA-6DC87E3494AE}"/>
    <cellStyle name="Note 3 4 5 2 5" xfId="40016" xr:uid="{0870146E-B28A-41E6-B517-FA01AB7B03A3}"/>
    <cellStyle name="Note 3 4 5 2 6" xfId="13822" xr:uid="{3F09BA64-385C-45C2-B181-58742C911F6B}"/>
    <cellStyle name="Note 3 4 5 3" xfId="6568" xr:uid="{00000000-0005-0000-0000-0000E4210000}"/>
    <cellStyle name="Note 3 4 5 3 2" xfId="25194" xr:uid="{B628E008-EDE5-4060-81EA-128573F95FA3}"/>
    <cellStyle name="Note 3 4 5 3 3" xfId="33641" xr:uid="{AC369548-249C-4FCC-973E-5435B25FEB7D}"/>
    <cellStyle name="Note 3 4 5 3 4" xfId="42088" xr:uid="{A110D696-7A53-46D4-A44C-23C113FC606B}"/>
    <cellStyle name="Note 3 4 5 3 5" xfId="15894" xr:uid="{C33CB4A1-546F-4409-8BE6-08E58C3949F1}"/>
    <cellStyle name="Note 3 4 5 4" xfId="20977" xr:uid="{490F00AE-CC06-4574-8E91-B4784CEFB4D3}"/>
    <cellStyle name="Note 3 4 5 5" xfId="29424" xr:uid="{BFBF8F27-5411-48FF-B4F7-5C9651503EEB}"/>
    <cellStyle name="Note 3 4 5 6" xfId="37871" xr:uid="{3F55A711-3973-45FA-9ABA-3703662CE705}"/>
    <cellStyle name="Note 3 4 5 7" xfId="11677" xr:uid="{457B8CAE-62CC-415B-8F0F-8937FBAC407F}"/>
    <cellStyle name="Note 3 4 6" xfId="2698" xr:uid="{00000000-0005-0000-0000-0000E5210000}"/>
    <cellStyle name="Note 3 4 6 2" xfId="6981" xr:uid="{00000000-0005-0000-0000-0000E6210000}"/>
    <cellStyle name="Note 3 4 6 2 2" xfId="25607" xr:uid="{D6763BAC-3565-4C98-BD8E-E65B60E1F52E}"/>
    <cellStyle name="Note 3 4 6 2 3" xfId="34054" xr:uid="{E8444E0A-1A65-4E64-9CCA-9D9B63A94233}"/>
    <cellStyle name="Note 3 4 6 2 4" xfId="42501" xr:uid="{B222C8D2-E220-4A84-ABE0-EBBCB0F01811}"/>
    <cellStyle name="Note 3 4 6 2 5" xfId="16307" xr:uid="{8C5F015A-860E-4606-B281-34E2A35B946B}"/>
    <cellStyle name="Note 3 4 6 3" xfId="21390" xr:uid="{F8DEB896-76FB-4BDE-899B-69D45AD62A0E}"/>
    <cellStyle name="Note 3 4 6 4" xfId="29837" xr:uid="{D8426257-5B7E-481D-B963-D96E57921F13}"/>
    <cellStyle name="Note 3 4 6 5" xfId="38284" xr:uid="{9A663E74-6C5B-4530-AFDA-7C1337AF2CE6}"/>
    <cellStyle name="Note 3 4 6 6" xfId="12090" xr:uid="{764D260F-E545-4471-A503-9DF3B6A84937}"/>
    <cellStyle name="Note 3 4 7" xfId="2757" xr:uid="{00000000-0005-0000-0000-0000E7210000}"/>
    <cellStyle name="Note 3 4 8" xfId="2838" xr:uid="{00000000-0005-0000-0000-0000E8210000}"/>
    <cellStyle name="Note 3 4 8 2" xfId="7061" xr:uid="{00000000-0005-0000-0000-0000E9210000}"/>
    <cellStyle name="Note 3 4 8 2 2" xfId="25687" xr:uid="{D2DE9CFB-915B-4309-A3A0-F4595A60B9F7}"/>
    <cellStyle name="Note 3 4 8 2 3" xfId="34134" xr:uid="{AE183D28-FDBC-466B-8CB4-EA39EC114045}"/>
    <cellStyle name="Note 3 4 8 2 4" xfId="42581" xr:uid="{7F64A0B1-AF55-4B67-9C88-7CF973DA7461}"/>
    <cellStyle name="Note 3 4 8 2 5" xfId="16387" xr:uid="{531C6765-B859-4A95-963D-74BE8B2CCB1F}"/>
    <cellStyle name="Note 3 4 8 3" xfId="21470" xr:uid="{B573200D-9331-4164-8879-1E521A7F88B0}"/>
    <cellStyle name="Note 3 4 8 4" xfId="29917" xr:uid="{A2348674-BE27-4068-91E7-9074E33CC772}"/>
    <cellStyle name="Note 3 4 8 5" xfId="38364" xr:uid="{7BC7C1A8-47E2-410B-999C-43B59B273895}"/>
    <cellStyle name="Note 3 4 8 6" xfId="12170" xr:uid="{537E4A87-A7C6-4B0C-A01B-8C5C7DB891AD}"/>
    <cellStyle name="Note 3 4 9" xfId="4916" xr:uid="{00000000-0005-0000-0000-0000EA210000}"/>
    <cellStyle name="Note 3 4 9 2" xfId="23542" xr:uid="{C7B2FB80-82DC-493F-9C2C-257A436D23DB}"/>
    <cellStyle name="Note 3 4 9 3" xfId="31989" xr:uid="{FBDA7341-E993-46AD-8DAE-B9C36789C0AA}"/>
    <cellStyle name="Note 3 4 9 4" xfId="40436" xr:uid="{B54552CD-E2D1-425C-A4D0-C2E423112122}"/>
    <cellStyle name="Note 3 4 9 5" xfId="14242" xr:uid="{EBCC7579-8CF3-4125-B996-10303B960392}"/>
    <cellStyle name="Note 3 5" xfId="561" xr:uid="{00000000-0005-0000-0000-0000EB210000}"/>
    <cellStyle name="Note 3 5 10" xfId="9213" xr:uid="{D9D7FB9A-B03C-4A97-A778-36731B43DF3F}"/>
    <cellStyle name="Note 3 5 10 2" xfId="18530" xr:uid="{038AF163-B33E-4C8A-800E-6E8CB3C33E81}"/>
    <cellStyle name="Note 3 5 11" xfId="19326" xr:uid="{51684D61-892B-4DE8-B55D-D44FDE181E8C}"/>
    <cellStyle name="Note 3 5 12" xfId="27773" xr:uid="{5808F0E6-443F-421E-BDA3-E60E748D3E04}"/>
    <cellStyle name="Note 3 5 13" xfId="36220" xr:uid="{19EABB68-0B81-451D-9968-6C946BC3A6DB}"/>
    <cellStyle name="Note 3 5 14" xfId="10026" xr:uid="{92A722C5-ABFE-4EF7-99ED-10E07C8051C0}"/>
    <cellStyle name="Note 3 5 2" xfId="1021" xr:uid="{00000000-0005-0000-0000-0000EC210000}"/>
    <cellStyle name="Note 3 5 2 2" xfId="3253" xr:uid="{00000000-0005-0000-0000-0000ED210000}"/>
    <cellStyle name="Note 3 5 2 2 2" xfId="7475" xr:uid="{00000000-0005-0000-0000-0000EE210000}"/>
    <cellStyle name="Note 3 5 2 2 2 2" xfId="26101" xr:uid="{7F9B31C5-2427-482B-A05B-949216884FC8}"/>
    <cellStyle name="Note 3 5 2 2 2 3" xfId="34548" xr:uid="{AFACE7F5-9EBE-473A-B097-50486379F8C9}"/>
    <cellStyle name="Note 3 5 2 2 2 4" xfId="42995" xr:uid="{15A3915B-FD02-4404-B1E9-7AC2D9EE125D}"/>
    <cellStyle name="Note 3 5 2 2 2 5" xfId="16801" xr:uid="{ED0FF81B-AD5A-48BF-AD4B-914DD7E50804}"/>
    <cellStyle name="Note 3 5 2 2 3" xfId="21884" xr:uid="{86FAFD21-19FE-48B9-8D40-5284EDA3620E}"/>
    <cellStyle name="Note 3 5 2 2 4" xfId="30331" xr:uid="{CA289EF2-866F-4A0C-A40C-69ADAEA60480}"/>
    <cellStyle name="Note 3 5 2 2 5" xfId="38778" xr:uid="{EE69ACB7-69BF-43C0-A5DA-824DA9743FB5}"/>
    <cellStyle name="Note 3 5 2 2 6" xfId="12584" xr:uid="{469D9372-297A-40BA-A85E-BFE64B7A0CC3}"/>
    <cellStyle name="Note 3 5 2 3" xfId="5330" xr:uid="{00000000-0005-0000-0000-0000EF210000}"/>
    <cellStyle name="Note 3 5 2 3 2" xfId="23956" xr:uid="{F088A56B-BE12-4FF6-8015-C9E65364C1A4}"/>
    <cellStyle name="Note 3 5 2 3 3" xfId="32403" xr:uid="{E6C0BCB2-0F7D-47E5-8D76-B4E2E80ECAD8}"/>
    <cellStyle name="Note 3 5 2 3 4" xfId="40850" xr:uid="{8DDA0F82-EC7F-404C-8C57-CE2B9EFD6A84}"/>
    <cellStyle name="Note 3 5 2 3 5" xfId="14656" xr:uid="{45271BA8-D1F9-433D-BDFE-AE72F5158654}"/>
    <cellStyle name="Note 3 5 2 4" xfId="9611" xr:uid="{74765414-66B3-4FDA-BA21-3BFFEF98E338}"/>
    <cellStyle name="Note 3 5 2 4 2" xfId="18912" xr:uid="{7355C63B-3270-4EA4-847F-C2EDFD80C4DF}"/>
    <cellStyle name="Note 3 5 2 5" xfId="19739" xr:uid="{05EEDEB5-2DBD-4705-A3F7-758E3197686F}"/>
    <cellStyle name="Note 3 5 2 6" xfId="28186" xr:uid="{CFD3E2A1-0AE5-442D-97C0-038477AA56BD}"/>
    <cellStyle name="Note 3 5 2 7" xfId="36633" xr:uid="{D2A043DD-3DFE-4219-A38C-7269255183DB}"/>
    <cellStyle name="Note 3 5 2 8" xfId="10439" xr:uid="{10F09556-AE79-42CD-9C1F-03D68F73CFEF}"/>
    <cellStyle name="Note 3 5 3" xfId="1436" xr:uid="{00000000-0005-0000-0000-0000F0210000}"/>
    <cellStyle name="Note 3 5 3 2" xfId="3666" xr:uid="{00000000-0005-0000-0000-0000F1210000}"/>
    <cellStyle name="Note 3 5 3 2 2" xfId="7888" xr:uid="{00000000-0005-0000-0000-0000F2210000}"/>
    <cellStyle name="Note 3 5 3 2 2 2" xfId="26514" xr:uid="{3E17C0D3-5ADE-4ACA-B3A9-561EE907184F}"/>
    <cellStyle name="Note 3 5 3 2 2 3" xfId="34961" xr:uid="{A260AE3B-B880-4CB0-8195-3E80939FB55E}"/>
    <cellStyle name="Note 3 5 3 2 2 4" xfId="43408" xr:uid="{608806C4-B120-4173-9051-41A58B9FAD41}"/>
    <cellStyle name="Note 3 5 3 2 2 5" xfId="17214" xr:uid="{2447F446-697F-4DBE-A472-A03626D418FE}"/>
    <cellStyle name="Note 3 5 3 2 3" xfId="22297" xr:uid="{D3D4C58C-8AF5-4119-B005-95534893BB98}"/>
    <cellStyle name="Note 3 5 3 2 4" xfId="30744" xr:uid="{1420A424-C42C-42CA-8998-3248FC38DAB7}"/>
    <cellStyle name="Note 3 5 3 2 5" xfId="39191" xr:uid="{7C2DE048-01C4-43F4-9DB3-3C72B2C71563}"/>
    <cellStyle name="Note 3 5 3 2 6" xfId="12997" xr:uid="{DCF45195-883A-40F4-AE03-4740D29DF897}"/>
    <cellStyle name="Note 3 5 3 3" xfId="5743" xr:uid="{00000000-0005-0000-0000-0000F3210000}"/>
    <cellStyle name="Note 3 5 3 3 2" xfId="24369" xr:uid="{C1D4794F-E936-4D92-ACA7-8ACA06EEC654}"/>
    <cellStyle name="Note 3 5 3 3 3" xfId="32816" xr:uid="{D8388690-614F-4D06-A4AA-883D837791E9}"/>
    <cellStyle name="Note 3 5 3 3 4" xfId="41263" xr:uid="{3D299DDF-4A20-4116-AE96-D81793CAFE91}"/>
    <cellStyle name="Note 3 5 3 3 5" xfId="15069" xr:uid="{0F78DBBA-49F7-4215-A1EC-DCBA7846EC07}"/>
    <cellStyle name="Note 3 5 3 4" xfId="20152" xr:uid="{89DF2B0F-5C73-4383-AC04-19C1E62D8DD8}"/>
    <cellStyle name="Note 3 5 3 5" xfId="28599" xr:uid="{9DDC15A7-6AE2-493C-9E3C-F3BC085997BF}"/>
    <cellStyle name="Note 3 5 3 6" xfId="37046" xr:uid="{80B1435C-9C84-4118-9A31-44A932BC1593}"/>
    <cellStyle name="Note 3 5 3 7" xfId="10852" xr:uid="{39822DEF-5D9C-4B52-8A53-B54B7CD18F57}"/>
    <cellStyle name="Note 3 5 4" xfId="1850" xr:uid="{00000000-0005-0000-0000-0000F4210000}"/>
    <cellStyle name="Note 3 5 4 2" xfId="4079" xr:uid="{00000000-0005-0000-0000-0000F5210000}"/>
    <cellStyle name="Note 3 5 4 2 2" xfId="8301" xr:uid="{00000000-0005-0000-0000-0000F6210000}"/>
    <cellStyle name="Note 3 5 4 2 2 2" xfId="26927" xr:uid="{89E80149-2C52-4E26-8AE5-A1F4E673EBE1}"/>
    <cellStyle name="Note 3 5 4 2 2 3" xfId="35374" xr:uid="{A28D7F2E-1CA2-4436-AFAF-A6E0C6160012}"/>
    <cellStyle name="Note 3 5 4 2 2 4" xfId="43821" xr:uid="{0B885679-A1F4-4F56-9C0F-28EE8B8137B7}"/>
    <cellStyle name="Note 3 5 4 2 2 5" xfId="17627" xr:uid="{0B897A94-A7F7-4421-B5FE-C9BFAF3FF335}"/>
    <cellStyle name="Note 3 5 4 2 3" xfId="22710" xr:uid="{3D9C4168-057A-4C09-B417-0549488B170D}"/>
    <cellStyle name="Note 3 5 4 2 4" xfId="31157" xr:uid="{4CA61CAE-057E-4FD7-85D2-51E0C12F4843}"/>
    <cellStyle name="Note 3 5 4 2 5" xfId="39604" xr:uid="{F2C5F917-6AF7-48BD-B0E3-E8AF96ECD560}"/>
    <cellStyle name="Note 3 5 4 2 6" xfId="13410" xr:uid="{C693BC80-0297-4028-B96D-2D09C455E47F}"/>
    <cellStyle name="Note 3 5 4 3" xfId="6156" xr:uid="{00000000-0005-0000-0000-0000F7210000}"/>
    <cellStyle name="Note 3 5 4 3 2" xfId="24782" xr:uid="{1A07D363-21EF-4F25-81E4-BFF0F3D5C35C}"/>
    <cellStyle name="Note 3 5 4 3 3" xfId="33229" xr:uid="{0D73EA3C-05CE-48E9-9E5B-F894B537182B}"/>
    <cellStyle name="Note 3 5 4 3 4" xfId="41676" xr:uid="{54354CD6-5304-4087-9A1B-E1FD6A4079FE}"/>
    <cellStyle name="Note 3 5 4 3 5" xfId="15482" xr:uid="{84AD598B-4425-4F07-8C6C-52858611401E}"/>
    <cellStyle name="Note 3 5 4 4" xfId="20565" xr:uid="{58986584-042E-483B-8B08-8558EAFC9697}"/>
    <cellStyle name="Note 3 5 4 5" xfId="29012" xr:uid="{2ABAD6B5-78AA-4158-AF73-1A430FD89CE2}"/>
    <cellStyle name="Note 3 5 4 6" xfId="37459" xr:uid="{D4BF1AE4-C000-44C7-B538-52727253CBAA}"/>
    <cellStyle name="Note 3 5 4 7" xfId="11265" xr:uid="{241ED9BC-8179-47C1-86BA-98469727E3D4}"/>
    <cellStyle name="Note 3 5 5" xfId="2263" xr:uid="{00000000-0005-0000-0000-0000F8210000}"/>
    <cellStyle name="Note 3 5 5 2" xfId="4492" xr:uid="{00000000-0005-0000-0000-0000F9210000}"/>
    <cellStyle name="Note 3 5 5 2 2" xfId="8714" xr:uid="{00000000-0005-0000-0000-0000FA210000}"/>
    <cellStyle name="Note 3 5 5 2 2 2" xfId="27340" xr:uid="{FA7123B7-B365-4705-A542-2488BBC807D3}"/>
    <cellStyle name="Note 3 5 5 2 2 3" xfId="35787" xr:uid="{30F6AB37-9DE1-4DD8-BCB9-EEF6A066D2FB}"/>
    <cellStyle name="Note 3 5 5 2 2 4" xfId="44234" xr:uid="{C4F3161A-86EC-4359-B1D2-B65C429C0914}"/>
    <cellStyle name="Note 3 5 5 2 2 5" xfId="18040" xr:uid="{328DCCE4-2ABC-4D10-B3D2-6CF329F1C1D1}"/>
    <cellStyle name="Note 3 5 5 2 3" xfId="23123" xr:uid="{A3C6A31C-7125-4F13-860B-79DCBE8FC07E}"/>
    <cellStyle name="Note 3 5 5 2 4" xfId="31570" xr:uid="{E4F4A452-752C-4AFA-95A5-52A62ECA9FB0}"/>
    <cellStyle name="Note 3 5 5 2 5" xfId="40017" xr:uid="{872B071A-004A-48E3-A95E-BC83865ADC31}"/>
    <cellStyle name="Note 3 5 5 2 6" xfId="13823" xr:uid="{2FFD1D6C-A97A-4BEC-BEDA-D041DEDA06BA}"/>
    <cellStyle name="Note 3 5 5 3" xfId="6569" xr:uid="{00000000-0005-0000-0000-0000FB210000}"/>
    <cellStyle name="Note 3 5 5 3 2" xfId="25195" xr:uid="{94133B66-14EF-43E8-8EED-E81182697ADF}"/>
    <cellStyle name="Note 3 5 5 3 3" xfId="33642" xr:uid="{C6C623F7-C682-487A-83B2-4D2D16A3539E}"/>
    <cellStyle name="Note 3 5 5 3 4" xfId="42089" xr:uid="{BE046032-3309-41CE-8A80-1A91177599CC}"/>
    <cellStyle name="Note 3 5 5 3 5" xfId="15895" xr:uid="{D4F58024-06D2-4B88-875B-DE937FE2059D}"/>
    <cellStyle name="Note 3 5 5 4" xfId="20978" xr:uid="{00AF7DCE-C908-417D-A850-BCD04534BF62}"/>
    <cellStyle name="Note 3 5 5 5" xfId="29425" xr:uid="{F2AC7CAE-F92D-44A4-9AF8-29B30A8F3890}"/>
    <cellStyle name="Note 3 5 5 6" xfId="37872" xr:uid="{4D26CD6B-0833-4305-90A2-04876F257A14}"/>
    <cellStyle name="Note 3 5 5 7" xfId="11678" xr:uid="{EEE4E414-0FB5-44C8-8DB2-0503AE99AABE}"/>
    <cellStyle name="Note 3 5 6" xfId="2699" xr:uid="{00000000-0005-0000-0000-0000FC210000}"/>
    <cellStyle name="Note 3 5 6 2" xfId="6982" xr:uid="{00000000-0005-0000-0000-0000FD210000}"/>
    <cellStyle name="Note 3 5 6 2 2" xfId="25608" xr:uid="{384E61AC-E047-4183-8939-CF09AACF0B35}"/>
    <cellStyle name="Note 3 5 6 2 3" xfId="34055" xr:uid="{312952BE-237D-4226-A3AE-A1AF603276F9}"/>
    <cellStyle name="Note 3 5 6 2 4" xfId="42502" xr:uid="{DC6C0798-7E41-4F5A-99CA-556669D87D5C}"/>
    <cellStyle name="Note 3 5 6 2 5" xfId="16308" xr:uid="{33256837-7491-4A98-82D2-7F34A309D114}"/>
    <cellStyle name="Note 3 5 6 3" xfId="21391" xr:uid="{1DAA6584-A962-4063-8791-DB72F495CD0C}"/>
    <cellStyle name="Note 3 5 6 4" xfId="29838" xr:uid="{BB686A5B-E3F9-426C-AFF1-A24E6A1E431D}"/>
    <cellStyle name="Note 3 5 6 5" xfId="38285" xr:uid="{7B569B68-A3E0-4744-AABA-17AF6D44B7EF}"/>
    <cellStyle name="Note 3 5 6 6" xfId="12091" xr:uid="{EFB7F65D-52FF-4DD7-A67D-278832342DEA}"/>
    <cellStyle name="Note 3 5 7" xfId="2758" xr:uid="{00000000-0005-0000-0000-0000FE210000}"/>
    <cellStyle name="Note 3 5 8" xfId="2839" xr:uid="{00000000-0005-0000-0000-0000FF210000}"/>
    <cellStyle name="Note 3 5 8 2" xfId="7062" xr:uid="{00000000-0005-0000-0000-000000220000}"/>
    <cellStyle name="Note 3 5 8 2 2" xfId="25688" xr:uid="{85102AEE-3354-42C5-8C0E-9738BEA5BA34}"/>
    <cellStyle name="Note 3 5 8 2 3" xfId="34135" xr:uid="{9B55A981-EF6C-42D0-B7E8-6474D018AD80}"/>
    <cellStyle name="Note 3 5 8 2 4" xfId="42582" xr:uid="{404394E0-1349-4380-8417-5CD672A9E075}"/>
    <cellStyle name="Note 3 5 8 2 5" xfId="16388" xr:uid="{59D0E39B-6AD0-479A-8E08-66ED1A1ADAB6}"/>
    <cellStyle name="Note 3 5 8 3" xfId="21471" xr:uid="{72832107-A27E-4FB0-8F6D-566CE103BE12}"/>
    <cellStyle name="Note 3 5 8 4" xfId="29918" xr:uid="{665ED831-F4D8-48C1-BA2A-9B0C68B575BB}"/>
    <cellStyle name="Note 3 5 8 5" xfId="38365" xr:uid="{38E1705E-B526-4772-B669-41C42C89293A}"/>
    <cellStyle name="Note 3 5 8 6" xfId="12171" xr:uid="{CD41299D-9AED-41FD-B5F6-B466584BD277}"/>
    <cellStyle name="Note 3 5 9" xfId="4917" xr:uid="{00000000-0005-0000-0000-000001220000}"/>
    <cellStyle name="Note 3 5 9 2" xfId="23543" xr:uid="{C6BFC512-D12E-41DA-888A-91CFBC7B7C08}"/>
    <cellStyle name="Note 3 5 9 3" xfId="31990" xr:uid="{CB27AC44-52E6-4C58-93A4-C3DBA499A2E3}"/>
    <cellStyle name="Note 3 5 9 4" xfId="40437" xr:uid="{2D2F15B9-799D-4EB6-9F16-B313A9C3184D}"/>
    <cellStyle name="Note 3 5 9 5" xfId="14243" xr:uid="{16D62C14-CDB8-4176-A547-309C56958C3B}"/>
    <cellStyle name="Note 3 6" xfId="9588" xr:uid="{4A2A2C5B-BA67-4FBC-A2F1-7546BE1E0E7F}"/>
    <cellStyle name="Note 3 7" xfId="8789" xr:uid="{EE6BC007-A514-4F23-A927-A69B937DFEC6}"/>
    <cellStyle name="Note 3 7 2" xfId="18113" xr:uid="{7C377F22-0209-4CEC-BA64-AA11EE052F0E}"/>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3 2 2" xfId="18897" xr:uid="{C7FA9FEB-7C5C-4CBC-BF2D-BFE8534AA1A0}"/>
    <cellStyle name="Percent 3 3" xfId="23126" xr:uid="{05EF1F12-89DD-47E6-A0B5-4E6E174FB7CF}"/>
    <cellStyle name="Percent 3 4" xfId="31573" xr:uid="{24F68A49-313F-4DAD-B031-7A4EF1CB8677}"/>
    <cellStyle name="Percent 3 5" xfId="40020" xr:uid="{E3F38709-EFCA-4392-8BDA-FAFFFB67CA70}"/>
    <cellStyle name="Percent 3 6" xfId="13826" xr:uid="{E7555336-310E-4752-9F27-016455C1987D}"/>
    <cellStyle name="Percent 4" xfId="4502" xr:uid="{00000000-0005-0000-0000-000007220000}"/>
    <cellStyle name="Percent 4 2" xfId="8717" xr:uid="{00000000-0005-0000-0000-000008220000}"/>
    <cellStyle name="Percent 4 2 2" xfId="27343" xr:uid="{07DC5931-36F6-4FF5-84AF-A2EDBF3EF7CE}"/>
    <cellStyle name="Percent 4 2 3" xfId="35790" xr:uid="{DDE442AC-FFE8-4871-B143-76EA7B29E354}"/>
    <cellStyle name="Percent 4 2 4" xfId="44237" xr:uid="{031D731E-D9F1-4BB0-844F-E49D29220DF5}"/>
    <cellStyle name="Percent 4 2 5" xfId="18043" xr:uid="{57507242-E9C2-43E4-8B29-1F16C8A79D16}"/>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Percent 4 3 2 2 2 2 2 2" xfId="18062" xr:uid="{8A4B31C2-305F-4674-B010-81491166B716}"/>
    <cellStyle name="Percent 4 3 2 2 2 2 3" xfId="27359" xr:uid="{602657BE-1DBB-4D85-9D90-7A09C5F5FC4A}"/>
    <cellStyle name="Percent 4 3 2 2 2 2 4" xfId="35806" xr:uid="{682CB1ED-2291-4792-8842-ECAD6927C544}"/>
    <cellStyle name="Percent 4 3 2 2 2 2 5" xfId="44253" xr:uid="{40CEE0C6-5346-4B76-B5CD-82848A52E938}"/>
    <cellStyle name="Percent 4 3 2 2 2 2 6" xfId="18059" xr:uid="{7C8463D0-672F-42C0-A6DC-BAED6A267FAD}"/>
    <cellStyle name="Percent 4 3 2 2 2 3" xfId="27356" xr:uid="{0B3947FF-155F-457E-8ED9-4A344C309C83}"/>
    <cellStyle name="Percent 4 3 2 2 2 4" xfId="35803" xr:uid="{0F0C8D0E-CAB9-483F-AC18-BE4677427884}"/>
    <cellStyle name="Percent 4 3 2 2 2 5" xfId="44250" xr:uid="{14E917E5-D204-4DBD-8A2F-20DB12BE7FB2}"/>
    <cellStyle name="Percent 4 3 2 2 2 6" xfId="18056" xr:uid="{965D505E-EB8F-4285-9DE3-53BBA92912B3}"/>
    <cellStyle name="Percent 4 3 2 2 3" xfId="27352" xr:uid="{5AE1492D-6FC5-4C5F-82F1-D8D6C7BEC89B}"/>
    <cellStyle name="Percent 4 3 2 2 4" xfId="35799" xr:uid="{01A46863-5115-4F5C-B54F-28BB11EB931E}"/>
    <cellStyle name="Percent 4 3 2 2 5" xfId="44246" xr:uid="{6052265F-C45F-41FC-A0F1-F82B0A51E7C0}"/>
    <cellStyle name="Percent 4 3 2 2 6" xfId="18052" xr:uid="{53B78EE1-1CEB-4BFE-80CB-92DEB68DFCCA}"/>
    <cellStyle name="Percent 4 3 2 3" xfId="27349" xr:uid="{410046D2-DF90-41F4-98DB-F7C4D6A8407D}"/>
    <cellStyle name="Percent 4 3 2 4" xfId="35796" xr:uid="{6EC49088-1AC3-44AD-AE73-8FB772D6A846}"/>
    <cellStyle name="Percent 4 3 2 5" xfId="44243" xr:uid="{021F0B7D-60C4-46E2-91E0-AA5F1493E4D1}"/>
    <cellStyle name="Percent 4 3 2 6" xfId="18049" xr:uid="{8EDD85F9-71FC-4E90-995E-E5BE25AD0260}"/>
    <cellStyle name="Percent 4 3 3" xfId="27346" xr:uid="{0C04312E-2312-4A50-B86D-F1FED514F3EB}"/>
    <cellStyle name="Percent 4 3 4" xfId="35793" xr:uid="{36BBCF4A-7A47-4A8C-B3C8-FE121D04BDC9}"/>
    <cellStyle name="Percent 4 3 5" xfId="44240" xr:uid="{4C4F8D6F-8CA2-4F3D-B526-51142297B998}"/>
    <cellStyle name="Percent 4 3 6" xfId="18046" xr:uid="{5B68B77A-BE51-4195-A23D-E9AFDBD2E996}"/>
    <cellStyle name="Percent 4 4" xfId="23129" xr:uid="{55AD51F5-827F-4253-B863-EB98943DEFE9}"/>
    <cellStyle name="Percent 4 5" xfId="31576" xr:uid="{F1A68321-4ACA-407B-BB52-5937424EBCCD}"/>
    <cellStyle name="Percent 4 6" xfId="40023" xr:uid="{5685DBA0-71CC-4A0A-984B-E7DCBA9D5A7F}"/>
    <cellStyle name="Percent 4 7" xfId="13829" xr:uid="{B21CA7FE-7A7A-4584-A24A-E6C3EE0D2A03}"/>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2" workbookViewId="0">
      <selection activeCell="Y42" sqref="F40:XFD4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485" t="s">
        <v>550</v>
      </c>
      <c r="B1" s="1485"/>
      <c r="C1" s="1485"/>
      <c r="D1" s="1485"/>
      <c r="E1" s="1485"/>
      <c r="F1" s="1485"/>
      <c r="G1" s="1485"/>
      <c r="H1" s="1485"/>
      <c r="I1" s="1485"/>
      <c r="J1" s="1485"/>
      <c r="K1" s="1485"/>
      <c r="L1" s="1485"/>
      <c r="M1" s="1485"/>
      <c r="N1" s="1485"/>
      <c r="O1" s="1485"/>
      <c r="P1" s="1485"/>
      <c r="Q1" s="1485"/>
      <c r="R1" s="1485"/>
      <c r="S1" s="1485"/>
      <c r="T1" s="1485"/>
      <c r="U1" s="1485"/>
      <c r="V1" s="1485"/>
      <c r="W1" s="1485"/>
      <c r="X1" s="1485"/>
      <c r="Y1" s="1485"/>
      <c r="Z1" s="1485"/>
      <c r="AA1" s="1485"/>
      <c r="AB1" s="1485"/>
      <c r="AC1" s="1485"/>
      <c r="AD1" s="1485"/>
      <c r="AE1" s="1485"/>
      <c r="AF1" s="1485"/>
      <c r="AG1" s="1485"/>
      <c r="AH1" s="1485"/>
      <c r="AI1" s="1485"/>
      <c r="AJ1" s="1485"/>
      <c r="AK1" s="1485"/>
      <c r="AL1" s="1485"/>
    </row>
    <row r="2" spans="1:38" ht="13.5" thickBot="1">
      <c r="A2" s="1817"/>
      <c r="B2" s="1817"/>
      <c r="C2" s="1817"/>
      <c r="D2" s="1817"/>
      <c r="E2" s="1817"/>
      <c r="F2" s="1817"/>
      <c r="G2" s="1817"/>
      <c r="H2" s="1817"/>
      <c r="I2" s="1817"/>
      <c r="J2" s="1817"/>
      <c r="K2" s="1817"/>
      <c r="L2" s="1817"/>
      <c r="M2" s="1817"/>
      <c r="N2" s="1817"/>
      <c r="O2" s="1817"/>
      <c r="P2" s="1817"/>
      <c r="Q2" s="1817"/>
      <c r="R2" s="1817"/>
      <c r="S2" s="1817"/>
      <c r="T2" s="1817"/>
      <c r="U2" s="1817"/>
      <c r="V2" s="1817"/>
      <c r="W2" s="1817"/>
      <c r="X2" s="1817"/>
      <c r="Y2" s="1817"/>
      <c r="Z2" s="1817"/>
      <c r="AA2" s="1817"/>
      <c r="AB2" s="1817"/>
      <c r="AC2" s="1817"/>
      <c r="AD2" s="1817"/>
      <c r="AE2" s="1817"/>
      <c r="AF2" s="1817"/>
      <c r="AG2" s="1817"/>
      <c r="AH2" s="1817"/>
      <c r="AI2" s="1817"/>
      <c r="AJ2" s="1817"/>
      <c r="AK2" s="1817"/>
      <c r="AL2" s="1817"/>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65" t="s">
        <v>1988</v>
      </c>
      <c r="E7" s="1465"/>
      <c r="F7" s="1465"/>
      <c r="G7" s="1465"/>
      <c r="H7" s="1465"/>
      <c r="I7" s="1465"/>
      <c r="J7" s="1465"/>
      <c r="K7" s="1465"/>
      <c r="L7" s="1465"/>
      <c r="M7" s="1465"/>
      <c r="N7" s="1465"/>
      <c r="O7" s="1465"/>
      <c r="P7" s="1465"/>
      <c r="Q7" s="1465"/>
      <c r="R7" s="1465"/>
      <c r="S7" s="1465"/>
      <c r="T7" s="1465"/>
      <c r="U7" s="1465"/>
      <c r="V7" s="1465"/>
      <c r="W7" s="1465"/>
      <c r="X7" s="1465"/>
      <c r="Y7" s="1465"/>
      <c r="Z7" s="1465"/>
      <c r="AA7" s="1465"/>
      <c r="AB7" s="1465"/>
      <c r="AC7" s="1465"/>
      <c r="AD7" s="1465"/>
      <c r="AE7" s="1465"/>
      <c r="AF7" s="1465"/>
      <c r="AG7" s="1465"/>
      <c r="AH7" s="1465"/>
      <c r="AI7" s="1465"/>
      <c r="AJ7" s="1465"/>
      <c r="AK7" s="1465"/>
      <c r="AL7" s="451"/>
    </row>
    <row r="8" spans="1:38">
      <c r="A8" s="204"/>
      <c r="B8" s="204"/>
      <c r="C8" s="205"/>
      <c r="D8" s="1465"/>
      <c r="E8" s="1465"/>
      <c r="F8" s="1465"/>
      <c r="G8" s="1465"/>
      <c r="H8" s="1465"/>
      <c r="I8" s="1465"/>
      <c r="J8" s="1465"/>
      <c r="K8" s="1465"/>
      <c r="L8" s="1465"/>
      <c r="M8" s="1465"/>
      <c r="N8" s="1465"/>
      <c r="O8" s="1465"/>
      <c r="P8" s="1465"/>
      <c r="Q8" s="1465"/>
      <c r="R8" s="1465"/>
      <c r="S8" s="1465"/>
      <c r="T8" s="1465"/>
      <c r="U8" s="1465"/>
      <c r="V8" s="1465"/>
      <c r="W8" s="1465"/>
      <c r="X8" s="1465"/>
      <c r="Y8" s="1465"/>
      <c r="Z8" s="1465"/>
      <c r="AA8" s="1465"/>
      <c r="AB8" s="1465"/>
      <c r="AC8" s="1465"/>
      <c r="AD8" s="1465"/>
      <c r="AE8" s="1465"/>
      <c r="AF8" s="1465"/>
      <c r="AG8" s="1465"/>
      <c r="AH8" s="1465"/>
      <c r="AI8" s="1465"/>
      <c r="AJ8" s="1465"/>
      <c r="AK8" s="1465"/>
      <c r="AL8" s="451"/>
    </row>
    <row r="9" spans="1:38">
      <c r="A9" s="204"/>
      <c r="B9" s="204"/>
      <c r="C9" s="205"/>
      <c r="D9" s="1465"/>
      <c r="E9" s="1465"/>
      <c r="F9" s="1465"/>
      <c r="G9" s="1465"/>
      <c r="H9" s="1465"/>
      <c r="I9" s="1465"/>
      <c r="J9" s="1465"/>
      <c r="K9" s="1465"/>
      <c r="L9" s="1465"/>
      <c r="M9" s="1465"/>
      <c r="N9" s="1465"/>
      <c r="O9" s="1465"/>
      <c r="P9" s="1465"/>
      <c r="Q9" s="1465"/>
      <c r="R9" s="1465"/>
      <c r="S9" s="1465"/>
      <c r="T9" s="1465"/>
      <c r="U9" s="1465"/>
      <c r="V9" s="1465"/>
      <c r="W9" s="1465"/>
      <c r="X9" s="1465"/>
      <c r="Y9" s="1465"/>
      <c r="Z9" s="1465"/>
      <c r="AA9" s="1465"/>
      <c r="AB9" s="1465"/>
      <c r="AC9" s="1465"/>
      <c r="AD9" s="1465"/>
      <c r="AE9" s="1465"/>
      <c r="AF9" s="1465"/>
      <c r="AG9" s="1465"/>
      <c r="AH9" s="1465"/>
      <c r="AI9" s="1465"/>
      <c r="AJ9" s="1465"/>
      <c r="AK9" s="1465"/>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65" t="s">
        <v>1989</v>
      </c>
      <c r="E11" s="1465"/>
      <c r="F11" s="1465"/>
      <c r="G11" s="1465"/>
      <c r="H11" s="1465"/>
      <c r="I11" s="1465"/>
      <c r="J11" s="1465"/>
      <c r="K11" s="1465"/>
      <c r="L11" s="1465"/>
      <c r="M11" s="1465"/>
      <c r="N11" s="1465"/>
      <c r="O11" s="1465"/>
      <c r="P11" s="1465"/>
      <c r="Q11" s="1465"/>
      <c r="R11" s="1465"/>
      <c r="S11" s="1465"/>
      <c r="T11" s="1465"/>
      <c r="U11" s="1465"/>
      <c r="V11" s="1465"/>
      <c r="W11" s="1465"/>
      <c r="X11" s="1465"/>
      <c r="Y11" s="1465"/>
      <c r="Z11" s="1465"/>
      <c r="AA11" s="1465"/>
      <c r="AB11" s="1465"/>
      <c r="AC11" s="1465"/>
      <c r="AD11" s="1465"/>
      <c r="AE11" s="1465"/>
      <c r="AF11" s="1465"/>
      <c r="AG11" s="1465"/>
      <c r="AH11" s="1465"/>
      <c r="AI11" s="1465"/>
      <c r="AJ11" s="1465"/>
      <c r="AK11" s="1465"/>
      <c r="AL11" s="451"/>
    </row>
    <row r="12" spans="1:38">
      <c r="A12" s="204"/>
      <c r="B12" s="204"/>
      <c r="C12" s="205"/>
      <c r="D12" s="1465"/>
      <c r="E12" s="1465"/>
      <c r="F12" s="1465"/>
      <c r="G12" s="1465"/>
      <c r="H12" s="1465"/>
      <c r="I12" s="1465"/>
      <c r="J12" s="1465"/>
      <c r="K12" s="1465"/>
      <c r="L12" s="1465"/>
      <c r="M12" s="1465"/>
      <c r="N12" s="1465"/>
      <c r="O12" s="1465"/>
      <c r="P12" s="1465"/>
      <c r="Q12" s="1465"/>
      <c r="R12" s="1465"/>
      <c r="S12" s="1465"/>
      <c r="T12" s="1465"/>
      <c r="U12" s="1465"/>
      <c r="V12" s="1465"/>
      <c r="W12" s="1465"/>
      <c r="X12" s="1465"/>
      <c r="Y12" s="1465"/>
      <c r="Z12" s="1465"/>
      <c r="AA12" s="1465"/>
      <c r="AB12" s="1465"/>
      <c r="AC12" s="1465"/>
      <c r="AD12" s="1465"/>
      <c r="AE12" s="1465"/>
      <c r="AF12" s="1465"/>
      <c r="AG12" s="1465"/>
      <c r="AH12" s="1465"/>
      <c r="AI12" s="1465"/>
      <c r="AJ12" s="1465"/>
      <c r="AK12" s="1465"/>
      <c r="AL12" s="451"/>
    </row>
    <row r="13" spans="1:38">
      <c r="A13" s="204"/>
      <c r="B13" s="204"/>
      <c r="C13" s="205"/>
      <c r="D13" s="1465"/>
      <c r="E13" s="1465"/>
      <c r="F13" s="1465"/>
      <c r="G13" s="1465"/>
      <c r="H13" s="1465"/>
      <c r="I13" s="1465"/>
      <c r="J13" s="1465"/>
      <c r="K13" s="1465"/>
      <c r="L13" s="1465"/>
      <c r="M13" s="1465"/>
      <c r="N13" s="1465"/>
      <c r="O13" s="1465"/>
      <c r="P13" s="1465"/>
      <c r="Q13" s="1465"/>
      <c r="R13" s="1465"/>
      <c r="S13" s="1465"/>
      <c r="T13" s="1465"/>
      <c r="U13" s="1465"/>
      <c r="V13" s="1465"/>
      <c r="W13" s="1465"/>
      <c r="X13" s="1465"/>
      <c r="Y13" s="1465"/>
      <c r="Z13" s="1465"/>
      <c r="AA13" s="1465"/>
      <c r="AB13" s="1465"/>
      <c r="AC13" s="1465"/>
      <c r="AD13" s="1465"/>
      <c r="AE13" s="1465"/>
      <c r="AF13" s="1465"/>
      <c r="AG13" s="1465"/>
      <c r="AH13" s="1465"/>
      <c r="AI13" s="1465"/>
      <c r="AJ13" s="1465"/>
      <c r="AK13" s="1465"/>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65" t="s">
        <v>2634</v>
      </c>
      <c r="E15" s="1465"/>
      <c r="F15" s="1465"/>
      <c r="G15" s="1465"/>
      <c r="H15" s="1465"/>
      <c r="I15" s="1465"/>
      <c r="J15" s="1465"/>
      <c r="K15" s="1465"/>
      <c r="L15" s="1465"/>
      <c r="M15" s="1465"/>
      <c r="N15" s="1465"/>
      <c r="O15" s="1465"/>
      <c r="P15" s="1465"/>
      <c r="Q15" s="1465"/>
      <c r="R15" s="1465"/>
      <c r="S15" s="1465"/>
      <c r="T15" s="1465"/>
      <c r="U15" s="1465"/>
      <c r="V15" s="1465"/>
      <c r="W15" s="1465"/>
      <c r="X15" s="1465"/>
      <c r="Y15" s="1465"/>
      <c r="Z15" s="1465"/>
      <c r="AA15" s="1465"/>
      <c r="AB15" s="1465"/>
      <c r="AC15" s="1465"/>
      <c r="AD15" s="1465"/>
      <c r="AE15" s="1465"/>
      <c r="AF15" s="1465"/>
      <c r="AG15" s="1465"/>
      <c r="AH15" s="1465"/>
      <c r="AI15" s="1465"/>
      <c r="AJ15" s="1465"/>
      <c r="AK15" s="1465"/>
      <c r="AL15" s="451"/>
    </row>
    <row r="16" spans="1:38" ht="13.15" customHeight="1">
      <c r="A16" s="204"/>
      <c r="B16" s="204"/>
      <c r="C16" s="205"/>
      <c r="D16" s="1465"/>
      <c r="E16" s="1465"/>
      <c r="F16" s="1465"/>
      <c r="G16" s="1465"/>
      <c r="H16" s="1465"/>
      <c r="I16" s="1465"/>
      <c r="J16" s="1465"/>
      <c r="K16" s="1465"/>
      <c r="L16" s="1465"/>
      <c r="M16" s="1465"/>
      <c r="N16" s="1465"/>
      <c r="O16" s="1465"/>
      <c r="P16" s="1465"/>
      <c r="Q16" s="1465"/>
      <c r="R16" s="1465"/>
      <c r="S16" s="1465"/>
      <c r="T16" s="1465"/>
      <c r="U16" s="1465"/>
      <c r="V16" s="1465"/>
      <c r="W16" s="1465"/>
      <c r="X16" s="1465"/>
      <c r="Y16" s="1465"/>
      <c r="Z16" s="1465"/>
      <c r="AA16" s="1465"/>
      <c r="AB16" s="1465"/>
      <c r="AC16" s="1465"/>
      <c r="AD16" s="1465"/>
      <c r="AE16" s="1465"/>
      <c r="AF16" s="1465"/>
      <c r="AG16" s="1465"/>
      <c r="AH16" s="1465"/>
      <c r="AI16" s="1465"/>
      <c r="AJ16" s="1465"/>
      <c r="AK16" s="1465"/>
      <c r="AL16" s="451"/>
    </row>
    <row r="17" spans="1:38">
      <c r="A17" s="204"/>
      <c r="B17" s="204"/>
      <c r="C17" s="205"/>
      <c r="D17" s="1465"/>
      <c r="E17" s="1465"/>
      <c r="F17" s="1465"/>
      <c r="G17" s="1465"/>
      <c r="H17" s="1465"/>
      <c r="I17" s="1465"/>
      <c r="J17" s="1465"/>
      <c r="K17" s="1465"/>
      <c r="L17" s="1465"/>
      <c r="M17" s="1465"/>
      <c r="N17" s="1465"/>
      <c r="O17" s="1465"/>
      <c r="P17" s="1465"/>
      <c r="Q17" s="1465"/>
      <c r="R17" s="1465"/>
      <c r="S17" s="1465"/>
      <c r="T17" s="1465"/>
      <c r="U17" s="1465"/>
      <c r="V17" s="1465"/>
      <c r="W17" s="1465"/>
      <c r="X17" s="1465"/>
      <c r="Y17" s="1465"/>
      <c r="Z17" s="1465"/>
      <c r="AA17" s="1465"/>
      <c r="AB17" s="1465"/>
      <c r="AC17" s="1465"/>
      <c r="AD17" s="1465"/>
      <c r="AE17" s="1465"/>
      <c r="AF17" s="1465"/>
      <c r="AG17" s="1465"/>
      <c r="AH17" s="1465"/>
      <c r="AI17" s="1465"/>
      <c r="AJ17" s="1465"/>
      <c r="AK17" s="1465"/>
      <c r="AL17" s="451"/>
    </row>
    <row r="18" spans="1:38">
      <c r="A18" s="204"/>
      <c r="B18" s="204"/>
      <c r="C18" s="205"/>
      <c r="D18" s="515" t="s">
        <v>2522</v>
      </c>
      <c r="E18" s="437"/>
      <c r="G18" s="437"/>
      <c r="H18" s="437"/>
      <c r="I18" s="437"/>
      <c r="J18" s="1819" t="s">
        <v>2521</v>
      </c>
      <c r="K18" s="1819"/>
      <c r="L18" s="1819"/>
      <c r="M18" s="1819"/>
      <c r="N18" s="1819"/>
      <c r="O18" s="1819"/>
      <c r="P18" s="1819"/>
      <c r="Q18" s="1819"/>
      <c r="R18" s="1819"/>
      <c r="S18" s="1819"/>
      <c r="T18" s="1819"/>
      <c r="U18" s="1819"/>
      <c r="V18" s="1819"/>
      <c r="W18" s="1819"/>
      <c r="X18" s="1819"/>
      <c r="Y18" s="1819"/>
      <c r="Z18" s="1819"/>
      <c r="AA18" s="1819"/>
      <c r="AB18" s="1819"/>
      <c r="AC18" s="1819"/>
      <c r="AD18" s="1819"/>
      <c r="AE18" s="1819"/>
      <c r="AF18" s="1819"/>
      <c r="AG18" s="1819"/>
      <c r="AH18" s="1819"/>
      <c r="AI18" s="1819"/>
      <c r="AJ18" s="1819"/>
      <c r="AK18" s="1819"/>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65" t="s">
        <v>1990</v>
      </c>
      <c r="E20" s="1465"/>
      <c r="F20" s="1465"/>
      <c r="G20" s="1465"/>
      <c r="H20" s="1465"/>
      <c r="I20" s="1465"/>
      <c r="J20" s="1465"/>
      <c r="K20" s="1465"/>
      <c r="L20" s="1465"/>
      <c r="M20" s="1465"/>
      <c r="N20" s="1465"/>
      <c r="O20" s="1465"/>
      <c r="P20" s="1465"/>
      <c r="Q20" s="1465"/>
      <c r="R20" s="1465"/>
      <c r="S20" s="1465"/>
      <c r="T20" s="1465"/>
      <c r="U20" s="1465"/>
      <c r="V20" s="1465"/>
      <c r="W20" s="1465"/>
      <c r="X20" s="1465"/>
      <c r="Y20" s="1465"/>
      <c r="Z20" s="1465"/>
      <c r="AA20" s="1465"/>
      <c r="AB20" s="1465"/>
      <c r="AC20" s="1465"/>
      <c r="AD20" s="1465"/>
      <c r="AE20" s="1465"/>
      <c r="AF20" s="1465"/>
      <c r="AG20" s="1465"/>
      <c r="AH20" s="1465"/>
      <c r="AI20" s="1465"/>
      <c r="AJ20" s="1465"/>
      <c r="AK20" s="1465"/>
      <c r="AL20" s="204"/>
    </row>
    <row r="21" spans="1:38">
      <c r="A21" s="204"/>
      <c r="B21" s="204"/>
      <c r="C21" s="205"/>
      <c r="D21" s="1465"/>
      <c r="E21" s="1465"/>
      <c r="F21" s="1465"/>
      <c r="G21" s="1465"/>
      <c r="H21" s="1465"/>
      <c r="I21" s="1465"/>
      <c r="J21" s="1465"/>
      <c r="K21" s="1465"/>
      <c r="L21" s="1465"/>
      <c r="M21" s="1465"/>
      <c r="N21" s="1465"/>
      <c r="O21" s="1465"/>
      <c r="P21" s="1465"/>
      <c r="Q21" s="1465"/>
      <c r="R21" s="1465"/>
      <c r="S21" s="1465"/>
      <c r="T21" s="1465"/>
      <c r="U21" s="1465"/>
      <c r="V21" s="1465"/>
      <c r="W21" s="1465"/>
      <c r="X21" s="1465"/>
      <c r="Y21" s="1465"/>
      <c r="Z21" s="1465"/>
      <c r="AA21" s="1465"/>
      <c r="AB21" s="1465"/>
      <c r="AC21" s="1465"/>
      <c r="AD21" s="1465"/>
      <c r="AE21" s="1465"/>
      <c r="AF21" s="1465"/>
      <c r="AG21" s="1465"/>
      <c r="AH21" s="1465"/>
      <c r="AI21" s="1465"/>
      <c r="AJ21" s="1465"/>
      <c r="AK21" s="1465"/>
      <c r="AL21" s="204"/>
    </row>
    <row r="22" spans="1:38">
      <c r="A22" s="204"/>
      <c r="B22" s="204"/>
      <c r="C22" s="205"/>
      <c r="D22" s="1465"/>
      <c r="E22" s="1465"/>
      <c r="F22" s="1465"/>
      <c r="G22" s="1465"/>
      <c r="H22" s="1465"/>
      <c r="I22" s="1465"/>
      <c r="J22" s="1465"/>
      <c r="K22" s="1465"/>
      <c r="L22" s="1465"/>
      <c r="M22" s="1465"/>
      <c r="N22" s="1465"/>
      <c r="O22" s="1465"/>
      <c r="P22" s="1465"/>
      <c r="Q22" s="1465"/>
      <c r="R22" s="1465"/>
      <c r="S22" s="1465"/>
      <c r="T22" s="1465"/>
      <c r="U22" s="1465"/>
      <c r="V22" s="1465"/>
      <c r="W22" s="1465"/>
      <c r="X22" s="1465"/>
      <c r="Y22" s="1465"/>
      <c r="Z22" s="1465"/>
      <c r="AA22" s="1465"/>
      <c r="AB22" s="1465"/>
      <c r="AC22" s="1465"/>
      <c r="AD22" s="1465"/>
      <c r="AE22" s="1465"/>
      <c r="AF22" s="1465"/>
      <c r="AG22" s="1465"/>
      <c r="AH22" s="1465"/>
      <c r="AI22" s="1465"/>
      <c r="AJ22" s="1465"/>
      <c r="AK22" s="1465"/>
      <c r="AL22" s="204"/>
    </row>
    <row r="23" spans="1:38" ht="13.15" customHeight="1">
      <c r="A23" s="204"/>
      <c r="B23" s="204"/>
      <c r="C23" s="205"/>
      <c r="D23" s="1465"/>
      <c r="E23" s="1465"/>
      <c r="F23" s="1465"/>
      <c r="G23" s="1465"/>
      <c r="H23" s="1465"/>
      <c r="I23" s="1465"/>
      <c r="J23" s="1465"/>
      <c r="K23" s="1465"/>
      <c r="L23" s="1465"/>
      <c r="M23" s="1465"/>
      <c r="N23" s="1465"/>
      <c r="O23" s="1465"/>
      <c r="P23" s="1465"/>
      <c r="Q23" s="1465"/>
      <c r="R23" s="1465"/>
      <c r="S23" s="1465"/>
      <c r="T23" s="1465"/>
      <c r="U23" s="1465"/>
      <c r="V23" s="1465"/>
      <c r="W23" s="1465"/>
      <c r="X23" s="1465"/>
      <c r="Y23" s="1465"/>
      <c r="Z23" s="1465"/>
      <c r="AA23" s="1465"/>
      <c r="AB23" s="1465"/>
      <c r="AC23" s="1465"/>
      <c r="AD23" s="1465"/>
      <c r="AE23" s="1465"/>
      <c r="AF23" s="1465"/>
      <c r="AG23" s="1465"/>
      <c r="AH23" s="1465"/>
      <c r="AI23" s="1465"/>
      <c r="AJ23" s="1465"/>
      <c r="AK23" s="1465"/>
      <c r="AL23" s="204"/>
    </row>
    <row r="24" spans="1:38">
      <c r="A24" s="204"/>
      <c r="B24" s="204"/>
      <c r="C24" s="205"/>
      <c r="D24" s="1465"/>
      <c r="E24" s="1465"/>
      <c r="F24" s="1465"/>
      <c r="G24" s="1465"/>
      <c r="H24" s="1465"/>
      <c r="I24" s="1465"/>
      <c r="J24" s="1465"/>
      <c r="K24" s="1465"/>
      <c r="L24" s="1465"/>
      <c r="M24" s="1465"/>
      <c r="N24" s="1465"/>
      <c r="O24" s="1465"/>
      <c r="P24" s="1465"/>
      <c r="Q24" s="1465"/>
      <c r="R24" s="1465"/>
      <c r="S24" s="1465"/>
      <c r="T24" s="1465"/>
      <c r="U24" s="1465"/>
      <c r="V24" s="1465"/>
      <c r="W24" s="1465"/>
      <c r="X24" s="1465"/>
      <c r="Y24" s="1465"/>
      <c r="Z24" s="1465"/>
      <c r="AA24" s="1465"/>
      <c r="AB24" s="1465"/>
      <c r="AC24" s="1465"/>
      <c r="AD24" s="1465"/>
      <c r="AE24" s="1465"/>
      <c r="AF24" s="1465"/>
      <c r="AG24" s="1465"/>
      <c r="AH24" s="1465"/>
      <c r="AI24" s="1465"/>
      <c r="AJ24" s="1465"/>
      <c r="AK24" s="1465"/>
      <c r="AL24" s="204"/>
    </row>
    <row r="25" spans="1:38">
      <c r="A25" s="204"/>
      <c r="B25" s="204"/>
      <c r="C25" s="205"/>
      <c r="D25" s="1465"/>
      <c r="E25" s="1465"/>
      <c r="F25" s="1465"/>
      <c r="G25" s="1465"/>
      <c r="H25" s="1465"/>
      <c r="I25" s="1465"/>
      <c r="J25" s="1465"/>
      <c r="K25" s="1465"/>
      <c r="L25" s="1465"/>
      <c r="M25" s="1465"/>
      <c r="N25" s="1465"/>
      <c r="O25" s="1465"/>
      <c r="P25" s="1465"/>
      <c r="Q25" s="1465"/>
      <c r="R25" s="1465"/>
      <c r="S25" s="1465"/>
      <c r="T25" s="1465"/>
      <c r="U25" s="1465"/>
      <c r="V25" s="1465"/>
      <c r="W25" s="1465"/>
      <c r="X25" s="1465"/>
      <c r="Y25" s="1465"/>
      <c r="Z25" s="1465"/>
      <c r="AA25" s="1465"/>
      <c r="AB25" s="1465"/>
      <c r="AC25" s="1465"/>
      <c r="AD25" s="1465"/>
      <c r="AE25" s="1465"/>
      <c r="AF25" s="1465"/>
      <c r="AG25" s="1465"/>
      <c r="AH25" s="1465"/>
      <c r="AI25" s="1465"/>
      <c r="AJ25" s="1465"/>
      <c r="AK25" s="1465"/>
      <c r="AL25" s="204"/>
    </row>
    <row r="26" spans="1:38">
      <c r="A26" s="204"/>
      <c r="B26" s="204"/>
      <c r="C26" s="205"/>
      <c r="D26" s="1465"/>
      <c r="E26" s="1465"/>
      <c r="F26" s="1465"/>
      <c r="G26" s="1465"/>
      <c r="H26" s="1465"/>
      <c r="I26" s="1465"/>
      <c r="J26" s="1465"/>
      <c r="K26" s="1465"/>
      <c r="L26" s="1465"/>
      <c r="M26" s="1465"/>
      <c r="N26" s="1465"/>
      <c r="O26" s="1465"/>
      <c r="P26" s="1465"/>
      <c r="Q26" s="1465"/>
      <c r="R26" s="1465"/>
      <c r="S26" s="1465"/>
      <c r="T26" s="1465"/>
      <c r="U26" s="1465"/>
      <c r="V26" s="1465"/>
      <c r="W26" s="1465"/>
      <c r="X26" s="1465"/>
      <c r="Y26" s="1465"/>
      <c r="Z26" s="1465"/>
      <c r="AA26" s="1465"/>
      <c r="AB26" s="1465"/>
      <c r="AC26" s="1465"/>
      <c r="AD26" s="1465"/>
      <c r="AE26" s="1465"/>
      <c r="AF26" s="1465"/>
      <c r="AG26" s="1465"/>
      <c r="AH26" s="1465"/>
      <c r="AI26" s="1465"/>
      <c r="AJ26" s="1465"/>
      <c r="AK26" s="1465"/>
      <c r="AL26" s="204"/>
    </row>
    <row r="27" spans="1:38">
      <c r="A27" s="204"/>
      <c r="B27" s="204"/>
      <c r="C27" s="205"/>
      <c r="D27" s="1465"/>
      <c r="E27" s="1465"/>
      <c r="F27" s="1465"/>
      <c r="G27" s="1465"/>
      <c r="H27" s="1465"/>
      <c r="I27" s="1465"/>
      <c r="J27" s="1465"/>
      <c r="K27" s="1465"/>
      <c r="L27" s="1465"/>
      <c r="M27" s="1465"/>
      <c r="N27" s="1465"/>
      <c r="O27" s="1465"/>
      <c r="P27" s="1465"/>
      <c r="Q27" s="1465"/>
      <c r="R27" s="1465"/>
      <c r="S27" s="1465"/>
      <c r="T27" s="1465"/>
      <c r="U27" s="1465"/>
      <c r="V27" s="1465"/>
      <c r="W27" s="1465"/>
      <c r="X27" s="1465"/>
      <c r="Y27" s="1465"/>
      <c r="Z27" s="1465"/>
      <c r="AA27" s="1465"/>
      <c r="AB27" s="1465"/>
      <c r="AC27" s="1465"/>
      <c r="AD27" s="1465"/>
      <c r="AE27" s="1465"/>
      <c r="AF27" s="1465"/>
      <c r="AG27" s="1465"/>
      <c r="AH27" s="1465"/>
      <c r="AI27" s="1465"/>
      <c r="AJ27" s="1465"/>
      <c r="AK27" s="1465"/>
      <c r="AL27" s="204"/>
    </row>
    <row r="28" spans="1:38">
      <c r="A28" s="204"/>
      <c r="B28" s="204"/>
      <c r="C28" s="205"/>
      <c r="D28" s="1465"/>
      <c r="E28" s="1465"/>
      <c r="F28" s="1465"/>
      <c r="G28" s="1465"/>
      <c r="H28" s="1465"/>
      <c r="I28" s="1465"/>
      <c r="J28" s="1465"/>
      <c r="K28" s="1465"/>
      <c r="L28" s="1465"/>
      <c r="M28" s="1465"/>
      <c r="N28" s="1465"/>
      <c r="O28" s="1465"/>
      <c r="P28" s="1465"/>
      <c r="Q28" s="1465"/>
      <c r="R28" s="1465"/>
      <c r="S28" s="1465"/>
      <c r="T28" s="1465"/>
      <c r="U28" s="1465"/>
      <c r="V28" s="1465"/>
      <c r="W28" s="1465"/>
      <c r="X28" s="1465"/>
      <c r="Y28" s="1465"/>
      <c r="Z28" s="1465"/>
      <c r="AA28" s="1465"/>
      <c r="AB28" s="1465"/>
      <c r="AC28" s="1465"/>
      <c r="AD28" s="1465"/>
      <c r="AE28" s="1465"/>
      <c r="AF28" s="1465"/>
      <c r="AG28" s="1465"/>
      <c r="AH28" s="1465"/>
      <c r="AI28" s="1465"/>
      <c r="AJ28" s="1465"/>
      <c r="AK28" s="1465"/>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65" t="s">
        <v>1991</v>
      </c>
      <c r="E30" s="1465"/>
      <c r="F30" s="1465"/>
      <c r="G30" s="1465"/>
      <c r="H30" s="1465"/>
      <c r="I30" s="1465"/>
      <c r="J30" s="1465"/>
      <c r="K30" s="1465"/>
      <c r="L30" s="1465"/>
      <c r="M30" s="1465"/>
      <c r="N30" s="1465"/>
      <c r="O30" s="1465"/>
      <c r="P30" s="1465"/>
      <c r="Q30" s="1465"/>
      <c r="R30" s="1465"/>
      <c r="S30" s="1465"/>
      <c r="T30" s="1465"/>
      <c r="U30" s="1465"/>
      <c r="V30" s="1465"/>
      <c r="W30" s="1465"/>
      <c r="X30" s="1465"/>
      <c r="Y30" s="1465"/>
      <c r="Z30" s="1465"/>
      <c r="AA30" s="1465"/>
      <c r="AB30" s="1465"/>
      <c r="AC30" s="1465"/>
      <c r="AD30" s="1465"/>
      <c r="AE30" s="1465"/>
      <c r="AF30" s="1465"/>
      <c r="AG30" s="1465"/>
      <c r="AH30" s="1465"/>
      <c r="AI30" s="1465"/>
      <c r="AJ30" s="1465"/>
      <c r="AK30" s="1465"/>
      <c r="AL30" s="204"/>
    </row>
    <row r="31" spans="1:38">
      <c r="A31" s="204"/>
      <c r="B31" s="204"/>
      <c r="C31" s="205"/>
      <c r="D31" s="451"/>
      <c r="E31" s="1824" t="s">
        <v>2597</v>
      </c>
      <c r="F31" s="1825"/>
      <c r="G31" s="1825"/>
      <c r="H31" s="1825"/>
      <c r="I31" s="1825"/>
      <c r="J31" s="1825"/>
      <c r="K31" s="1825"/>
      <c r="L31" s="1825"/>
      <c r="M31" s="1825"/>
      <c r="N31" s="1825"/>
      <c r="O31" s="1825"/>
      <c r="P31" s="1825"/>
      <c r="Q31" s="1825"/>
      <c r="R31" s="1825"/>
      <c r="S31" s="1825"/>
      <c r="T31" s="1825"/>
      <c r="U31" s="1825"/>
      <c r="V31" s="1825"/>
      <c r="W31" s="1825"/>
      <c r="X31" s="1825"/>
      <c r="Y31" s="1825"/>
      <c r="Z31" s="1825"/>
      <c r="AA31" s="1825"/>
      <c r="AB31" s="1825"/>
      <c r="AC31" s="1825"/>
      <c r="AD31" s="1825"/>
      <c r="AE31" s="1825"/>
      <c r="AF31" s="1825"/>
      <c r="AG31" s="1825"/>
      <c r="AH31" s="1825"/>
      <c r="AI31" s="1825"/>
      <c r="AJ31" s="1825"/>
      <c r="AK31" s="1825"/>
      <c r="AL31" s="204"/>
    </row>
    <row r="32" spans="1:38">
      <c r="A32" s="4"/>
      <c r="C32" s="2"/>
    </row>
    <row r="33" spans="1:38">
      <c r="A33" s="4"/>
      <c r="D33" s="1818" t="s">
        <v>2091</v>
      </c>
      <c r="E33" s="1818"/>
      <c r="F33" s="1818"/>
      <c r="G33" s="1818"/>
      <c r="H33" s="1818"/>
      <c r="I33" s="1818"/>
      <c r="J33" s="1818"/>
      <c r="K33" s="1818"/>
      <c r="L33" s="1818"/>
      <c r="M33" s="1818"/>
      <c r="N33" s="1818"/>
      <c r="O33" s="1818"/>
      <c r="P33" s="1818"/>
      <c r="Q33" s="1818"/>
      <c r="R33" s="1818"/>
      <c r="S33" s="1818"/>
      <c r="T33" s="1818"/>
      <c r="U33" s="1818"/>
      <c r="V33" s="1818"/>
      <c r="W33" s="1818"/>
      <c r="X33" s="1818"/>
      <c r="Y33" s="1818"/>
      <c r="Z33" s="1818"/>
      <c r="AA33" s="1818"/>
      <c r="AB33" s="1818"/>
      <c r="AC33" s="1818"/>
      <c r="AD33" s="1818"/>
      <c r="AE33" s="1818"/>
      <c r="AF33" s="1818"/>
      <c r="AG33" s="1818"/>
      <c r="AH33" s="1818"/>
      <c r="AI33" s="1818"/>
      <c r="AJ33" s="1818"/>
      <c r="AK33" s="1818"/>
    </row>
    <row r="34" spans="1:38">
      <c r="A34" s="4"/>
      <c r="D34" s="1818"/>
      <c r="E34" s="1818"/>
      <c r="F34" s="1818"/>
      <c r="G34" s="1818"/>
      <c r="H34" s="1818"/>
      <c r="I34" s="1818"/>
      <c r="J34" s="1818"/>
      <c r="K34" s="1818"/>
      <c r="L34" s="1818"/>
      <c r="M34" s="1818"/>
      <c r="N34" s="1818"/>
      <c r="O34" s="1818"/>
      <c r="P34" s="1818"/>
      <c r="Q34" s="1818"/>
      <c r="R34" s="1818"/>
      <c r="S34" s="1818"/>
      <c r="T34" s="1818"/>
      <c r="U34" s="1818"/>
      <c r="V34" s="1818"/>
      <c r="W34" s="1818"/>
      <c r="X34" s="1818"/>
      <c r="Y34" s="1818"/>
      <c r="Z34" s="1818"/>
      <c r="AA34" s="1818"/>
      <c r="AB34" s="1818"/>
      <c r="AC34" s="1818"/>
      <c r="AD34" s="1818"/>
      <c r="AE34" s="1818"/>
      <c r="AF34" s="1818"/>
      <c r="AG34" s="1818"/>
      <c r="AH34" s="1818"/>
      <c r="AI34" s="1818"/>
      <c r="AJ34" s="1818"/>
      <c r="AK34" s="1818"/>
    </row>
    <row r="35" spans="1:38">
      <c r="A35" s="4"/>
      <c r="D35" s="120"/>
      <c r="E35" s="1823" t="s">
        <v>2598</v>
      </c>
      <c r="F35" s="1823"/>
      <c r="G35" s="1823"/>
      <c r="H35" s="1823"/>
      <c r="I35" s="1823"/>
      <c r="J35" s="1823"/>
      <c r="K35" s="1823"/>
      <c r="L35" s="1823"/>
      <c r="M35" s="1823"/>
      <c r="N35" s="1823"/>
      <c r="O35" s="1823"/>
      <c r="P35" s="1823"/>
      <c r="Q35" s="1823"/>
      <c r="R35" s="1823"/>
      <c r="S35" s="1823"/>
      <c r="T35" s="1823"/>
      <c r="U35" s="1823"/>
      <c r="V35" s="1823"/>
      <c r="W35" s="1823"/>
      <c r="X35" s="1823"/>
      <c r="Y35" s="1823"/>
      <c r="Z35" s="1823"/>
      <c r="AA35" s="1823"/>
      <c r="AB35" s="1823"/>
      <c r="AC35" s="1823"/>
      <c r="AD35" s="1823"/>
      <c r="AE35" s="1823"/>
      <c r="AF35" s="1823"/>
      <c r="AG35" s="1823"/>
      <c r="AH35" s="1823"/>
      <c r="AI35" s="1823"/>
      <c r="AJ35" s="1823"/>
      <c r="AK35" s="1823"/>
    </row>
    <row r="36" spans="1:38">
      <c r="A36" s="4"/>
      <c r="D36" s="120"/>
      <c r="E36" s="1823" t="s">
        <v>2599</v>
      </c>
      <c r="F36" s="1823"/>
      <c r="G36" s="1823"/>
      <c r="H36" s="1823"/>
      <c r="I36" s="1823"/>
      <c r="J36" s="1823"/>
      <c r="K36" s="1823"/>
      <c r="L36" s="1823"/>
      <c r="M36" s="1823"/>
      <c r="N36" s="1823"/>
      <c r="O36" s="1823"/>
      <c r="P36" s="1823"/>
      <c r="Q36" s="1823"/>
      <c r="R36" s="1823"/>
      <c r="S36" s="1823"/>
      <c r="T36" s="1823"/>
      <c r="U36" s="1823"/>
      <c r="V36" s="1823"/>
      <c r="W36" s="1823"/>
      <c r="X36" s="1823"/>
      <c r="Y36" s="1823"/>
      <c r="Z36" s="1823"/>
      <c r="AA36" s="1823"/>
      <c r="AB36" s="1823"/>
      <c r="AC36" s="1823"/>
      <c r="AD36" s="1823"/>
      <c r="AE36" s="1823"/>
      <c r="AF36" s="1823"/>
      <c r="AG36" s="1823"/>
      <c r="AH36" s="1823"/>
      <c r="AI36" s="1823"/>
      <c r="AJ36" s="1823"/>
      <c r="AK36" s="1823"/>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65" customFormat="1" ht="13.15" customHeight="1">
      <c r="A40" s="4"/>
      <c r="B40"/>
      <c r="C40" s="2"/>
      <c r="D40" s="4"/>
      <c r="E40" s="4" t="s">
        <v>653</v>
      </c>
      <c r="F40" s="1465" t="s">
        <v>1163</v>
      </c>
    </row>
    <row r="41" spans="1:38" s="1465"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303" t="s">
        <v>1245</v>
      </c>
      <c r="G43" s="1303"/>
      <c r="H43" s="1303"/>
      <c r="I43" s="1303"/>
      <c r="J43" s="1303"/>
      <c r="K43" s="1303"/>
      <c r="L43" s="1303"/>
      <c r="M43" s="1303"/>
      <c r="N43" s="1303"/>
      <c r="O43" s="1303"/>
      <c r="P43" s="1303"/>
      <c r="Q43" s="1303"/>
      <c r="R43" s="1303"/>
      <c r="S43" s="1303"/>
      <c r="T43" s="1303"/>
      <c r="U43" s="1303"/>
      <c r="V43" s="1303"/>
      <c r="W43" s="1303"/>
      <c r="X43" s="1303"/>
      <c r="Y43" s="1303"/>
      <c r="Z43" s="1303"/>
      <c r="AA43" s="1303"/>
      <c r="AB43" s="1303"/>
      <c r="AC43" s="1303"/>
      <c r="AD43" s="1303"/>
      <c r="AE43" s="1303"/>
      <c r="AF43" s="1303"/>
      <c r="AG43" s="1303"/>
      <c r="AH43" s="1303"/>
      <c r="AI43" s="1303"/>
      <c r="AJ43" s="1303"/>
      <c r="AK43" s="1303"/>
      <c r="AL43" s="1303"/>
    </row>
    <row r="44" spans="1:38" s="118" customFormat="1">
      <c r="A44" s="4"/>
      <c r="B44"/>
      <c r="C44" s="2"/>
      <c r="D44" s="4"/>
      <c r="E44" s="4"/>
      <c r="F44" s="1303"/>
      <c r="G44" s="1303"/>
      <c r="H44" s="1303"/>
      <c r="I44" s="1303"/>
      <c r="J44" s="1303"/>
      <c r="K44" s="1303"/>
      <c r="L44" s="1303"/>
      <c r="M44" s="1303"/>
      <c r="N44" s="1303"/>
      <c r="O44" s="1303"/>
      <c r="P44" s="1303"/>
      <c r="Q44" s="1303"/>
      <c r="R44" s="1303"/>
      <c r="S44" s="1303"/>
      <c r="T44" s="1303"/>
      <c r="U44" s="1303"/>
      <c r="V44" s="1303"/>
      <c r="W44" s="1303"/>
      <c r="X44" s="1303"/>
      <c r="Y44" s="1303"/>
      <c r="Z44" s="1303"/>
      <c r="AA44" s="1303"/>
      <c r="AB44" s="1303"/>
      <c r="AC44" s="1303"/>
      <c r="AD44" s="1303"/>
      <c r="AE44" s="1303"/>
      <c r="AF44" s="1303"/>
      <c r="AG44" s="1303"/>
      <c r="AH44" s="1303"/>
      <c r="AI44" s="1303"/>
      <c r="AJ44" s="1303"/>
      <c r="AK44" s="1303"/>
      <c r="AL44" s="1303"/>
    </row>
    <row r="45" spans="1:38" s="118" customFormat="1" ht="13.15" customHeight="1">
      <c r="A45" s="4"/>
      <c r="B45"/>
      <c r="C45" s="2"/>
      <c r="D45" s="4"/>
      <c r="E45" s="4"/>
      <c r="F45" s="1303"/>
      <c r="G45" s="1303"/>
      <c r="H45" s="1303"/>
      <c r="I45" s="1303"/>
      <c r="J45" s="1303"/>
      <c r="K45" s="1303"/>
      <c r="L45" s="1303"/>
      <c r="M45" s="1303"/>
      <c r="N45" s="1303"/>
      <c r="O45" s="1303"/>
      <c r="P45" s="1303"/>
      <c r="Q45" s="1303"/>
      <c r="R45" s="1303"/>
      <c r="S45" s="1303"/>
      <c r="T45" s="1303"/>
      <c r="U45" s="1303"/>
      <c r="V45" s="1303"/>
      <c r="W45" s="1303"/>
      <c r="X45" s="1303"/>
      <c r="Y45" s="1303"/>
      <c r="Z45" s="1303"/>
      <c r="AA45" s="1303"/>
      <c r="AB45" s="1303"/>
      <c r="AC45" s="1303"/>
      <c r="AD45" s="1303"/>
      <c r="AE45" s="1303"/>
      <c r="AF45" s="1303"/>
      <c r="AG45" s="1303"/>
      <c r="AH45" s="1303"/>
      <c r="AI45" s="1303"/>
      <c r="AJ45" s="1303"/>
      <c r="AK45" s="1303"/>
      <c r="AL45" s="1303"/>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65" t="s">
        <v>1993</v>
      </c>
      <c r="G48" s="1465"/>
      <c r="H48" s="1465"/>
      <c r="I48" s="1465"/>
      <c r="J48" s="1465"/>
      <c r="K48" s="1465"/>
      <c r="L48" s="1465"/>
      <c r="M48" s="1465"/>
      <c r="N48" s="1465"/>
      <c r="O48" s="1465"/>
      <c r="P48" s="1465"/>
      <c r="Q48" s="1465"/>
      <c r="R48" s="1465"/>
      <c r="S48" s="1465"/>
      <c r="T48" s="1465"/>
      <c r="U48" s="1465"/>
      <c r="V48" s="1465"/>
      <c r="W48" s="1465"/>
      <c r="X48" s="1465"/>
      <c r="Y48" s="1465"/>
      <c r="Z48" s="1465"/>
      <c r="AA48" s="1465"/>
      <c r="AB48" s="1465"/>
      <c r="AC48" s="1465"/>
      <c r="AD48" s="1465"/>
      <c r="AE48" s="1465"/>
      <c r="AF48" s="1465"/>
      <c r="AG48" s="1465"/>
      <c r="AH48" s="1465"/>
      <c r="AI48" s="1465"/>
      <c r="AJ48" s="1465"/>
      <c r="AK48" s="1465"/>
    </row>
    <row r="49" spans="1:38">
      <c r="A49" s="4"/>
      <c r="C49" s="2"/>
      <c r="D49" s="4"/>
      <c r="E49" s="4"/>
      <c r="F49" s="1465"/>
      <c r="G49" s="1465"/>
      <c r="H49" s="1465"/>
      <c r="I49" s="1465"/>
      <c r="J49" s="1465"/>
      <c r="K49" s="1465"/>
      <c r="L49" s="1465"/>
      <c r="M49" s="1465"/>
      <c r="N49" s="1465"/>
      <c r="O49" s="1465"/>
      <c r="P49" s="1465"/>
      <c r="Q49" s="1465"/>
      <c r="R49" s="1465"/>
      <c r="S49" s="1465"/>
      <c r="T49" s="1465"/>
      <c r="U49" s="1465"/>
      <c r="V49" s="1465"/>
      <c r="W49" s="1465"/>
      <c r="X49" s="1465"/>
      <c r="Y49" s="1465"/>
      <c r="Z49" s="1465"/>
      <c r="AA49" s="1465"/>
      <c r="AB49" s="1465"/>
      <c r="AC49" s="1465"/>
      <c r="AD49" s="1465"/>
      <c r="AE49" s="1465"/>
      <c r="AF49" s="1465"/>
      <c r="AG49" s="1465"/>
      <c r="AH49" s="1465"/>
      <c r="AI49" s="1465"/>
      <c r="AJ49" s="1465"/>
      <c r="AK49" s="1465"/>
    </row>
    <row r="50" spans="1:38">
      <c r="A50" s="4"/>
      <c r="C50" s="2"/>
      <c r="D50" s="4"/>
      <c r="F50" s="1465"/>
      <c r="G50" s="1465"/>
      <c r="H50" s="1465"/>
      <c r="I50" s="1465"/>
      <c r="J50" s="1465"/>
      <c r="K50" s="1465"/>
      <c r="L50" s="1465"/>
      <c r="M50" s="1465"/>
      <c r="N50" s="1465"/>
      <c r="O50" s="1465"/>
      <c r="P50" s="1465"/>
      <c r="Q50" s="1465"/>
      <c r="R50" s="1465"/>
      <c r="S50" s="1465"/>
      <c r="T50" s="1465"/>
      <c r="U50" s="1465"/>
      <c r="V50" s="1465"/>
      <c r="W50" s="1465"/>
      <c r="X50" s="1465"/>
      <c r="Y50" s="1465"/>
      <c r="Z50" s="1465"/>
      <c r="AA50" s="1465"/>
      <c r="AB50" s="1465"/>
      <c r="AC50" s="1465"/>
      <c r="AD50" s="1465"/>
      <c r="AE50" s="1465"/>
      <c r="AF50" s="1465"/>
      <c r="AG50" s="1465"/>
      <c r="AH50" s="1465"/>
      <c r="AI50" s="1465"/>
      <c r="AJ50" s="1465"/>
      <c r="AK50" s="1465"/>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0" t="s">
        <v>1190</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0" t="s">
        <v>575</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0" t="s">
        <v>1994</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65" t="s">
        <v>1165</v>
      </c>
      <c r="H64" s="1465"/>
      <c r="I64" s="1465"/>
      <c r="J64" s="1465"/>
      <c r="K64" s="1465"/>
      <c r="L64" s="1465"/>
      <c r="M64" s="1465"/>
      <c r="N64" s="1465"/>
      <c r="O64" s="1465"/>
      <c r="P64" s="1465"/>
      <c r="Q64" s="1465"/>
      <c r="R64" s="1465"/>
      <c r="S64" s="1465"/>
      <c r="T64" s="1465"/>
      <c r="U64" s="1465"/>
      <c r="V64" s="1465"/>
      <c r="W64" s="1465"/>
      <c r="X64" s="1465"/>
      <c r="Y64" s="1465"/>
      <c r="Z64" s="1465"/>
      <c r="AA64" s="1465"/>
      <c r="AB64" s="1465"/>
      <c r="AC64" s="1465"/>
      <c r="AD64" s="1465"/>
      <c r="AE64" s="1465"/>
      <c r="AF64" s="1465"/>
      <c r="AG64" s="1465"/>
      <c r="AH64" s="1465"/>
      <c r="AI64" s="1465"/>
      <c r="AJ64" s="1465"/>
      <c r="AK64" s="1465"/>
    </row>
    <row r="65" spans="1:37">
      <c r="A65" s="4"/>
      <c r="C65" s="2"/>
      <c r="D65" s="4"/>
      <c r="E65" s="4"/>
      <c r="G65" s="1465"/>
      <c r="H65" s="1465"/>
      <c r="I65" s="1465"/>
      <c r="J65" s="1465"/>
      <c r="K65" s="1465"/>
      <c r="L65" s="1465"/>
      <c r="M65" s="1465"/>
      <c r="N65" s="1465"/>
      <c r="O65" s="1465"/>
      <c r="P65" s="1465"/>
      <c r="Q65" s="1465"/>
      <c r="R65" s="1465"/>
      <c r="S65" s="1465"/>
      <c r="T65" s="1465"/>
      <c r="U65" s="1465"/>
      <c r="V65" s="1465"/>
      <c r="W65" s="1465"/>
      <c r="X65" s="1465"/>
      <c r="Y65" s="1465"/>
      <c r="Z65" s="1465"/>
      <c r="AA65" s="1465"/>
      <c r="AB65" s="1465"/>
      <c r="AC65" s="1465"/>
      <c r="AD65" s="1465"/>
      <c r="AE65" s="1465"/>
      <c r="AF65" s="1465"/>
      <c r="AG65" s="1465"/>
      <c r="AH65" s="1465"/>
      <c r="AI65" s="1465"/>
      <c r="AJ65" s="1465"/>
      <c r="AK65" s="1465"/>
    </row>
    <row r="66" spans="1:37">
      <c r="A66" s="4"/>
      <c r="C66" s="2"/>
      <c r="D66" s="4"/>
      <c r="E66" s="4"/>
      <c r="G66" s="1465"/>
      <c r="H66" s="1465"/>
      <c r="I66" s="1465"/>
      <c r="J66" s="1465"/>
      <c r="K66" s="1465"/>
      <c r="L66" s="1465"/>
      <c r="M66" s="1465"/>
      <c r="N66" s="1465"/>
      <c r="O66" s="1465"/>
      <c r="P66" s="1465"/>
      <c r="Q66" s="1465"/>
      <c r="R66" s="1465"/>
      <c r="S66" s="1465"/>
      <c r="T66" s="1465"/>
      <c r="U66" s="1465"/>
      <c r="V66" s="1465"/>
      <c r="W66" s="1465"/>
      <c r="X66" s="1465"/>
      <c r="Y66" s="1465"/>
      <c r="Z66" s="1465"/>
      <c r="AA66" s="1465"/>
      <c r="AB66" s="1465"/>
      <c r="AC66" s="1465"/>
      <c r="AD66" s="1465"/>
      <c r="AE66" s="1465"/>
      <c r="AF66" s="1465"/>
      <c r="AG66" s="1465"/>
      <c r="AH66" s="1465"/>
      <c r="AI66" s="1465"/>
      <c r="AJ66" s="1465"/>
      <c r="AK66" s="1465"/>
    </row>
    <row r="67" spans="1:37" ht="13.15" customHeight="1">
      <c r="A67" s="4"/>
      <c r="C67" s="2"/>
      <c r="D67" s="4"/>
      <c r="E67" s="4"/>
      <c r="F67" t="s">
        <v>509</v>
      </c>
      <c r="G67" s="1465" t="s">
        <v>1166</v>
      </c>
      <c r="H67" s="1465"/>
      <c r="I67" s="1465"/>
      <c r="J67" s="1465"/>
      <c r="K67" s="1465"/>
      <c r="L67" s="1465"/>
      <c r="M67" s="1465"/>
      <c r="N67" s="1465"/>
      <c r="O67" s="1465"/>
      <c r="P67" s="1465"/>
      <c r="Q67" s="1465"/>
      <c r="R67" s="1465"/>
      <c r="S67" s="1465"/>
      <c r="T67" s="1465"/>
      <c r="U67" s="1465"/>
      <c r="V67" s="1465"/>
      <c r="W67" s="1465"/>
      <c r="X67" s="1465"/>
      <c r="Y67" s="1465"/>
      <c r="Z67" s="1465"/>
      <c r="AA67" s="1465"/>
      <c r="AB67" s="1465"/>
      <c r="AC67" s="1465"/>
      <c r="AD67" s="1465"/>
      <c r="AE67" s="1465"/>
      <c r="AF67" s="1465"/>
      <c r="AG67" s="1465"/>
      <c r="AH67" s="1465"/>
      <c r="AI67" s="1465"/>
      <c r="AJ67" s="1465"/>
      <c r="AK67" s="1465"/>
    </row>
    <row r="68" spans="1:37">
      <c r="A68" s="4"/>
      <c r="C68" s="2"/>
      <c r="D68" s="4"/>
      <c r="E68" s="4"/>
      <c r="F68" s="27"/>
      <c r="G68" s="1465"/>
      <c r="H68" s="1465"/>
      <c r="I68" s="1465"/>
      <c r="J68" s="1465"/>
      <c r="K68" s="1465"/>
      <c r="L68" s="1465"/>
      <c r="M68" s="1465"/>
      <c r="N68" s="1465"/>
      <c r="O68" s="1465"/>
      <c r="P68" s="1465"/>
      <c r="Q68" s="1465"/>
      <c r="R68" s="1465"/>
      <c r="S68" s="1465"/>
      <c r="T68" s="1465"/>
      <c r="U68" s="1465"/>
      <c r="V68" s="1465"/>
      <c r="W68" s="1465"/>
      <c r="X68" s="1465"/>
      <c r="Y68" s="1465"/>
      <c r="Z68" s="1465"/>
      <c r="AA68" s="1465"/>
      <c r="AB68" s="1465"/>
      <c r="AC68" s="1465"/>
      <c r="AD68" s="1465"/>
      <c r="AE68" s="1465"/>
      <c r="AF68" s="1465"/>
      <c r="AG68" s="1465"/>
      <c r="AH68" s="1465"/>
      <c r="AI68" s="1465"/>
      <c r="AJ68" s="1465"/>
      <c r="AK68" s="1465"/>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65" t="s">
        <v>1167</v>
      </c>
      <c r="H70" s="1465"/>
      <c r="I70" s="1465"/>
      <c r="J70" s="1465"/>
      <c r="K70" s="1465"/>
      <c r="L70" s="1465"/>
      <c r="M70" s="1465"/>
      <c r="N70" s="1465"/>
      <c r="O70" s="1465"/>
      <c r="P70" s="1465"/>
      <c r="Q70" s="1465"/>
      <c r="R70" s="1465"/>
      <c r="S70" s="1465"/>
      <c r="T70" s="1465"/>
      <c r="U70" s="1465"/>
      <c r="V70" s="1465"/>
      <c r="W70" s="1465"/>
      <c r="X70" s="1465"/>
      <c r="Y70" s="1465"/>
      <c r="Z70" s="1465"/>
      <c r="AA70" s="1465"/>
      <c r="AB70" s="1465"/>
      <c r="AC70" s="1465"/>
      <c r="AD70" s="1465"/>
      <c r="AE70" s="1465"/>
      <c r="AF70" s="1465"/>
      <c r="AG70" s="1465"/>
      <c r="AH70" s="1465"/>
      <c r="AI70" s="1465"/>
      <c r="AJ70" s="1465"/>
      <c r="AK70" s="1465"/>
    </row>
    <row r="71" spans="1:37">
      <c r="A71" s="4"/>
      <c r="C71" s="2"/>
      <c r="D71" s="4"/>
      <c r="E71" s="4"/>
      <c r="F71" s="8"/>
      <c r="G71" s="1465"/>
      <c r="H71" s="1465"/>
      <c r="I71" s="1465"/>
      <c r="J71" s="1465"/>
      <c r="K71" s="1465"/>
      <c r="L71" s="1465"/>
      <c r="M71" s="1465"/>
      <c r="N71" s="1465"/>
      <c r="O71" s="1465"/>
      <c r="P71" s="1465"/>
      <c r="Q71" s="1465"/>
      <c r="R71" s="1465"/>
      <c r="S71" s="1465"/>
      <c r="T71" s="1465"/>
      <c r="U71" s="1465"/>
      <c r="V71" s="1465"/>
      <c r="W71" s="1465"/>
      <c r="X71" s="1465"/>
      <c r="Y71" s="1465"/>
      <c r="Z71" s="1465"/>
      <c r="AA71" s="1465"/>
      <c r="AB71" s="1465"/>
      <c r="AC71" s="1465"/>
      <c r="AD71" s="1465"/>
      <c r="AE71" s="1465"/>
      <c r="AF71" s="1465"/>
      <c r="AG71" s="1465"/>
      <c r="AH71" s="1465"/>
      <c r="AI71" s="1465"/>
      <c r="AJ71" s="1465"/>
      <c r="AK71" s="1465"/>
    </row>
    <row r="72" spans="1:37">
      <c r="A72" s="4"/>
      <c r="C72" s="2"/>
      <c r="D72" s="4"/>
      <c r="E72" s="4"/>
      <c r="F72" s="8" t="s">
        <v>509</v>
      </c>
      <c r="G72" s="1465" t="s">
        <v>1168</v>
      </c>
      <c r="H72" s="1465"/>
      <c r="I72" s="1465"/>
      <c r="J72" s="1465"/>
      <c r="K72" s="1465"/>
      <c r="L72" s="1465"/>
      <c r="M72" s="1465"/>
      <c r="N72" s="1465"/>
      <c r="O72" s="1465"/>
      <c r="P72" s="1465"/>
      <c r="Q72" s="1465"/>
      <c r="R72" s="1465"/>
      <c r="S72" s="1465"/>
      <c r="T72" s="1465"/>
      <c r="U72" s="1465"/>
      <c r="V72" s="1465"/>
      <c r="W72" s="1465"/>
      <c r="X72" s="1465"/>
      <c r="Y72" s="1465"/>
      <c r="Z72" s="1465"/>
      <c r="AA72" s="1465"/>
      <c r="AB72" s="1465"/>
      <c r="AC72" s="1465"/>
      <c r="AD72" s="1465"/>
      <c r="AE72" s="1465"/>
      <c r="AF72" s="1465"/>
      <c r="AG72" s="1465"/>
      <c r="AH72" s="1465"/>
      <c r="AI72" s="1465"/>
      <c r="AJ72" s="1465"/>
      <c r="AK72" s="1465"/>
    </row>
    <row r="73" spans="1:37">
      <c r="A73" s="4"/>
      <c r="C73" s="2"/>
      <c r="D73" s="4"/>
      <c r="E73" s="4"/>
      <c r="F73" s="8"/>
      <c r="G73" s="1465"/>
      <c r="H73" s="1465"/>
      <c r="I73" s="1465"/>
      <c r="J73" s="1465"/>
      <c r="K73" s="1465"/>
      <c r="L73" s="1465"/>
      <c r="M73" s="1465"/>
      <c r="N73" s="1465"/>
      <c r="O73" s="1465"/>
      <c r="P73" s="1465"/>
      <c r="Q73" s="1465"/>
      <c r="R73" s="1465"/>
      <c r="S73" s="1465"/>
      <c r="T73" s="1465"/>
      <c r="U73" s="1465"/>
      <c r="V73" s="1465"/>
      <c r="W73" s="1465"/>
      <c r="X73" s="1465"/>
      <c r="Y73" s="1465"/>
      <c r="Z73" s="1465"/>
      <c r="AA73" s="1465"/>
      <c r="AB73" s="1465"/>
      <c r="AC73" s="1465"/>
      <c r="AD73" s="1465"/>
      <c r="AE73" s="1465"/>
      <c r="AF73" s="1465"/>
      <c r="AG73" s="1465"/>
      <c r="AH73" s="1465"/>
      <c r="AI73" s="1465"/>
      <c r="AJ73" s="1465"/>
      <c r="AK73" s="1465"/>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65" t="s">
        <v>1169</v>
      </c>
      <c r="H80" s="1465"/>
      <c r="I80" s="1465"/>
      <c r="J80" s="1465"/>
      <c r="K80" s="1465"/>
      <c r="L80" s="1465"/>
      <c r="M80" s="1465"/>
      <c r="N80" s="1465"/>
      <c r="O80" s="1465"/>
      <c r="P80" s="1465"/>
      <c r="Q80" s="1465"/>
      <c r="R80" s="1465"/>
      <c r="S80" s="1465"/>
      <c r="T80" s="1465"/>
      <c r="U80" s="1465"/>
      <c r="V80" s="1465"/>
      <c r="W80" s="1465"/>
      <c r="X80" s="1465"/>
      <c r="Y80" s="1465"/>
      <c r="Z80" s="1465"/>
      <c r="AA80" s="1465"/>
      <c r="AB80" s="1465"/>
      <c r="AC80" s="1465"/>
      <c r="AD80" s="1465"/>
      <c r="AE80" s="1465"/>
      <c r="AF80" s="1465"/>
      <c r="AG80" s="1465"/>
      <c r="AH80" s="1465"/>
      <c r="AI80" s="1465"/>
      <c r="AJ80" s="1465"/>
      <c r="AK80" s="1465"/>
    </row>
    <row r="81" spans="1:37">
      <c r="A81" s="4"/>
      <c r="C81" s="2"/>
      <c r="D81" s="4"/>
      <c r="E81" s="4"/>
      <c r="F81" s="4"/>
      <c r="G81" s="1465"/>
      <c r="H81" s="1465"/>
      <c r="I81" s="1465"/>
      <c r="J81" s="1465"/>
      <c r="K81" s="1465"/>
      <c r="L81" s="1465"/>
      <c r="M81" s="1465"/>
      <c r="N81" s="1465"/>
      <c r="O81" s="1465"/>
      <c r="P81" s="1465"/>
      <c r="Q81" s="1465"/>
      <c r="R81" s="1465"/>
      <c r="S81" s="1465"/>
      <c r="T81" s="1465"/>
      <c r="U81" s="1465"/>
      <c r="V81" s="1465"/>
      <c r="W81" s="1465"/>
      <c r="X81" s="1465"/>
      <c r="Y81" s="1465"/>
      <c r="Z81" s="1465"/>
      <c r="AA81" s="1465"/>
      <c r="AB81" s="1465"/>
      <c r="AC81" s="1465"/>
      <c r="AD81" s="1465"/>
      <c r="AE81" s="1465"/>
      <c r="AF81" s="1465"/>
      <c r="AG81" s="1465"/>
      <c r="AH81" s="1465"/>
      <c r="AI81" s="1465"/>
      <c r="AJ81" s="1465"/>
      <c r="AK81" s="1465"/>
    </row>
    <row r="82" spans="1:37">
      <c r="A82" s="4"/>
      <c r="C82" s="2"/>
      <c r="D82" s="4"/>
      <c r="E82" s="4"/>
      <c r="F82" s="4"/>
      <c r="G82" s="1465"/>
      <c r="H82" s="1465"/>
      <c r="I82" s="1465"/>
      <c r="J82" s="1465"/>
      <c r="K82" s="1465"/>
      <c r="L82" s="1465"/>
      <c r="M82" s="1465"/>
      <c r="N82" s="1465"/>
      <c r="O82" s="1465"/>
      <c r="P82" s="1465"/>
      <c r="Q82" s="1465"/>
      <c r="R82" s="1465"/>
      <c r="S82" s="1465"/>
      <c r="T82" s="1465"/>
      <c r="U82" s="1465"/>
      <c r="V82" s="1465"/>
      <c r="W82" s="1465"/>
      <c r="X82" s="1465"/>
      <c r="Y82" s="1465"/>
      <c r="Z82" s="1465"/>
      <c r="AA82" s="1465"/>
      <c r="AB82" s="1465"/>
      <c r="AC82" s="1465"/>
      <c r="AD82" s="1465"/>
      <c r="AE82" s="1465"/>
      <c r="AF82" s="1465"/>
      <c r="AG82" s="1465"/>
      <c r="AH82" s="1465"/>
      <c r="AI82" s="1465"/>
      <c r="AJ82" s="1465"/>
      <c r="AK82" s="1465"/>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65" t="s">
        <v>1170</v>
      </c>
      <c r="H84" s="1465"/>
      <c r="I84" s="1465"/>
      <c r="J84" s="1465"/>
      <c r="K84" s="1465"/>
      <c r="L84" s="1465"/>
      <c r="M84" s="1465"/>
      <c r="N84" s="1465"/>
      <c r="O84" s="1465"/>
      <c r="P84" s="1465"/>
      <c r="Q84" s="1465"/>
      <c r="R84" s="1465"/>
      <c r="S84" s="1465"/>
      <c r="T84" s="1465"/>
      <c r="U84" s="1465"/>
      <c r="V84" s="1465"/>
      <c r="W84" s="1465"/>
      <c r="X84" s="1465"/>
      <c r="Y84" s="1465"/>
      <c r="Z84" s="1465"/>
      <c r="AA84" s="1465"/>
      <c r="AB84" s="1465"/>
      <c r="AC84" s="1465"/>
      <c r="AD84" s="1465"/>
      <c r="AE84" s="1465"/>
      <c r="AF84" s="1465"/>
      <c r="AG84" s="1465"/>
      <c r="AH84" s="1465"/>
      <c r="AI84" s="1465"/>
      <c r="AJ84" s="1465"/>
      <c r="AK84" s="1465"/>
    </row>
    <row r="85" spans="1:37">
      <c r="A85" s="4"/>
      <c r="C85" s="2"/>
      <c r="D85" s="4"/>
      <c r="E85" s="4"/>
      <c r="F85" s="4"/>
      <c r="G85" s="1465"/>
      <c r="H85" s="1465"/>
      <c r="I85" s="1465"/>
      <c r="J85" s="1465"/>
      <c r="K85" s="1465"/>
      <c r="L85" s="1465"/>
      <c r="M85" s="1465"/>
      <c r="N85" s="1465"/>
      <c r="O85" s="1465"/>
      <c r="P85" s="1465"/>
      <c r="Q85" s="1465"/>
      <c r="R85" s="1465"/>
      <c r="S85" s="1465"/>
      <c r="T85" s="1465"/>
      <c r="U85" s="1465"/>
      <c r="V85" s="1465"/>
      <c r="W85" s="1465"/>
      <c r="X85" s="1465"/>
      <c r="Y85" s="1465"/>
      <c r="Z85" s="1465"/>
      <c r="AA85" s="1465"/>
      <c r="AB85" s="1465"/>
      <c r="AC85" s="1465"/>
      <c r="AD85" s="1465"/>
      <c r="AE85" s="1465"/>
      <c r="AF85" s="1465"/>
      <c r="AG85" s="1465"/>
      <c r="AH85" s="1465"/>
      <c r="AI85" s="1465"/>
      <c r="AJ85" s="1465"/>
      <c r="AK85" s="1465"/>
    </row>
    <row r="86" spans="1:37">
      <c r="A86" s="4"/>
      <c r="C86" s="2"/>
      <c r="D86" s="4"/>
      <c r="E86" s="4"/>
      <c r="G86" s="1465"/>
      <c r="H86" s="1465"/>
      <c r="I86" s="1465"/>
      <c r="J86" s="1465"/>
      <c r="K86" s="1465"/>
      <c r="L86" s="1465"/>
      <c r="M86" s="1465"/>
      <c r="N86" s="1465"/>
      <c r="O86" s="1465"/>
      <c r="P86" s="1465"/>
      <c r="Q86" s="1465"/>
      <c r="R86" s="1465"/>
      <c r="S86" s="1465"/>
      <c r="T86" s="1465"/>
      <c r="U86" s="1465"/>
      <c r="V86" s="1465"/>
      <c r="W86" s="1465"/>
      <c r="X86" s="1465"/>
      <c r="Y86" s="1465"/>
      <c r="Z86" s="1465"/>
      <c r="AA86" s="1465"/>
      <c r="AB86" s="1465"/>
      <c r="AC86" s="1465"/>
      <c r="AD86" s="1465"/>
      <c r="AE86" s="1465"/>
      <c r="AF86" s="1465"/>
      <c r="AG86" s="1465"/>
      <c r="AH86" s="1465"/>
      <c r="AI86" s="1465"/>
      <c r="AJ86" s="1465"/>
      <c r="AK86" s="1465"/>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26" t="s">
        <v>1171</v>
      </c>
      <c r="H88" s="1826"/>
      <c r="I88" s="1826"/>
      <c r="J88" s="1826"/>
      <c r="K88" s="1826"/>
      <c r="L88" s="1826"/>
      <c r="M88" s="1826"/>
      <c r="N88" s="1826"/>
      <c r="O88" s="1826"/>
      <c r="P88" s="1826"/>
      <c r="Q88" s="1826"/>
      <c r="R88" s="1826"/>
      <c r="S88" s="1826"/>
      <c r="T88" s="1826"/>
      <c r="U88" s="1826"/>
      <c r="V88" s="1826"/>
      <c r="W88" s="1826"/>
      <c r="X88" s="1826"/>
      <c r="Y88" s="1826"/>
      <c r="Z88" s="1826"/>
      <c r="AA88" s="1826"/>
      <c r="AB88" s="1826"/>
      <c r="AC88" s="1826"/>
      <c r="AD88" s="1826"/>
      <c r="AE88" s="1826"/>
      <c r="AF88" s="1826"/>
      <c r="AG88" s="1826"/>
      <c r="AH88" s="1826"/>
      <c r="AI88" s="1826"/>
      <c r="AJ88" s="1826"/>
      <c r="AK88" s="1826"/>
    </row>
    <row r="89" spans="1:37">
      <c r="A89" s="4"/>
      <c r="C89" s="2"/>
      <c r="D89" s="4"/>
      <c r="E89" s="4"/>
      <c r="G89" s="1826"/>
      <c r="H89" s="1826"/>
      <c r="I89" s="1826"/>
      <c r="J89" s="1826"/>
      <c r="K89" s="1826"/>
      <c r="L89" s="1826"/>
      <c r="M89" s="1826"/>
      <c r="N89" s="1826"/>
      <c r="O89" s="1826"/>
      <c r="P89" s="1826"/>
      <c r="Q89" s="1826"/>
      <c r="R89" s="1826"/>
      <c r="S89" s="1826"/>
      <c r="T89" s="1826"/>
      <c r="U89" s="1826"/>
      <c r="V89" s="1826"/>
      <c r="W89" s="1826"/>
      <c r="X89" s="1826"/>
      <c r="Y89" s="1826"/>
      <c r="Z89" s="1826"/>
      <c r="AA89" s="1826"/>
      <c r="AB89" s="1826"/>
      <c r="AC89" s="1826"/>
      <c r="AD89" s="1826"/>
      <c r="AE89" s="1826"/>
      <c r="AF89" s="1826"/>
      <c r="AG89" s="1826"/>
      <c r="AH89" s="1826"/>
      <c r="AI89" s="1826"/>
      <c r="AJ89" s="1826"/>
      <c r="AK89" s="1826"/>
    </row>
    <row r="90" spans="1:37">
      <c r="A90" s="4"/>
      <c r="C90" s="2"/>
      <c r="D90" s="4"/>
      <c r="E90" s="4"/>
      <c r="G90" s="1826"/>
      <c r="H90" s="1826"/>
      <c r="I90" s="1826"/>
      <c r="J90" s="1826"/>
      <c r="K90" s="1826"/>
      <c r="L90" s="1826"/>
      <c r="M90" s="1826"/>
      <c r="N90" s="1826"/>
      <c r="O90" s="1826"/>
      <c r="P90" s="1826"/>
      <c r="Q90" s="1826"/>
      <c r="R90" s="1826"/>
      <c r="S90" s="1826"/>
      <c r="T90" s="1826"/>
      <c r="U90" s="1826"/>
      <c r="V90" s="1826"/>
      <c r="W90" s="1826"/>
      <c r="X90" s="1826"/>
      <c r="Y90" s="1826"/>
      <c r="Z90" s="1826"/>
      <c r="AA90" s="1826"/>
      <c r="AB90" s="1826"/>
      <c r="AC90" s="1826"/>
      <c r="AD90" s="1826"/>
      <c r="AE90" s="1826"/>
      <c r="AF90" s="1826"/>
      <c r="AG90" s="1826"/>
      <c r="AH90" s="1826"/>
      <c r="AI90" s="1826"/>
      <c r="AJ90" s="1826"/>
      <c r="AK90" s="1826"/>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65" t="s">
        <v>1172</v>
      </c>
      <c r="H92" s="1465"/>
      <c r="I92" s="1465"/>
      <c r="J92" s="1465"/>
      <c r="K92" s="1465"/>
      <c r="L92" s="1465"/>
      <c r="M92" s="1465"/>
      <c r="N92" s="1465"/>
      <c r="O92" s="1465"/>
      <c r="P92" s="1465"/>
      <c r="Q92" s="1465"/>
      <c r="R92" s="1465"/>
      <c r="S92" s="1465"/>
      <c r="T92" s="1465"/>
      <c r="U92" s="1465"/>
      <c r="V92" s="1465"/>
      <c r="W92" s="1465"/>
      <c r="X92" s="1465"/>
      <c r="Y92" s="1465"/>
      <c r="Z92" s="1465"/>
      <c r="AA92" s="1465"/>
      <c r="AB92" s="1465"/>
      <c r="AC92" s="1465"/>
      <c r="AD92" s="1465"/>
      <c r="AE92" s="1465"/>
      <c r="AF92" s="1465"/>
      <c r="AG92" s="1465"/>
      <c r="AH92" s="1465"/>
      <c r="AI92" s="1465"/>
      <c r="AJ92" s="1465"/>
      <c r="AK92" s="1465"/>
    </row>
    <row r="93" spans="1:37">
      <c r="A93" s="4"/>
      <c r="C93" s="2"/>
      <c r="D93" s="4"/>
      <c r="E93" s="4"/>
      <c r="G93" s="1465"/>
      <c r="H93" s="1465"/>
      <c r="I93" s="1465"/>
      <c r="J93" s="1465"/>
      <c r="K93" s="1465"/>
      <c r="L93" s="1465"/>
      <c r="M93" s="1465"/>
      <c r="N93" s="1465"/>
      <c r="O93" s="1465"/>
      <c r="P93" s="1465"/>
      <c r="Q93" s="1465"/>
      <c r="R93" s="1465"/>
      <c r="S93" s="1465"/>
      <c r="T93" s="1465"/>
      <c r="U93" s="1465"/>
      <c r="V93" s="1465"/>
      <c r="W93" s="1465"/>
      <c r="X93" s="1465"/>
      <c r="Y93" s="1465"/>
      <c r="Z93" s="1465"/>
      <c r="AA93" s="1465"/>
      <c r="AB93" s="1465"/>
      <c r="AC93" s="1465"/>
      <c r="AD93" s="1465"/>
      <c r="AE93" s="1465"/>
      <c r="AF93" s="1465"/>
      <c r="AG93" s="1465"/>
      <c r="AH93" s="1465"/>
      <c r="AI93" s="1465"/>
      <c r="AJ93" s="1465"/>
      <c r="AK93" s="1465"/>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65" t="s">
        <v>1173</v>
      </c>
      <c r="H95" s="1465"/>
      <c r="I95" s="1465"/>
      <c r="J95" s="1465"/>
      <c r="K95" s="1465"/>
      <c r="L95" s="1465"/>
      <c r="M95" s="1465"/>
      <c r="N95" s="1465"/>
      <c r="O95" s="1465"/>
      <c r="P95" s="1465"/>
      <c r="Q95" s="1465"/>
      <c r="R95" s="1465"/>
      <c r="S95" s="1465"/>
      <c r="T95" s="1465"/>
      <c r="U95" s="1465"/>
      <c r="V95" s="1465"/>
      <c r="W95" s="1465"/>
      <c r="X95" s="1465"/>
      <c r="Y95" s="1465"/>
      <c r="Z95" s="1465"/>
      <c r="AA95" s="1465"/>
      <c r="AB95" s="1465"/>
      <c r="AC95" s="1465"/>
      <c r="AD95" s="1465"/>
      <c r="AE95" s="1465"/>
      <c r="AF95" s="1465"/>
      <c r="AG95" s="1465"/>
      <c r="AH95" s="1465"/>
      <c r="AI95" s="1465"/>
      <c r="AJ95" s="1465"/>
      <c r="AK95" s="1465"/>
    </row>
    <row r="96" spans="1:37">
      <c r="A96" s="4"/>
      <c r="C96" s="2"/>
      <c r="D96" s="4"/>
      <c r="E96" s="4"/>
      <c r="G96" s="1465"/>
      <c r="H96" s="1465"/>
      <c r="I96" s="1465"/>
      <c r="J96" s="1465"/>
      <c r="K96" s="1465"/>
      <c r="L96" s="1465"/>
      <c r="M96" s="1465"/>
      <c r="N96" s="1465"/>
      <c r="O96" s="1465"/>
      <c r="P96" s="1465"/>
      <c r="Q96" s="1465"/>
      <c r="R96" s="1465"/>
      <c r="S96" s="1465"/>
      <c r="T96" s="1465"/>
      <c r="U96" s="1465"/>
      <c r="V96" s="1465"/>
      <c r="W96" s="1465"/>
      <c r="X96" s="1465"/>
      <c r="Y96" s="1465"/>
      <c r="Z96" s="1465"/>
      <c r="AA96" s="1465"/>
      <c r="AB96" s="1465"/>
      <c r="AC96" s="1465"/>
      <c r="AD96" s="1465"/>
      <c r="AE96" s="1465"/>
      <c r="AF96" s="1465"/>
      <c r="AG96" s="1465"/>
      <c r="AH96" s="1465"/>
      <c r="AI96" s="1465"/>
      <c r="AJ96" s="1465"/>
      <c r="AK96" s="1465"/>
    </row>
    <row r="97" spans="1:38">
      <c r="A97" s="4"/>
      <c r="C97" s="2"/>
      <c r="D97" s="4"/>
      <c r="E97" s="4"/>
      <c r="G97" s="1465"/>
      <c r="H97" s="1465"/>
      <c r="I97" s="1465"/>
      <c r="J97" s="1465"/>
      <c r="K97" s="1465"/>
      <c r="L97" s="1465"/>
      <c r="M97" s="1465"/>
      <c r="N97" s="1465"/>
      <c r="O97" s="1465"/>
      <c r="P97" s="1465"/>
      <c r="Q97" s="1465"/>
      <c r="R97" s="1465"/>
      <c r="S97" s="1465"/>
      <c r="T97" s="1465"/>
      <c r="U97" s="1465"/>
      <c r="V97" s="1465"/>
      <c r="W97" s="1465"/>
      <c r="X97" s="1465"/>
      <c r="Y97" s="1465"/>
      <c r="Z97" s="1465"/>
      <c r="AA97" s="1465"/>
      <c r="AB97" s="1465"/>
      <c r="AC97" s="1465"/>
      <c r="AD97" s="1465"/>
      <c r="AE97" s="1465"/>
      <c r="AF97" s="1465"/>
      <c r="AG97" s="1465"/>
      <c r="AH97" s="1465"/>
      <c r="AI97" s="1465"/>
      <c r="AJ97" s="1465"/>
      <c r="AK97" s="1465"/>
    </row>
    <row r="98" spans="1:38">
      <c r="A98" s="4"/>
      <c r="D98" s="99"/>
      <c r="E98" s="1827" t="s">
        <v>1174</v>
      </c>
      <c r="F98" s="1827"/>
      <c r="G98" s="1827"/>
      <c r="H98" s="1827"/>
      <c r="I98" s="1827"/>
      <c r="J98" s="1827"/>
      <c r="K98" s="1827"/>
      <c r="L98" s="1827"/>
      <c r="M98" s="1827"/>
      <c r="N98" s="1827"/>
      <c r="O98" s="1827"/>
      <c r="P98" s="1827"/>
      <c r="Q98" s="1827"/>
      <c r="R98" s="1827"/>
      <c r="S98" s="1827"/>
      <c r="T98" s="1827"/>
      <c r="U98" s="1827"/>
      <c r="V98" s="1827"/>
      <c r="W98" s="1827"/>
      <c r="X98" s="1827"/>
      <c r="Y98" s="1827"/>
      <c r="Z98" s="1827"/>
      <c r="AA98" s="1827"/>
      <c r="AB98" s="1827"/>
      <c r="AC98" s="1827"/>
      <c r="AD98" s="1827"/>
      <c r="AE98" s="1827"/>
      <c r="AF98" s="1827"/>
      <c r="AG98" s="1827"/>
      <c r="AH98" s="1827"/>
      <c r="AI98" s="1827"/>
      <c r="AJ98" s="1827"/>
      <c r="AK98" s="1827"/>
    </row>
    <row r="99" spans="1:38">
      <c r="A99" s="4"/>
      <c r="D99" s="99"/>
      <c r="E99" s="1827"/>
      <c r="F99" s="1827"/>
      <c r="G99" s="1827"/>
      <c r="H99" s="1827"/>
      <c r="I99" s="1827"/>
      <c r="J99" s="1827"/>
      <c r="K99" s="1827"/>
      <c r="L99" s="1827"/>
      <c r="M99" s="1827"/>
      <c r="N99" s="1827"/>
      <c r="O99" s="1827"/>
      <c r="P99" s="1827"/>
      <c r="Q99" s="1827"/>
      <c r="R99" s="1827"/>
      <c r="S99" s="1827"/>
      <c r="T99" s="1827"/>
      <c r="U99" s="1827"/>
      <c r="V99" s="1827"/>
      <c r="W99" s="1827"/>
      <c r="X99" s="1827"/>
      <c r="Y99" s="1827"/>
      <c r="Z99" s="1827"/>
      <c r="AA99" s="1827"/>
      <c r="AB99" s="1827"/>
      <c r="AC99" s="1827"/>
      <c r="AD99" s="1827"/>
      <c r="AE99" s="1827"/>
      <c r="AF99" s="1827"/>
      <c r="AG99" s="1827"/>
      <c r="AH99" s="1827"/>
      <c r="AI99" s="1827"/>
      <c r="AJ99" s="1827"/>
      <c r="AK99" s="1827"/>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65" t="s">
        <v>1175</v>
      </c>
      <c r="H205" s="1465"/>
      <c r="I205" s="1465"/>
      <c r="J205" s="1465"/>
      <c r="K205" s="1465"/>
      <c r="L205" s="1465"/>
      <c r="M205" s="1465"/>
      <c r="N205" s="1465"/>
      <c r="O205" s="1465"/>
      <c r="P205" s="1465"/>
      <c r="Q205" s="1465"/>
      <c r="R205" s="1465"/>
      <c r="S205" s="1465"/>
      <c r="T205" s="1465"/>
      <c r="U205" s="1465"/>
      <c r="V205" s="1465"/>
      <c r="W205" s="1465"/>
      <c r="X205" s="1465"/>
      <c r="Y205" s="1465"/>
      <c r="Z205" s="1465"/>
      <c r="AA205" s="1465"/>
      <c r="AB205" s="1465"/>
      <c r="AC205" s="1465"/>
      <c r="AD205" s="1465"/>
      <c r="AE205" s="1465"/>
      <c r="AF205" s="1465"/>
      <c r="AG205" s="1465"/>
      <c r="AH205" s="1465"/>
      <c r="AI205" s="1465"/>
      <c r="AJ205" s="1465"/>
      <c r="AK205" s="1465"/>
    </row>
    <row r="206" spans="2:37">
      <c r="B206" s="4"/>
      <c r="C206" s="4"/>
      <c r="D206" s="2"/>
      <c r="G206" s="1465"/>
      <c r="H206" s="1465"/>
      <c r="I206" s="1465"/>
      <c r="J206" s="1465"/>
      <c r="K206" s="1465"/>
      <c r="L206" s="1465"/>
      <c r="M206" s="1465"/>
      <c r="N206" s="1465"/>
      <c r="O206" s="1465"/>
      <c r="P206" s="1465"/>
      <c r="Q206" s="1465"/>
      <c r="R206" s="1465"/>
      <c r="S206" s="1465"/>
      <c r="T206" s="1465"/>
      <c r="U206" s="1465"/>
      <c r="V206" s="1465"/>
      <c r="W206" s="1465"/>
      <c r="X206" s="1465"/>
      <c r="Y206" s="1465"/>
      <c r="Z206" s="1465"/>
      <c r="AA206" s="1465"/>
      <c r="AB206" s="1465"/>
      <c r="AC206" s="1465"/>
      <c r="AD206" s="1465"/>
      <c r="AE206" s="1465"/>
      <c r="AF206" s="1465"/>
      <c r="AG206" s="1465"/>
      <c r="AH206" s="1465"/>
      <c r="AI206" s="1465"/>
      <c r="AJ206" s="1465"/>
      <c r="AK206" s="1465"/>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65" t="s">
        <v>1154</v>
      </c>
      <c r="G336" s="1465"/>
      <c r="H336" s="1465"/>
      <c r="I336" s="1465"/>
      <c r="J336" s="1465"/>
      <c r="K336" s="1465"/>
      <c r="L336" s="1465"/>
      <c r="M336" s="1465"/>
      <c r="N336" s="1465"/>
      <c r="O336" s="1465"/>
      <c r="P336" s="1465"/>
      <c r="Q336" s="1465"/>
      <c r="R336" s="1465"/>
      <c r="S336" s="1465"/>
      <c r="T336" s="1465"/>
      <c r="U336" s="1465"/>
      <c r="V336" s="1465"/>
      <c r="W336" s="1465"/>
      <c r="X336" s="1465"/>
      <c r="Y336" s="1465"/>
      <c r="Z336" s="1465"/>
      <c r="AA336" s="1465"/>
      <c r="AB336" s="1465"/>
      <c r="AC336" s="1465"/>
      <c r="AD336" s="1465"/>
      <c r="AE336" s="1465"/>
      <c r="AF336" s="1465"/>
      <c r="AG336" s="1465"/>
      <c r="AH336" s="1465"/>
      <c r="AI336" s="1465"/>
      <c r="AJ336" s="1465"/>
      <c r="AK336" s="1465"/>
    </row>
    <row r="337" spans="2:37">
      <c r="B337" s="2"/>
      <c r="E337" s="4"/>
      <c r="F337" s="1465"/>
      <c r="G337" s="1465"/>
      <c r="H337" s="1465"/>
      <c r="I337" s="1465"/>
      <c r="J337" s="1465"/>
      <c r="K337" s="1465"/>
      <c r="L337" s="1465"/>
      <c r="M337" s="1465"/>
      <c r="N337" s="1465"/>
      <c r="O337" s="1465"/>
      <c r="P337" s="1465"/>
      <c r="Q337" s="1465"/>
      <c r="R337" s="1465"/>
      <c r="S337" s="1465"/>
      <c r="T337" s="1465"/>
      <c r="U337" s="1465"/>
      <c r="V337" s="1465"/>
      <c r="W337" s="1465"/>
      <c r="X337" s="1465"/>
      <c r="Y337" s="1465"/>
      <c r="Z337" s="1465"/>
      <c r="AA337" s="1465"/>
      <c r="AB337" s="1465"/>
      <c r="AC337" s="1465"/>
      <c r="AD337" s="1465"/>
      <c r="AE337" s="1465"/>
      <c r="AF337" s="1465"/>
      <c r="AG337" s="1465"/>
      <c r="AH337" s="1465"/>
      <c r="AI337" s="1465"/>
      <c r="AJ337" s="1465"/>
      <c r="AK337" s="1465"/>
    </row>
    <row r="338" spans="2:37">
      <c r="B338" s="2"/>
      <c r="E338" s="4"/>
      <c r="F338" s="1465"/>
      <c r="G338" s="1465"/>
      <c r="H338" s="1465"/>
      <c r="I338" s="1465"/>
      <c r="J338" s="1465"/>
      <c r="K338" s="1465"/>
      <c r="L338" s="1465"/>
      <c r="M338" s="1465"/>
      <c r="N338" s="1465"/>
      <c r="O338" s="1465"/>
      <c r="P338" s="1465"/>
      <c r="Q338" s="1465"/>
      <c r="R338" s="1465"/>
      <c r="S338" s="1465"/>
      <c r="T338" s="1465"/>
      <c r="U338" s="1465"/>
      <c r="V338" s="1465"/>
      <c r="W338" s="1465"/>
      <c r="X338" s="1465"/>
      <c r="Y338" s="1465"/>
      <c r="Z338" s="1465"/>
      <c r="AA338" s="1465"/>
      <c r="AB338" s="1465"/>
      <c r="AC338" s="1465"/>
      <c r="AD338" s="1465"/>
      <c r="AE338" s="1465"/>
      <c r="AF338" s="1465"/>
      <c r="AG338" s="1465"/>
      <c r="AH338" s="1465"/>
      <c r="AI338" s="1465"/>
      <c r="AJ338" s="1465"/>
      <c r="AK338" s="1465"/>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820" t="s">
        <v>1234</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c r="B346" s="2"/>
      <c r="E346" s="3" t="s">
        <v>112</v>
      </c>
      <c r="F346" s="1465" t="s">
        <v>1236</v>
      </c>
      <c r="G346" s="1465"/>
      <c r="H346" s="1465"/>
      <c r="I346" s="1465"/>
      <c r="J346" s="1465"/>
      <c r="K346" s="1465"/>
      <c r="L346" s="1465"/>
      <c r="M346" s="1465"/>
      <c r="N346" s="1465"/>
      <c r="O346" s="1465"/>
      <c r="P346" s="1465"/>
      <c r="Q346" s="1465"/>
      <c r="R346" s="1465"/>
      <c r="S346" s="1465"/>
      <c r="T346" s="1465"/>
      <c r="U346" s="1465"/>
      <c r="V346" s="1465"/>
      <c r="W346" s="1465"/>
      <c r="X346" s="1465"/>
      <c r="Y346" s="1465"/>
      <c r="Z346" s="1465"/>
      <c r="AA346" s="1465"/>
      <c r="AB346" s="1465"/>
      <c r="AC346" s="1465"/>
      <c r="AD346" s="1465"/>
      <c r="AE346" s="1465"/>
      <c r="AF346" s="1465"/>
      <c r="AG346" s="1465"/>
      <c r="AH346" s="1465"/>
      <c r="AI346" s="1465"/>
      <c r="AJ346" s="1465"/>
      <c r="AK346" s="1465"/>
    </row>
    <row r="347" spans="2:37">
      <c r="B347" s="2"/>
      <c r="E347" s="3"/>
      <c r="F347" s="1465"/>
      <c r="G347" s="1465"/>
      <c r="H347" s="1465"/>
      <c r="I347" s="1465"/>
      <c r="J347" s="1465"/>
      <c r="K347" s="1465"/>
      <c r="L347" s="1465"/>
      <c r="M347" s="1465"/>
      <c r="N347" s="1465"/>
      <c r="O347" s="1465"/>
      <c r="P347" s="1465"/>
      <c r="Q347" s="1465"/>
      <c r="R347" s="1465"/>
      <c r="S347" s="1465"/>
      <c r="T347" s="1465"/>
      <c r="U347" s="1465"/>
      <c r="V347" s="1465"/>
      <c r="W347" s="1465"/>
      <c r="X347" s="1465"/>
      <c r="Y347" s="1465"/>
      <c r="Z347" s="1465"/>
      <c r="AA347" s="1465"/>
      <c r="AB347" s="1465"/>
      <c r="AC347" s="1465"/>
      <c r="AD347" s="1465"/>
      <c r="AE347" s="1465"/>
      <c r="AF347" s="1465"/>
      <c r="AG347" s="1465"/>
      <c r="AH347" s="1465"/>
      <c r="AI347" s="1465"/>
      <c r="AJ347" s="1465"/>
      <c r="AK347" s="1465"/>
    </row>
    <row r="348" spans="2:37">
      <c r="B348" s="2"/>
      <c r="E348" s="3"/>
      <c r="F348" s="1465"/>
      <c r="G348" s="1465"/>
      <c r="H348" s="1465"/>
      <c r="I348" s="1465"/>
      <c r="J348" s="1465"/>
      <c r="K348" s="1465"/>
      <c r="L348" s="1465"/>
      <c r="M348" s="1465"/>
      <c r="N348" s="1465"/>
      <c r="O348" s="1465"/>
      <c r="P348" s="1465"/>
      <c r="Q348" s="1465"/>
      <c r="R348" s="1465"/>
      <c r="S348" s="1465"/>
      <c r="T348" s="1465"/>
      <c r="U348" s="1465"/>
      <c r="V348" s="1465"/>
      <c r="W348" s="1465"/>
      <c r="X348" s="1465"/>
      <c r="Y348" s="1465"/>
      <c r="Z348" s="1465"/>
      <c r="AA348" s="1465"/>
      <c r="AB348" s="1465"/>
      <c r="AC348" s="1465"/>
      <c r="AD348" s="1465"/>
      <c r="AE348" s="1465"/>
      <c r="AF348" s="1465"/>
      <c r="AG348" s="1465"/>
      <c r="AH348" s="1465"/>
      <c r="AI348" s="1465"/>
      <c r="AJ348" s="1465"/>
      <c r="AK348" s="1465"/>
    </row>
    <row r="349" spans="2:37">
      <c r="B349" s="2"/>
      <c r="E349" s="3"/>
      <c r="F349" s="1465"/>
      <c r="G349" s="1465"/>
      <c r="H349" s="1465"/>
      <c r="I349" s="1465"/>
      <c r="J349" s="1465"/>
      <c r="K349" s="1465"/>
      <c r="L349" s="1465"/>
      <c r="M349" s="1465"/>
      <c r="N349" s="1465"/>
      <c r="O349" s="1465"/>
      <c r="P349" s="1465"/>
      <c r="Q349" s="1465"/>
      <c r="R349" s="1465"/>
      <c r="S349" s="1465"/>
      <c r="T349" s="1465"/>
      <c r="U349" s="1465"/>
      <c r="V349" s="1465"/>
      <c r="W349" s="1465"/>
      <c r="X349" s="1465"/>
      <c r="Y349" s="1465"/>
      <c r="Z349" s="1465"/>
      <c r="AA349" s="1465"/>
      <c r="AB349" s="1465"/>
      <c r="AC349" s="1465"/>
      <c r="AD349" s="1465"/>
      <c r="AE349" s="1465"/>
      <c r="AF349" s="1465"/>
      <c r="AG349" s="1465"/>
      <c r="AH349" s="1465"/>
      <c r="AI349" s="1465"/>
      <c r="AJ349" s="1465"/>
      <c r="AK349" s="1465"/>
    </row>
    <row r="350" spans="2:37">
      <c r="B350" s="2"/>
      <c r="E350" s="3" t="s">
        <v>113</v>
      </c>
      <c r="F350" s="1465" t="s">
        <v>1235</v>
      </c>
      <c r="G350" s="1465"/>
      <c r="H350" s="1465"/>
      <c r="I350" s="1465"/>
      <c r="J350" s="1465"/>
      <c r="K350" s="1465"/>
      <c r="L350" s="1465"/>
      <c r="M350" s="1465"/>
      <c r="N350" s="1465"/>
      <c r="O350" s="1465"/>
      <c r="P350" s="1465"/>
      <c r="Q350" s="1465"/>
      <c r="R350" s="1465"/>
      <c r="S350" s="1465"/>
      <c r="T350" s="1465"/>
      <c r="U350" s="1465"/>
      <c r="V350" s="1465"/>
      <c r="W350" s="1465"/>
      <c r="X350" s="1465"/>
      <c r="Y350" s="1465"/>
      <c r="Z350" s="1465"/>
      <c r="AA350" s="1465"/>
      <c r="AB350" s="1465"/>
      <c r="AC350" s="1465"/>
      <c r="AD350" s="1465"/>
      <c r="AE350" s="1465"/>
      <c r="AF350" s="1465"/>
      <c r="AG350" s="1465"/>
      <c r="AH350" s="1465"/>
      <c r="AI350" s="1465"/>
      <c r="AJ350" s="1465"/>
      <c r="AK350" s="1465"/>
    </row>
    <row r="351" spans="2:37">
      <c r="B351" s="2"/>
      <c r="F351" s="1465"/>
      <c r="G351" s="1465"/>
      <c r="H351" s="1465"/>
      <c r="I351" s="1465"/>
      <c r="J351" s="1465"/>
      <c r="K351" s="1465"/>
      <c r="L351" s="1465"/>
      <c r="M351" s="1465"/>
      <c r="N351" s="1465"/>
      <c r="O351" s="1465"/>
      <c r="P351" s="1465"/>
      <c r="Q351" s="1465"/>
      <c r="R351" s="1465"/>
      <c r="S351" s="1465"/>
      <c r="T351" s="1465"/>
      <c r="U351" s="1465"/>
      <c r="V351" s="1465"/>
      <c r="W351" s="1465"/>
      <c r="X351" s="1465"/>
      <c r="Y351" s="1465"/>
      <c r="Z351" s="1465"/>
      <c r="AA351" s="1465"/>
      <c r="AB351" s="1465"/>
      <c r="AC351" s="1465"/>
      <c r="AD351" s="1465"/>
      <c r="AE351" s="1465"/>
      <c r="AF351" s="1465"/>
      <c r="AG351" s="1465"/>
      <c r="AH351" s="1465"/>
      <c r="AI351" s="1465"/>
      <c r="AJ351" s="1465"/>
      <c r="AK351" s="1465"/>
    </row>
    <row r="352" spans="2:37">
      <c r="B352" s="2"/>
      <c r="F352" s="1465"/>
      <c r="G352" s="1465"/>
      <c r="H352" s="1465"/>
      <c r="I352" s="1465"/>
      <c r="J352" s="1465"/>
      <c r="K352" s="1465"/>
      <c r="L352" s="1465"/>
      <c r="M352" s="1465"/>
      <c r="N352" s="1465"/>
      <c r="O352" s="1465"/>
      <c r="P352" s="1465"/>
      <c r="Q352" s="1465"/>
      <c r="R352" s="1465"/>
      <c r="S352" s="1465"/>
      <c r="T352" s="1465"/>
      <c r="U352" s="1465"/>
      <c r="V352" s="1465"/>
      <c r="W352" s="1465"/>
      <c r="X352" s="1465"/>
      <c r="Y352" s="1465"/>
      <c r="Z352" s="1465"/>
      <c r="AA352" s="1465"/>
      <c r="AB352" s="1465"/>
      <c r="AC352" s="1465"/>
      <c r="AD352" s="1465"/>
      <c r="AE352" s="1465"/>
      <c r="AF352" s="1465"/>
      <c r="AG352" s="1465"/>
      <c r="AH352" s="1465"/>
      <c r="AI352" s="1465"/>
      <c r="AJ352" s="1465"/>
      <c r="AK352" s="1465"/>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21" t="s">
        <v>1225</v>
      </c>
      <c r="F365" s="1821"/>
      <c r="G365" s="1821"/>
      <c r="H365" s="1821"/>
      <c r="I365" s="1821"/>
      <c r="J365" s="1821"/>
      <c r="K365" s="1821"/>
      <c r="L365" s="1821"/>
      <c r="M365" s="1821"/>
      <c r="N365" s="1821"/>
      <c r="O365" s="1821"/>
      <c r="P365" s="1821"/>
      <c r="Q365" s="1821"/>
      <c r="R365" s="1821"/>
      <c r="S365" s="1821"/>
      <c r="T365" s="1821"/>
      <c r="U365" s="1821"/>
      <c r="V365" s="1821"/>
      <c r="W365" s="1821"/>
      <c r="X365" s="1821"/>
      <c r="Y365" s="1821"/>
      <c r="Z365" s="1821"/>
      <c r="AA365" s="1821"/>
      <c r="AB365" s="1821"/>
      <c r="AC365" s="1821"/>
      <c r="AD365" s="1821"/>
      <c r="AE365" s="1821"/>
      <c r="AF365" s="1821"/>
      <c r="AG365" s="1821"/>
      <c r="AH365" s="1821"/>
      <c r="AI365" s="1821"/>
      <c r="AJ365" s="1821"/>
      <c r="AK365" s="1821"/>
      <c r="AL365" s="1821"/>
    </row>
    <row r="366" spans="1:38">
      <c r="B366" s="2"/>
      <c r="E366" s="1821"/>
      <c r="F366" s="1821"/>
      <c r="G366" s="1821"/>
      <c r="H366" s="1821"/>
      <c r="I366" s="1821"/>
      <c r="J366" s="1821"/>
      <c r="K366" s="1821"/>
      <c r="L366" s="1821"/>
      <c r="M366" s="1821"/>
      <c r="N366" s="1821"/>
      <c r="O366" s="1821"/>
      <c r="P366" s="1821"/>
      <c r="Q366" s="1821"/>
      <c r="R366" s="1821"/>
      <c r="S366" s="1821"/>
      <c r="T366" s="1821"/>
      <c r="U366" s="1821"/>
      <c r="V366" s="1821"/>
      <c r="W366" s="1821"/>
      <c r="X366" s="1821"/>
      <c r="Y366" s="1821"/>
      <c r="Z366" s="1821"/>
      <c r="AA366" s="1821"/>
      <c r="AB366" s="1821"/>
      <c r="AC366" s="1821"/>
      <c r="AD366" s="1821"/>
      <c r="AE366" s="1821"/>
      <c r="AF366" s="1821"/>
      <c r="AG366" s="1821"/>
      <c r="AH366" s="1821"/>
      <c r="AI366" s="1821"/>
      <c r="AJ366" s="1821"/>
      <c r="AK366" s="1821"/>
      <c r="AL366" s="1821"/>
    </row>
    <row r="367" spans="1:38" s="1822" customFormat="1">
      <c r="A367"/>
      <c r="B367" s="2"/>
      <c r="C367"/>
      <c r="D367"/>
      <c r="E367" s="1303" t="s">
        <v>1257</v>
      </c>
    </row>
    <row r="368" spans="1:38" s="1822"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65" t="s">
        <v>1268</v>
      </c>
      <c r="G386" s="1465"/>
      <c r="H386" s="1465"/>
      <c r="I386" s="1465"/>
      <c r="J386" s="1465"/>
      <c r="K386" s="1465"/>
      <c r="L386" s="1465"/>
      <c r="M386" s="1465"/>
      <c r="N386" s="1465"/>
      <c r="O386" s="1465"/>
      <c r="P386" s="1465"/>
      <c r="Q386" s="1465"/>
      <c r="R386" s="1465"/>
      <c r="S386" s="1465"/>
      <c r="T386" s="1465"/>
      <c r="U386" s="1465"/>
      <c r="V386" s="1465"/>
      <c r="W386" s="1465"/>
      <c r="X386" s="1465"/>
      <c r="Y386" s="1465"/>
      <c r="Z386" s="1465"/>
      <c r="AA386" s="1465"/>
      <c r="AB386" s="1465"/>
      <c r="AC386" s="1465"/>
      <c r="AD386" s="1465"/>
      <c r="AE386" s="1465"/>
      <c r="AF386" s="1465"/>
      <c r="AG386" s="1465"/>
      <c r="AH386" s="1465"/>
      <c r="AI386" s="1465"/>
      <c r="AJ386" s="1465"/>
      <c r="AK386" s="1465"/>
    </row>
    <row r="387" spans="1:38">
      <c r="B387" s="2"/>
      <c r="E387" s="3"/>
      <c r="F387" s="1465"/>
      <c r="G387" s="1465"/>
      <c r="H387" s="1465"/>
      <c r="I387" s="1465"/>
      <c r="J387" s="1465"/>
      <c r="K387" s="1465"/>
      <c r="L387" s="1465"/>
      <c r="M387" s="1465"/>
      <c r="N387" s="1465"/>
      <c r="O387" s="1465"/>
      <c r="P387" s="1465"/>
      <c r="Q387" s="1465"/>
      <c r="R387" s="1465"/>
      <c r="S387" s="1465"/>
      <c r="T387" s="1465"/>
      <c r="U387" s="1465"/>
      <c r="V387" s="1465"/>
      <c r="W387" s="1465"/>
      <c r="X387" s="1465"/>
      <c r="Y387" s="1465"/>
      <c r="Z387" s="1465"/>
      <c r="AA387" s="1465"/>
      <c r="AB387" s="1465"/>
      <c r="AC387" s="1465"/>
      <c r="AD387" s="1465"/>
      <c r="AE387" s="1465"/>
      <c r="AF387" s="1465"/>
      <c r="AG387" s="1465"/>
      <c r="AH387" s="1465"/>
      <c r="AI387" s="1465"/>
      <c r="AJ387" s="1465"/>
      <c r="AK387" s="1465"/>
    </row>
    <row r="388" spans="1:38">
      <c r="B388" s="2"/>
      <c r="E388" s="3"/>
      <c r="F388" s="1465"/>
      <c r="G388" s="1465"/>
      <c r="H388" s="1465"/>
      <c r="I388" s="1465"/>
      <c r="J388" s="1465"/>
      <c r="K388" s="1465"/>
      <c r="L388" s="1465"/>
      <c r="M388" s="1465"/>
      <c r="N388" s="1465"/>
      <c r="O388" s="1465"/>
      <c r="P388" s="1465"/>
      <c r="Q388" s="1465"/>
      <c r="R388" s="1465"/>
      <c r="S388" s="1465"/>
      <c r="T388" s="1465"/>
      <c r="U388" s="1465"/>
      <c r="V388" s="1465"/>
      <c r="W388" s="1465"/>
      <c r="X388" s="1465"/>
      <c r="Y388" s="1465"/>
      <c r="Z388" s="1465"/>
      <c r="AA388" s="1465"/>
      <c r="AB388" s="1465"/>
      <c r="AC388" s="1465"/>
      <c r="AD388" s="1465"/>
      <c r="AE388" s="1465"/>
      <c r="AF388" s="1465"/>
      <c r="AG388" s="1465"/>
      <c r="AH388" s="1465"/>
      <c r="AI388" s="1465"/>
      <c r="AJ388" s="1465"/>
      <c r="AK388" s="1465"/>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828" t="s">
        <v>1837</v>
      </c>
      <c r="B1" s="1829"/>
      <c r="C1" s="1829"/>
      <c r="D1" s="1829"/>
      <c r="E1" s="1829"/>
      <c r="F1" s="1829"/>
      <c r="G1" s="1829"/>
      <c r="H1" s="1829"/>
      <c r="I1" s="1829"/>
      <c r="J1" s="1829"/>
    </row>
    <row r="2" spans="1:10" ht="15">
      <c r="A2" s="1832" t="s">
        <v>1267</v>
      </c>
      <c r="B2" s="1833"/>
      <c r="C2" s="1833"/>
      <c r="D2" s="1833"/>
      <c r="E2" s="1833"/>
      <c r="F2" s="1833"/>
      <c r="G2" s="1833"/>
      <c r="H2" s="1833"/>
      <c r="I2" s="1833"/>
      <c r="J2" s="1833"/>
    </row>
    <row r="3" spans="1:10" ht="12.75"/>
    <row r="4" spans="1:10" ht="12.75" customHeight="1">
      <c r="A4" s="1830" t="s">
        <v>2000</v>
      </c>
      <c r="B4" s="1830"/>
      <c r="C4" s="1830"/>
      <c r="D4" s="1830"/>
      <c r="E4" s="1830"/>
      <c r="F4" s="1830"/>
      <c r="G4" s="1830"/>
      <c r="H4" s="1830"/>
      <c r="I4" s="1830"/>
      <c r="J4" s="1830"/>
    </row>
    <row r="5" spans="1:10" ht="12.75">
      <c r="A5" s="1830"/>
      <c r="B5" s="1830"/>
      <c r="C5" s="1830"/>
      <c r="D5" s="1830"/>
      <c r="E5" s="1830"/>
      <c r="F5" s="1830"/>
      <c r="G5" s="1830"/>
      <c r="H5" s="1830"/>
      <c r="I5" s="1830"/>
      <c r="J5" s="1830"/>
    </row>
    <row r="6" spans="1:10" ht="30" customHeight="1">
      <c r="A6" s="1830"/>
      <c r="B6" s="1830"/>
      <c r="C6" s="1830"/>
      <c r="D6" s="1830"/>
      <c r="E6" s="1830"/>
      <c r="F6" s="1830"/>
      <c r="G6" s="1830"/>
      <c r="H6" s="1830"/>
      <c r="I6" s="1830"/>
      <c r="J6" s="1830"/>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834" t="s">
        <v>1842</v>
      </c>
      <c r="B10" s="1834"/>
      <c r="C10" s="1834"/>
      <c r="D10" s="1834"/>
      <c r="E10" s="1834"/>
      <c r="F10" s="1834"/>
      <c r="G10" s="1834"/>
      <c r="H10" s="1834"/>
      <c r="I10" s="1834"/>
      <c r="J10" s="1834"/>
    </row>
    <row r="11" spans="1:10" ht="12.75">
      <c r="A11" s="1834"/>
      <c r="B11" s="1834"/>
      <c r="C11" s="1834"/>
      <c r="D11" s="1834"/>
      <c r="E11" s="1834"/>
      <c r="F11" s="1834"/>
      <c r="G11" s="1834"/>
      <c r="H11" s="1834"/>
      <c r="I11" s="1834"/>
      <c r="J11" s="1834"/>
    </row>
    <row r="12" spans="1:10" ht="12.75">
      <c r="A12" s="1834"/>
      <c r="B12" s="1834"/>
      <c r="C12" s="1834"/>
      <c r="D12" s="1834"/>
      <c r="E12" s="1834"/>
      <c r="F12" s="1834"/>
      <c r="G12" s="1834"/>
      <c r="H12" s="1834"/>
      <c r="I12" s="1834"/>
      <c r="J12" s="1834"/>
    </row>
    <row r="13" spans="1:10" ht="12.75">
      <c r="A13" s="1834"/>
      <c r="B13" s="1834"/>
      <c r="C13" s="1834"/>
      <c r="D13" s="1834"/>
      <c r="E13" s="1834"/>
      <c r="F13" s="1834"/>
      <c r="G13" s="1834"/>
      <c r="H13" s="1834"/>
      <c r="I13" s="1834"/>
      <c r="J13" s="1834"/>
    </row>
    <row r="14" spans="1:10" ht="12.75">
      <c r="A14" s="1834"/>
      <c r="B14" s="1834"/>
      <c r="C14" s="1834"/>
      <c r="D14" s="1834"/>
      <c r="E14" s="1834"/>
      <c r="F14" s="1834"/>
      <c r="G14" s="1834"/>
      <c r="H14" s="1834"/>
      <c r="I14" s="1834"/>
      <c r="J14" s="1834"/>
    </row>
    <row r="15" spans="1:10" ht="12.75">
      <c r="A15" s="1834"/>
      <c r="B15" s="1834"/>
      <c r="C15" s="1834"/>
      <c r="D15" s="1834"/>
      <c r="E15" s="1834"/>
      <c r="F15" s="1834"/>
      <c r="G15" s="1834"/>
      <c r="H15" s="1834"/>
      <c r="I15" s="1834"/>
      <c r="J15" s="1834"/>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833" t="s">
        <v>1188</v>
      </c>
      <c r="B19" s="1833"/>
      <c r="C19" s="1833"/>
      <c r="D19" s="1833"/>
      <c r="E19" s="1833"/>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30" t="s">
        <v>1189</v>
      </c>
      <c r="B76" s="1830"/>
      <c r="C76" s="1830"/>
      <c r="D76" s="1830"/>
      <c r="E76" s="1830"/>
      <c r="F76" s="1830"/>
      <c r="G76" s="1830"/>
      <c r="H76" s="1830"/>
      <c r="I76" s="1830"/>
      <c r="J76" s="1830"/>
    </row>
    <row r="77" spans="1:10" ht="12.75">
      <c r="A77" s="1830"/>
      <c r="B77" s="1830"/>
      <c r="C77" s="1830"/>
      <c r="D77" s="1830"/>
      <c r="E77" s="1830"/>
      <c r="F77" s="1830"/>
      <c r="G77" s="1830"/>
      <c r="H77" s="1830"/>
      <c r="I77" s="1830"/>
      <c r="J77" s="1830"/>
    </row>
    <row r="78" spans="1:10" ht="12.75">
      <c r="A78" s="1830"/>
      <c r="B78" s="1830"/>
      <c r="C78" s="1830"/>
      <c r="D78" s="1830"/>
      <c r="E78" s="1830"/>
      <c r="F78" s="1830"/>
      <c r="G78" s="1830"/>
      <c r="H78" s="1830"/>
      <c r="I78" s="1830"/>
      <c r="J78" s="1830"/>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831" t="s">
        <v>1838</v>
      </c>
      <c r="B89" s="1831"/>
      <c r="C89" s="1831"/>
      <c r="D89" s="1831"/>
      <c r="E89" s="1831"/>
      <c r="F89" s="1831"/>
      <c r="G89" s="1831"/>
      <c r="H89" s="1831"/>
      <c r="I89" s="1831"/>
    </row>
    <row r="90" spans="1:9" ht="12.75">
      <c r="A90" s="1823" t="s">
        <v>1998</v>
      </c>
      <c r="B90" s="1823"/>
      <c r="C90" s="1823"/>
      <c r="D90" s="1823"/>
      <c r="E90" s="1823"/>
    </row>
    <row r="91" spans="1:9" ht="12.75">
      <c r="A91" s="1823" t="s">
        <v>1999</v>
      </c>
      <c r="B91" s="1823"/>
      <c r="C91" s="1823"/>
      <c r="D91" s="1823"/>
      <c r="E91" s="1823"/>
    </row>
    <row r="92" spans="1:9" ht="12.75">
      <c r="A92" s="1823" t="s">
        <v>1839</v>
      </c>
      <c r="B92" s="1823"/>
      <c r="C92" s="1823"/>
      <c r="D92" s="1823"/>
      <c r="E92" s="1823"/>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election activeCell="B1207" sqref="B1207"/>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884" t="s">
        <v>2595</v>
      </c>
      <c r="B2" s="1884"/>
      <c r="C2" s="1884"/>
      <c r="D2" s="1884"/>
      <c r="E2" s="1884"/>
      <c r="F2" s="1884"/>
      <c r="G2" s="1884"/>
      <c r="H2" s="1884"/>
      <c r="I2" s="1884"/>
    </row>
    <row r="3" spans="1:13">
      <c r="A3" s="1875" t="s">
        <v>2167</v>
      </c>
      <c r="B3" s="1875"/>
      <c r="C3" s="1875"/>
      <c r="D3" s="1875"/>
      <c r="E3" s="1875"/>
      <c r="F3" s="1875"/>
      <c r="G3" s="1875"/>
      <c r="H3" s="1875"/>
      <c r="I3" s="1875"/>
    </row>
    <row r="4" spans="1:13">
      <c r="A4" s="1875"/>
      <c r="B4" s="1875"/>
      <c r="C4" s="1833"/>
      <c r="D4" s="1833"/>
      <c r="E4" s="1833"/>
      <c r="F4" s="1833"/>
      <c r="G4" s="1833"/>
    </row>
    <row r="5" spans="1:13">
      <c r="A5" s="1875"/>
      <c r="B5" s="1875"/>
      <c r="C5" s="1833"/>
      <c r="D5" s="1833"/>
      <c r="E5" s="1833"/>
      <c r="F5" s="1833"/>
      <c r="G5" s="1833"/>
    </row>
    <row r="6" spans="1:13" ht="12.75" customHeight="1">
      <c r="A6" s="1878" t="s">
        <v>2166</v>
      </c>
      <c r="B6" s="1878"/>
      <c r="C6" s="1878"/>
      <c r="D6" s="1878"/>
      <c r="E6" s="1878"/>
      <c r="F6" s="1878"/>
      <c r="G6" s="1878"/>
      <c r="I6" s="486"/>
    </row>
    <row r="7" spans="1:13">
      <c r="A7" s="1878"/>
      <c r="B7" s="1878"/>
      <c r="C7" s="1878"/>
      <c r="D7" s="1878"/>
      <c r="E7" s="1878"/>
      <c r="F7" s="1878"/>
      <c r="G7" s="1878"/>
      <c r="I7" s="486"/>
    </row>
    <row r="8" spans="1:13">
      <c r="A8" s="477"/>
      <c r="B8" s="477"/>
      <c r="C8" s="478"/>
      <c r="D8" s="478"/>
      <c r="E8" s="478"/>
      <c r="F8" s="478"/>
    </row>
    <row r="9" spans="1:13">
      <c r="A9" s="1855" t="s">
        <v>1101</v>
      </c>
      <c r="B9" s="1855"/>
      <c r="C9" s="1855"/>
      <c r="D9" s="1855"/>
      <c r="E9" s="1855"/>
      <c r="F9" s="1855"/>
      <c r="G9" s="1855"/>
      <c r="H9" s="1018"/>
      <c r="I9" s="1019"/>
    </row>
    <row r="10" spans="1:13">
      <c r="A10" s="478"/>
      <c r="B10" s="478"/>
      <c r="E10" s="400"/>
    </row>
    <row r="11" spans="1:13" ht="13.7" customHeight="1">
      <c r="C11" s="478"/>
      <c r="D11" s="1877" t="s">
        <v>1100</v>
      </c>
      <c r="E11" s="1877"/>
      <c r="F11" s="1877"/>
    </row>
    <row r="12" spans="1:13">
      <c r="C12" s="478"/>
      <c r="D12" s="1877"/>
      <c r="E12" s="1877"/>
      <c r="F12" s="1877"/>
    </row>
    <row r="13" spans="1:13">
      <c r="A13" s="479"/>
      <c r="B13" s="479"/>
      <c r="C13" s="479"/>
      <c r="D13" s="1856" t="s">
        <v>1090</v>
      </c>
      <c r="E13" s="1856"/>
      <c r="F13" s="1856"/>
      <c r="M13" s="96"/>
    </row>
    <row r="14" spans="1:13">
      <c r="A14" s="479"/>
      <c r="B14" s="479"/>
      <c r="C14" s="479"/>
      <c r="D14" s="472"/>
      <c r="L14" s="312"/>
    </row>
    <row r="15" spans="1:13" ht="14.25">
      <c r="A15" s="480"/>
      <c r="B15" s="481" t="s">
        <v>2829</v>
      </c>
      <c r="C15" s="479"/>
      <c r="D15" s="1854" t="s">
        <v>1889</v>
      </c>
      <c r="E15" s="1854"/>
      <c r="F15" s="1854"/>
      <c r="I15" s="486"/>
    </row>
    <row r="16" spans="1:13">
      <c r="A16" s="479"/>
      <c r="B16" s="479"/>
      <c r="C16" s="479"/>
      <c r="D16" s="1854"/>
      <c r="E16" s="1854"/>
      <c r="F16" s="1854"/>
      <c r="I16" s="486"/>
    </row>
    <row r="17" spans="1:9">
      <c r="A17" s="479"/>
      <c r="B17" s="479"/>
      <c r="C17" s="479"/>
      <c r="D17" s="1854"/>
      <c r="E17" s="1854"/>
      <c r="F17" s="1854"/>
      <c r="I17" s="486"/>
    </row>
    <row r="18" spans="1:9">
      <c r="A18" s="479"/>
      <c r="B18" s="479"/>
      <c r="C18" s="479"/>
      <c r="D18" s="441"/>
      <c r="E18" s="312" t="s">
        <v>1887</v>
      </c>
      <c r="F18" s="441"/>
      <c r="I18" s="486"/>
    </row>
    <row r="19" spans="1:9">
      <c r="A19" s="479"/>
      <c r="B19" s="479"/>
      <c r="C19" s="479"/>
      <c r="I19" s="486"/>
    </row>
    <row r="20" spans="1:9" ht="14.25">
      <c r="A20" s="480"/>
      <c r="B20" s="481" t="s">
        <v>2829</v>
      </c>
      <c r="D20" s="1854" t="s">
        <v>1890</v>
      </c>
      <c r="E20" s="1854"/>
      <c r="F20" s="1854"/>
      <c r="I20" s="486"/>
    </row>
    <row r="21" spans="1:9" ht="14.25">
      <c r="A21" s="480"/>
      <c r="D21" s="1854"/>
      <c r="E21" s="1854"/>
      <c r="F21" s="1854"/>
      <c r="I21" s="486"/>
    </row>
    <row r="22" spans="1:9" ht="14.25">
      <c r="A22" s="480"/>
      <c r="D22" s="388"/>
      <c r="E22" s="96" t="s">
        <v>1886</v>
      </c>
      <c r="F22" s="388"/>
      <c r="I22" s="486"/>
    </row>
    <row r="23" spans="1:9" ht="14.25">
      <c r="A23" s="480"/>
      <c r="B23" s="480"/>
      <c r="D23" s="442"/>
      <c r="I23" s="486"/>
    </row>
    <row r="24" spans="1:9" ht="14.25">
      <c r="A24" s="480"/>
      <c r="B24" s="481" t="s">
        <v>2830</v>
      </c>
      <c r="D24" s="1854" t="s">
        <v>1091</v>
      </c>
      <c r="E24" s="1854"/>
      <c r="F24" s="1854"/>
      <c r="I24" s="486"/>
    </row>
    <row r="25" spans="1:9" ht="14.25">
      <c r="A25" s="480"/>
      <c r="B25" s="480"/>
      <c r="D25" s="1854"/>
      <c r="E25" s="1854"/>
      <c r="F25" s="1854"/>
      <c r="I25" s="486"/>
    </row>
    <row r="26" spans="1:9">
      <c r="I26" s="486"/>
    </row>
    <row r="27" spans="1:9" ht="14.25">
      <c r="A27" s="480"/>
      <c r="B27" s="481" t="s">
        <v>2829</v>
      </c>
      <c r="D27" s="1854" t="s">
        <v>2001</v>
      </c>
      <c r="E27" s="1854"/>
      <c r="F27" s="1854"/>
      <c r="I27" s="486"/>
    </row>
    <row r="28" spans="1:9">
      <c r="D28" s="1854"/>
      <c r="E28" s="1854"/>
      <c r="F28" s="1854"/>
      <c r="I28" s="486"/>
    </row>
    <row r="29" spans="1:9">
      <c r="D29" s="1854"/>
      <c r="E29" s="1854"/>
      <c r="F29" s="1854"/>
      <c r="I29" s="486"/>
    </row>
    <row r="30" spans="1:9">
      <c r="D30" s="1854"/>
      <c r="E30" s="1854"/>
      <c r="F30" s="1854"/>
      <c r="I30" s="486"/>
    </row>
    <row r="31" spans="1:9">
      <c r="D31" s="1854"/>
      <c r="E31" s="1854"/>
      <c r="F31" s="1854"/>
      <c r="I31" s="486"/>
    </row>
    <row r="32" spans="1:9">
      <c r="D32" s="443"/>
      <c r="I32" s="486"/>
    </row>
    <row r="33" spans="1:9">
      <c r="B33" s="481" t="s">
        <v>2830</v>
      </c>
      <c r="D33" s="1854" t="s">
        <v>2002</v>
      </c>
      <c r="E33" s="1854"/>
      <c r="F33" s="1854"/>
      <c r="I33" s="486"/>
    </row>
    <row r="34" spans="1:9">
      <c r="D34" s="1854"/>
      <c r="E34" s="1854"/>
      <c r="F34" s="1854"/>
      <c r="I34" s="486"/>
    </row>
    <row r="35" spans="1:9" ht="14.25">
      <c r="A35" s="480"/>
      <c r="B35" s="480"/>
      <c r="D35" s="443"/>
      <c r="I35" s="486"/>
    </row>
    <row r="36" spans="1:9" ht="14.45" customHeight="1">
      <c r="A36" s="480"/>
      <c r="B36" s="481" t="s">
        <v>2830</v>
      </c>
      <c r="D36" s="1854" t="s">
        <v>1213</v>
      </c>
      <c r="E36" s="1854"/>
      <c r="F36" s="1854"/>
      <c r="I36" s="486"/>
    </row>
    <row r="37" spans="1:9" ht="14.25">
      <c r="A37" s="480"/>
      <c r="B37" s="480"/>
      <c r="D37" s="1854"/>
      <c r="E37" s="1854"/>
      <c r="F37" s="1854"/>
      <c r="I37" s="486"/>
    </row>
    <row r="38" spans="1:9" ht="14.25">
      <c r="A38" s="480"/>
      <c r="B38" s="480"/>
      <c r="D38" s="1854"/>
      <c r="E38" s="1854"/>
      <c r="F38" s="1854"/>
      <c r="I38" s="486"/>
    </row>
    <row r="39" spans="1:9" ht="14.25">
      <c r="A39" s="480"/>
      <c r="B39" s="480"/>
      <c r="D39" s="1854"/>
      <c r="E39" s="1854"/>
      <c r="F39" s="1854"/>
      <c r="I39" s="486"/>
    </row>
    <row r="40" spans="1:9" ht="14.25">
      <c r="A40" s="480"/>
      <c r="B40" s="480"/>
      <c r="I40" s="486"/>
    </row>
    <row r="41" spans="1:9" ht="14.25">
      <c r="A41" s="480"/>
      <c r="B41" s="481" t="s">
        <v>2830</v>
      </c>
      <c r="D41" s="1854" t="s">
        <v>1092</v>
      </c>
      <c r="E41" s="1854"/>
      <c r="F41" s="1854"/>
      <c r="I41" s="486"/>
    </row>
    <row r="42" spans="1:9" ht="14.25">
      <c r="A42" s="480"/>
      <c r="B42" s="480"/>
      <c r="D42" s="1854"/>
      <c r="E42" s="1854"/>
      <c r="F42" s="1854"/>
      <c r="I42" s="486"/>
    </row>
    <row r="43" spans="1:9" ht="14.25">
      <c r="A43" s="480"/>
      <c r="B43" s="480"/>
      <c r="D43" s="1854"/>
      <c r="E43" s="1854"/>
      <c r="F43" s="1854"/>
      <c r="I43" s="486"/>
    </row>
    <row r="44" spans="1:9" ht="14.25">
      <c r="A44" s="480"/>
      <c r="B44" s="480"/>
      <c r="D44" s="1854"/>
      <c r="E44" s="1854"/>
      <c r="F44" s="1854"/>
      <c r="I44" s="486"/>
    </row>
    <row r="45" spans="1:9" ht="14.25">
      <c r="A45" s="480"/>
      <c r="B45" s="480"/>
      <c r="D45" s="1854"/>
      <c r="E45" s="1854"/>
      <c r="F45" s="1854"/>
      <c r="I45" s="486"/>
    </row>
    <row r="46" spans="1:9" ht="14.25">
      <c r="A46" s="480"/>
      <c r="B46" s="480"/>
      <c r="D46" s="441"/>
      <c r="E46" s="441"/>
      <c r="F46" s="441"/>
      <c r="I46" s="486"/>
    </row>
    <row r="47" spans="1:9" ht="14.25">
      <c r="A47" s="480"/>
      <c r="B47" s="481" t="s">
        <v>2830</v>
      </c>
      <c r="D47" s="1854" t="s">
        <v>1093</v>
      </c>
      <c r="E47" s="1854"/>
      <c r="F47" s="1854"/>
      <c r="I47" s="486"/>
    </row>
    <row r="48" spans="1:9" ht="14.25">
      <c r="A48" s="480"/>
      <c r="B48" s="480"/>
      <c r="D48" s="1854"/>
      <c r="E48" s="1854"/>
      <c r="F48" s="1854"/>
      <c r="I48" s="486"/>
    </row>
    <row r="49" spans="1:9" ht="14.25">
      <c r="A49" s="480"/>
      <c r="B49" s="480"/>
      <c r="D49" s="1854"/>
      <c r="E49" s="1854"/>
      <c r="F49" s="1854"/>
      <c r="I49" s="486"/>
    </row>
    <row r="50" spans="1:9" ht="23.25" customHeight="1">
      <c r="A50" s="480"/>
      <c r="B50" s="480"/>
      <c r="D50" s="1854"/>
      <c r="E50" s="1854"/>
      <c r="F50" s="1854"/>
      <c r="I50" s="486"/>
    </row>
    <row r="51" spans="1:9" ht="14.25">
      <c r="A51" s="480"/>
      <c r="B51" s="480"/>
      <c r="D51" s="442"/>
      <c r="I51" s="486"/>
    </row>
    <row r="52" spans="1:9" ht="14.45" customHeight="1">
      <c r="A52" s="480"/>
      <c r="B52" s="481" t="s">
        <v>2830</v>
      </c>
      <c r="D52" s="1854" t="s">
        <v>1094</v>
      </c>
      <c r="E52" s="1854"/>
      <c r="F52" s="1854"/>
      <c r="I52" s="486"/>
    </row>
    <row r="53" spans="1:9" ht="14.25">
      <c r="A53" s="480"/>
      <c r="B53" s="480"/>
      <c r="D53" s="1854"/>
      <c r="E53" s="1854"/>
      <c r="F53" s="1854"/>
      <c r="I53" s="486"/>
    </row>
    <row r="54" spans="1:9" ht="14.25">
      <c r="A54" s="480"/>
      <c r="B54" s="480"/>
      <c r="D54" s="1854"/>
      <c r="E54" s="1854"/>
      <c r="F54" s="1854"/>
      <c r="I54" s="486"/>
    </row>
    <row r="55" spans="1:9" ht="14.25">
      <c r="A55" s="480"/>
      <c r="B55" s="480"/>
      <c r="I55" s="486"/>
    </row>
    <row r="56" spans="1:9" ht="14.25">
      <c r="A56" s="480"/>
      <c r="B56" s="481" t="s">
        <v>2829</v>
      </c>
      <c r="D56" s="1879" t="s">
        <v>1095</v>
      </c>
      <c r="E56" s="1879"/>
      <c r="F56" s="1879"/>
      <c r="I56" s="486"/>
    </row>
    <row r="57" spans="1:9" ht="14.25">
      <c r="A57" s="480"/>
      <c r="B57" s="480"/>
      <c r="D57" s="1879"/>
      <c r="E57" s="1879"/>
      <c r="F57" s="1879"/>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2830</v>
      </c>
      <c r="D61" s="1854" t="s">
        <v>1096</v>
      </c>
      <c r="E61" s="1854"/>
      <c r="F61" s="1854"/>
      <c r="I61" s="486"/>
    </row>
    <row r="62" spans="1:9">
      <c r="D62" s="1854"/>
      <c r="E62" s="1854"/>
      <c r="F62" s="1854"/>
      <c r="I62" s="486"/>
    </row>
    <row r="63" spans="1:9">
      <c r="D63" s="1854"/>
      <c r="E63" s="1854"/>
      <c r="F63" s="1854"/>
      <c r="I63" s="486"/>
    </row>
    <row r="64" spans="1:9">
      <c r="I64" s="486"/>
    </row>
    <row r="65" spans="1:9" ht="14.25">
      <c r="A65" s="480"/>
      <c r="B65" s="481" t="s">
        <v>2830</v>
      </c>
      <c r="D65" s="1854" t="s">
        <v>1097</v>
      </c>
      <c r="E65" s="1854"/>
      <c r="F65" s="1854"/>
      <c r="I65" s="486"/>
    </row>
    <row r="66" spans="1:9">
      <c r="D66" s="1854"/>
      <c r="E66" s="1854"/>
      <c r="F66" s="1854"/>
      <c r="I66" s="486"/>
    </row>
    <row r="67" spans="1:9">
      <c r="I67" s="486"/>
    </row>
    <row r="68" spans="1:9" ht="14.25">
      <c r="A68" s="480"/>
      <c r="B68" s="481" t="s">
        <v>2829</v>
      </c>
      <c r="D68" s="1854" t="s">
        <v>1098</v>
      </c>
      <c r="E68" s="1854"/>
      <c r="F68" s="1854"/>
      <c r="I68" s="486"/>
    </row>
    <row r="69" spans="1:9">
      <c r="D69" s="1854"/>
      <c r="E69" s="1854"/>
      <c r="F69" s="1854"/>
      <c r="I69" s="486"/>
    </row>
    <row r="70" spans="1:9">
      <c r="D70" s="1854"/>
      <c r="E70" s="1854"/>
      <c r="F70" s="1854"/>
      <c r="I70" s="486"/>
    </row>
    <row r="71" spans="1:9">
      <c r="I71" s="486"/>
    </row>
    <row r="72" spans="1:9" ht="14.25">
      <c r="A72" s="480"/>
      <c r="B72" s="481" t="s">
        <v>2829</v>
      </c>
      <c r="D72" s="1854" t="s">
        <v>1099</v>
      </c>
      <c r="E72" s="1854"/>
      <c r="F72" s="1854"/>
      <c r="I72" s="486"/>
    </row>
    <row r="73" spans="1:9">
      <c r="D73" s="1854"/>
      <c r="E73" s="1854"/>
      <c r="F73" s="1854"/>
      <c r="I73" s="486"/>
    </row>
    <row r="74" spans="1:9" ht="14.25">
      <c r="A74" s="480"/>
      <c r="B74" s="480"/>
      <c r="D74" s="442"/>
      <c r="I74" s="486"/>
    </row>
    <row r="75" spans="1:9">
      <c r="A75" s="1855" t="s">
        <v>1044</v>
      </c>
      <c r="B75" s="1855"/>
      <c r="C75" s="1855"/>
      <c r="D75" s="1855"/>
      <c r="E75" s="1855"/>
      <c r="F75" s="1855"/>
      <c r="G75" s="1855"/>
      <c r="H75" s="1018"/>
      <c r="I75" s="1142"/>
    </row>
    <row r="76" spans="1:9">
      <c r="I76" s="486"/>
    </row>
    <row r="77" spans="1:9">
      <c r="C77" s="482"/>
      <c r="D77" s="1873" t="s">
        <v>1102</v>
      </c>
      <c r="E77" s="1873"/>
      <c r="F77" s="1873"/>
      <c r="I77" s="486"/>
    </row>
    <row r="78" spans="1:9">
      <c r="A78" s="442"/>
      <c r="B78" s="442"/>
      <c r="D78" s="1854" t="s">
        <v>1117</v>
      </c>
      <c r="E78" s="1854"/>
      <c r="F78" s="1854"/>
      <c r="I78" s="486"/>
    </row>
    <row r="79" spans="1:9">
      <c r="A79" s="442"/>
      <c r="B79" s="442"/>
      <c r="I79" s="486"/>
    </row>
    <row r="80" spans="1:9" ht="13.7" customHeight="1">
      <c r="A80" s="480"/>
      <c r="B80" s="481" t="s">
        <v>2829</v>
      </c>
      <c r="D80" s="1854" t="s">
        <v>1244</v>
      </c>
      <c r="E80" s="1854"/>
      <c r="F80" s="1854"/>
      <c r="I80" s="486"/>
    </row>
    <row r="81" spans="1:9" ht="14.25">
      <c r="A81" s="480"/>
      <c r="B81" s="480"/>
      <c r="D81" s="1854"/>
      <c r="E81" s="1854"/>
      <c r="F81" s="1854"/>
      <c r="I81" s="486"/>
    </row>
    <row r="82" spans="1:9" ht="14.25">
      <c r="A82" s="480"/>
      <c r="B82" s="480"/>
      <c r="D82" s="1854"/>
      <c r="E82" s="1854"/>
      <c r="F82" s="1854"/>
      <c r="I82" s="486"/>
    </row>
    <row r="83" spans="1:9" ht="14.25">
      <c r="A83" s="480"/>
      <c r="B83" s="480"/>
      <c r="D83" s="1854"/>
      <c r="E83" s="1854"/>
      <c r="F83" s="1854"/>
      <c r="I83" s="486"/>
    </row>
    <row r="84" spans="1:9" ht="14.25">
      <c r="A84" s="480"/>
      <c r="B84" s="480"/>
      <c r="D84" s="1854"/>
      <c r="E84" s="1854"/>
      <c r="F84" s="1854"/>
      <c r="I84" s="486"/>
    </row>
    <row r="85" spans="1:9" ht="14.25">
      <c r="A85" s="480"/>
      <c r="B85" s="480"/>
      <c r="D85" s="1854"/>
      <c r="E85" s="1854"/>
      <c r="F85" s="1854"/>
      <c r="I85" s="486"/>
    </row>
    <row r="86" spans="1:9" ht="14.25">
      <c r="A86" s="480"/>
      <c r="B86" s="480"/>
      <c r="D86" s="1854"/>
      <c r="E86" s="1854"/>
      <c r="F86" s="1854"/>
      <c r="I86" s="486"/>
    </row>
    <row r="87" spans="1:9" ht="14.25">
      <c r="A87" s="480"/>
      <c r="B87" s="480"/>
      <c r="D87" s="1854"/>
      <c r="E87" s="1854"/>
      <c r="F87" s="1854"/>
      <c r="I87" s="486"/>
    </row>
    <row r="88" spans="1:9" ht="14.25">
      <c r="A88" s="480"/>
      <c r="B88" s="480"/>
      <c r="D88" s="381"/>
      <c r="E88" s="381"/>
      <c r="F88" s="381"/>
      <c r="I88" s="486"/>
    </row>
    <row r="89" spans="1:9" ht="15" customHeight="1">
      <c r="A89" s="480"/>
      <c r="B89" s="481" t="s">
        <v>2829</v>
      </c>
      <c r="D89" s="1854" t="s">
        <v>1729</v>
      </c>
      <c r="E89" s="1854"/>
      <c r="F89" s="1854"/>
      <c r="I89" s="486"/>
    </row>
    <row r="90" spans="1:9" ht="14.25">
      <c r="A90" s="480"/>
      <c r="B90" s="480"/>
      <c r="D90" s="1854"/>
      <c r="E90" s="1854"/>
      <c r="F90" s="1854"/>
      <c r="I90" s="486"/>
    </row>
    <row r="91" spans="1:9" ht="14.25">
      <c r="A91" s="480"/>
      <c r="B91" s="480"/>
      <c r="D91" s="441"/>
      <c r="E91" s="441"/>
      <c r="F91" s="441"/>
      <c r="I91" s="486"/>
    </row>
    <row r="92" spans="1:9" ht="14.25">
      <c r="A92" s="480"/>
      <c r="B92" s="481" t="s">
        <v>2829</v>
      </c>
      <c r="D92" s="1854" t="s">
        <v>1732</v>
      </c>
      <c r="E92" s="1854"/>
      <c r="F92" s="1854"/>
      <c r="I92" s="486"/>
    </row>
    <row r="93" spans="1:9" ht="14.25">
      <c r="A93" s="480"/>
      <c r="B93" s="480"/>
      <c r="D93" s="1854"/>
      <c r="E93" s="1854"/>
      <c r="F93" s="1854"/>
      <c r="I93" s="486"/>
    </row>
    <row r="94" spans="1:9" ht="14.25">
      <c r="A94" s="480"/>
      <c r="B94" s="480"/>
      <c r="D94" s="1854"/>
      <c r="E94" s="1854"/>
      <c r="F94" s="1854"/>
      <c r="I94" s="486"/>
    </row>
    <row r="95" spans="1:9" ht="14.25">
      <c r="A95" s="480"/>
      <c r="B95" s="480"/>
      <c r="D95" s="441"/>
      <c r="E95" s="441"/>
      <c r="F95" s="441"/>
      <c r="I95" s="486"/>
    </row>
    <row r="96" spans="1:9" ht="14.25">
      <c r="A96" s="480"/>
      <c r="B96" s="481" t="s">
        <v>2829</v>
      </c>
      <c r="D96" s="1854" t="s">
        <v>1731</v>
      </c>
      <c r="E96" s="1854"/>
      <c r="F96" s="1854"/>
      <c r="I96" s="486"/>
    </row>
    <row r="97" spans="1:9" s="977" customFormat="1" ht="14.25">
      <c r="A97" s="975"/>
      <c r="B97" s="975"/>
      <c r="C97" s="976"/>
      <c r="D97" s="1854"/>
      <c r="E97" s="1854"/>
      <c r="F97" s="1854"/>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2830</v>
      </c>
      <c r="D100" s="1854" t="s">
        <v>1730</v>
      </c>
      <c r="E100" s="1854"/>
      <c r="F100" s="1854"/>
      <c r="I100" s="486"/>
    </row>
    <row r="101" spans="1:9" ht="14.25">
      <c r="A101" s="480"/>
      <c r="B101" s="480"/>
      <c r="D101" s="1854"/>
      <c r="E101" s="1854"/>
      <c r="F101" s="1854"/>
      <c r="I101" s="486"/>
    </row>
    <row r="102" spans="1:9" ht="14.25">
      <c r="A102" s="480"/>
      <c r="B102" s="480"/>
      <c r="D102" s="441"/>
      <c r="E102" s="441"/>
      <c r="F102" s="441"/>
      <c r="I102" s="486"/>
    </row>
    <row r="103" spans="1:9" ht="14.45" customHeight="1">
      <c r="A103" s="480"/>
      <c r="B103" s="481" t="s">
        <v>2830</v>
      </c>
      <c r="D103" s="1854" t="s">
        <v>1193</v>
      </c>
      <c r="E103" s="1854"/>
      <c r="F103" s="1854"/>
      <c r="I103" s="486"/>
    </row>
    <row r="104" spans="1:9" ht="14.25">
      <c r="A104" s="480"/>
      <c r="B104" s="480"/>
      <c r="D104" s="1854"/>
      <c r="E104" s="1854"/>
      <c r="F104" s="1854"/>
      <c r="I104" s="486"/>
    </row>
    <row r="105" spans="1:9" ht="14.25">
      <c r="A105" s="480"/>
      <c r="B105" s="480"/>
      <c r="D105" s="1854"/>
      <c r="E105" s="1854"/>
      <c r="F105" s="1854"/>
      <c r="I105" s="486"/>
    </row>
    <row r="106" spans="1:9" ht="14.25">
      <c r="A106" s="480"/>
      <c r="B106" s="480"/>
      <c r="D106" s="1854"/>
      <c r="E106" s="1854"/>
      <c r="F106" s="1854"/>
      <c r="I106" s="486"/>
    </row>
    <row r="107" spans="1:9" ht="14.25">
      <c r="A107" s="480"/>
      <c r="B107" s="480"/>
      <c r="D107" s="1854"/>
      <c r="E107" s="1854"/>
      <c r="F107" s="1854"/>
      <c r="I107" s="486"/>
    </row>
    <row r="108" spans="1:9" ht="14.25">
      <c r="A108" s="480"/>
      <c r="B108" s="480"/>
      <c r="D108" s="1854"/>
      <c r="E108" s="1854"/>
      <c r="F108" s="1854"/>
      <c r="I108" s="486"/>
    </row>
    <row r="109" spans="1:9" ht="14.25">
      <c r="A109" s="480"/>
      <c r="B109" s="480"/>
      <c r="D109" s="1854"/>
      <c r="E109" s="1854"/>
      <c r="F109" s="1854"/>
      <c r="I109" s="486"/>
    </row>
    <row r="110" spans="1:9" ht="14.25">
      <c r="A110" s="480"/>
      <c r="B110" s="480"/>
      <c r="D110" s="1854"/>
      <c r="E110" s="1854"/>
      <c r="F110" s="1854"/>
      <c r="I110" s="486"/>
    </row>
    <row r="111" spans="1:9" ht="14.25">
      <c r="A111" s="480"/>
      <c r="B111" s="480"/>
      <c r="D111" s="1854"/>
      <c r="E111" s="1854"/>
      <c r="F111" s="1854"/>
      <c r="I111" s="486"/>
    </row>
    <row r="112" spans="1:9" ht="14.25">
      <c r="A112" s="480"/>
      <c r="B112" s="480"/>
      <c r="D112" s="1854"/>
      <c r="E112" s="1854"/>
      <c r="F112" s="1854"/>
      <c r="I112" s="486"/>
    </row>
    <row r="113" spans="1:9" ht="14.25">
      <c r="A113" s="480"/>
      <c r="B113" s="480"/>
      <c r="D113" s="1854"/>
      <c r="E113" s="1854"/>
      <c r="F113" s="1854"/>
      <c r="I113" s="486"/>
    </row>
    <row r="114" spans="1:9" ht="14.25">
      <c r="A114" s="480"/>
      <c r="B114" s="480"/>
      <c r="D114" s="1854"/>
      <c r="E114" s="1854"/>
      <c r="F114" s="1854"/>
      <c r="I114" s="486"/>
    </row>
    <row r="115" spans="1:9" ht="14.25">
      <c r="A115" s="480"/>
      <c r="B115" s="480"/>
      <c r="D115" s="1854"/>
      <c r="E115" s="1854"/>
      <c r="F115" s="1854"/>
      <c r="I115" s="486"/>
    </row>
    <row r="116" spans="1:9" ht="14.25">
      <c r="A116" s="480"/>
      <c r="B116" s="480"/>
      <c r="D116" s="1854"/>
      <c r="E116" s="1854"/>
      <c r="F116" s="1854"/>
      <c r="I116" s="486"/>
    </row>
    <row r="117" spans="1:9" ht="14.25">
      <c r="A117" s="480"/>
      <c r="B117" s="480"/>
      <c r="D117" s="1854"/>
      <c r="E117" s="1854"/>
      <c r="F117" s="1854"/>
      <c r="I117" s="486"/>
    </row>
    <row r="118" spans="1:9" ht="14.25">
      <c r="A118" s="480"/>
      <c r="B118" s="480"/>
      <c r="D118" s="520"/>
      <c r="E118" s="520"/>
      <c r="F118" s="520"/>
      <c r="I118" s="486"/>
    </row>
    <row r="119" spans="1:9" ht="14.25" customHeight="1">
      <c r="A119" s="480"/>
      <c r="B119" s="481" t="s">
        <v>2830</v>
      </c>
      <c r="D119" s="1840" t="s">
        <v>1103</v>
      </c>
      <c r="E119" s="1840"/>
      <c r="F119" s="1840"/>
      <c r="I119" s="486"/>
    </row>
    <row r="120" spans="1:9" ht="14.25">
      <c r="A120" s="480"/>
      <c r="B120" s="480"/>
      <c r="D120" s="1840"/>
      <c r="E120" s="1840"/>
      <c r="F120" s="1840"/>
      <c r="I120" s="486"/>
    </row>
    <row r="121" spans="1:9" ht="14.25">
      <c r="A121" s="480"/>
      <c r="B121" s="480"/>
      <c r="D121" s="1840"/>
      <c r="E121" s="1840"/>
      <c r="F121" s="1840"/>
      <c r="I121" s="486"/>
    </row>
    <row r="122" spans="1:9" ht="14.25">
      <c r="A122" s="480"/>
      <c r="B122" s="480"/>
      <c r="D122" s="1840"/>
      <c r="E122" s="1840"/>
      <c r="F122" s="1840"/>
      <c r="I122" s="486"/>
    </row>
    <row r="123" spans="1:9" ht="14.25">
      <c r="A123" s="480"/>
      <c r="B123" s="480"/>
      <c r="D123" s="1840"/>
      <c r="E123" s="1840"/>
      <c r="F123" s="1840"/>
      <c r="I123" s="486"/>
    </row>
    <row r="124" spans="1:9" ht="14.25">
      <c r="A124" s="480"/>
      <c r="B124" s="480"/>
      <c r="D124" s="1840"/>
      <c r="E124" s="1840"/>
      <c r="F124" s="1840"/>
      <c r="I124" s="486"/>
    </row>
    <row r="125" spans="1:9" ht="14.25">
      <c r="A125" s="480"/>
      <c r="B125" s="480"/>
      <c r="D125" s="1840"/>
      <c r="E125" s="1840"/>
      <c r="F125" s="1840"/>
      <c r="I125" s="486"/>
    </row>
    <row r="126" spans="1:9" ht="14.25">
      <c r="A126" s="480"/>
      <c r="B126" s="480"/>
      <c r="D126" s="1840"/>
      <c r="E126" s="1840"/>
      <c r="F126" s="1840"/>
      <c r="I126" s="486"/>
    </row>
    <row r="127" spans="1:9">
      <c r="C127" s="398"/>
      <c r="D127" s="521"/>
      <c r="E127" s="521"/>
      <c r="F127" s="521"/>
      <c r="I127" s="486"/>
    </row>
    <row r="128" spans="1:9" ht="14.25">
      <c r="A128" s="480"/>
      <c r="B128" s="481" t="s">
        <v>2829</v>
      </c>
      <c r="C128" s="398"/>
      <c r="D128" s="1840" t="s">
        <v>2003</v>
      </c>
      <c r="E128" s="1840"/>
      <c r="F128" s="1840"/>
      <c r="I128" s="486"/>
    </row>
    <row r="129" spans="1:9" ht="14.25">
      <c r="A129" s="480"/>
      <c r="B129" s="480"/>
      <c r="C129" s="398"/>
      <c r="D129" s="1840"/>
      <c r="E129" s="1840"/>
      <c r="F129" s="1840"/>
      <c r="I129" s="486"/>
    </row>
    <row r="130" spans="1:9">
      <c r="I130" s="486"/>
    </row>
    <row r="131" spans="1:9" ht="14.25">
      <c r="A131" s="480"/>
      <c r="B131" s="481" t="s">
        <v>2830</v>
      </c>
      <c r="D131" s="1854" t="s">
        <v>1104</v>
      </c>
      <c r="E131" s="1854"/>
      <c r="F131" s="1854"/>
      <c r="I131" s="486"/>
    </row>
    <row r="132" spans="1:9">
      <c r="D132" s="1854"/>
      <c r="E132" s="1854"/>
      <c r="F132" s="1854"/>
      <c r="I132" s="486"/>
    </row>
    <row r="133" spans="1:9">
      <c r="D133" s="1854"/>
      <c r="E133" s="1854"/>
      <c r="F133" s="1854"/>
      <c r="I133" s="486"/>
    </row>
    <row r="134" spans="1:9">
      <c r="D134" s="1854"/>
      <c r="E134" s="1854"/>
      <c r="F134" s="1854"/>
      <c r="I134" s="486"/>
    </row>
    <row r="135" spans="1:9">
      <c r="D135" s="1854"/>
      <c r="E135" s="1854"/>
      <c r="F135" s="1854"/>
      <c r="I135" s="486"/>
    </row>
    <row r="136" spans="1:9">
      <c r="I136" s="486"/>
    </row>
    <row r="137" spans="1:9" ht="14.25">
      <c r="A137" s="480"/>
      <c r="B137" s="481" t="s">
        <v>2829</v>
      </c>
      <c r="D137" s="1854" t="s">
        <v>1105</v>
      </c>
      <c r="E137" s="1854"/>
      <c r="F137" s="1854"/>
      <c r="I137" s="486"/>
    </row>
    <row r="138" spans="1:9" s="413" customFormat="1" ht="13.7" customHeight="1">
      <c r="A138" s="484"/>
      <c r="B138" s="484"/>
      <c r="C138" s="484"/>
      <c r="D138" s="1854"/>
      <c r="E138" s="1854"/>
      <c r="F138" s="1854"/>
      <c r="I138" s="1144"/>
    </row>
    <row r="139" spans="1:9" ht="13.7" customHeight="1">
      <c r="D139" s="1854"/>
      <c r="E139" s="1854"/>
      <c r="F139" s="1854"/>
      <c r="I139" s="486"/>
    </row>
    <row r="140" spans="1:9" ht="13.7" customHeight="1">
      <c r="D140" s="1854"/>
      <c r="E140" s="1854"/>
      <c r="F140" s="1854"/>
      <c r="I140" s="486"/>
    </row>
    <row r="141" spans="1:9" ht="13.7" customHeight="1">
      <c r="D141" s="1854"/>
      <c r="E141" s="1854"/>
      <c r="F141" s="1854"/>
      <c r="I141" s="486"/>
    </row>
    <row r="142" spans="1:9" ht="13.7" customHeight="1">
      <c r="A142" s="485"/>
      <c r="B142" s="485"/>
      <c r="D142" s="1854"/>
      <c r="E142" s="1854"/>
      <c r="F142" s="1854"/>
      <c r="I142" s="486"/>
    </row>
    <row r="143" spans="1:9" ht="13.7" customHeight="1">
      <c r="D143" s="1854"/>
      <c r="E143" s="1854"/>
      <c r="F143" s="1854"/>
      <c r="I143" s="486"/>
    </row>
    <row r="144" spans="1:9" ht="13.7" customHeight="1">
      <c r="D144" s="1854"/>
      <c r="E144" s="1854"/>
      <c r="F144" s="1854"/>
      <c r="I144" s="486"/>
    </row>
    <row r="145" spans="2:9" ht="13.7" customHeight="1">
      <c r="D145" s="1854"/>
      <c r="E145" s="1854"/>
      <c r="F145" s="1854"/>
      <c r="I145" s="486"/>
    </row>
    <row r="146" spans="2:9" ht="13.7" customHeight="1">
      <c r="D146" s="1854"/>
      <c r="E146" s="1854"/>
      <c r="F146" s="1854"/>
      <c r="I146" s="486"/>
    </row>
    <row r="147" spans="2:9" ht="13.7" customHeight="1">
      <c r="D147" s="1854"/>
      <c r="E147" s="1854"/>
      <c r="F147" s="1854"/>
      <c r="I147" s="486"/>
    </row>
    <row r="148" spans="2:9" ht="13.7" customHeight="1">
      <c r="D148" s="1854"/>
      <c r="E148" s="1854"/>
      <c r="F148" s="1854"/>
      <c r="I148" s="486"/>
    </row>
    <row r="149" spans="2:9" ht="13.7" customHeight="1">
      <c r="D149" s="1854"/>
      <c r="E149" s="1854"/>
      <c r="F149" s="1854"/>
      <c r="I149" s="486"/>
    </row>
    <row r="150" spans="2:9" ht="13.7" customHeight="1">
      <c r="D150" s="472"/>
      <c r="E150" s="442"/>
      <c r="F150" s="442"/>
      <c r="I150" s="486"/>
    </row>
    <row r="151" spans="2:9" ht="13.7" customHeight="1">
      <c r="B151" s="481" t="s">
        <v>2830</v>
      </c>
      <c r="D151" s="1854" t="s">
        <v>1176</v>
      </c>
      <c r="E151" s="1854"/>
      <c r="F151" s="1854"/>
      <c r="I151" s="486"/>
    </row>
    <row r="152" spans="2:9" ht="13.7" customHeight="1">
      <c r="D152" s="1854"/>
      <c r="E152" s="1854"/>
      <c r="F152" s="1854"/>
      <c r="I152" s="486"/>
    </row>
    <row r="153" spans="2:9" ht="13.7" customHeight="1">
      <c r="D153" s="1854"/>
      <c r="E153" s="1854"/>
      <c r="F153" s="1854"/>
      <c r="I153" s="486"/>
    </row>
    <row r="154" spans="2:9" ht="13.7" customHeight="1">
      <c r="D154" s="1854"/>
      <c r="E154" s="1854"/>
      <c r="F154" s="1854"/>
      <c r="I154" s="486"/>
    </row>
    <row r="155" spans="2:9" ht="13.7" customHeight="1">
      <c r="D155" s="1854"/>
      <c r="E155" s="1854"/>
      <c r="F155" s="1854"/>
      <c r="I155" s="486"/>
    </row>
    <row r="156" spans="2:9" ht="13.7" customHeight="1">
      <c r="D156" s="1854"/>
      <c r="E156" s="1854"/>
      <c r="F156" s="1854"/>
      <c r="I156" s="486"/>
    </row>
    <row r="157" spans="2:9" ht="13.7" customHeight="1">
      <c r="D157" s="1854"/>
      <c r="E157" s="1854"/>
      <c r="F157" s="1854"/>
      <c r="I157" s="486"/>
    </row>
    <row r="158" spans="2:9" ht="13.7" customHeight="1">
      <c r="D158" s="1854"/>
      <c r="E158" s="1854"/>
      <c r="F158" s="1854"/>
      <c r="I158" s="486"/>
    </row>
    <row r="159" spans="2:9" ht="13.7" customHeight="1">
      <c r="D159" s="1854"/>
      <c r="E159" s="1854"/>
      <c r="F159" s="1854"/>
      <c r="I159" s="486"/>
    </row>
    <row r="160" spans="2:9" ht="13.7" customHeight="1">
      <c r="D160" s="1854"/>
      <c r="E160" s="1854"/>
      <c r="F160" s="1854"/>
      <c r="I160" s="486"/>
    </row>
    <row r="161" spans="1:9" ht="13.7" customHeight="1">
      <c r="D161" s="1854"/>
      <c r="E161" s="1854"/>
      <c r="F161" s="1854"/>
      <c r="I161" s="486"/>
    </row>
    <row r="162" spans="1:9" ht="13.7" customHeight="1">
      <c r="D162" s="1854"/>
      <c r="E162" s="1854"/>
      <c r="F162" s="1854"/>
      <c r="I162" s="486"/>
    </row>
    <row r="163" spans="1:9" ht="13.7" customHeight="1">
      <c r="D163" s="1854"/>
      <c r="E163" s="1854"/>
      <c r="F163" s="1854"/>
      <c r="I163" s="486"/>
    </row>
    <row r="164" spans="1:9" ht="13.7" customHeight="1">
      <c r="D164" s="1854"/>
      <c r="E164" s="1854"/>
      <c r="F164" s="1854"/>
      <c r="I164" s="486"/>
    </row>
    <row r="165" spans="1:9" ht="13.7" customHeight="1">
      <c r="D165" s="1854"/>
      <c r="E165" s="1854"/>
      <c r="F165" s="1854"/>
      <c r="I165" s="486"/>
    </row>
    <row r="166" spans="1:9" ht="13.7" customHeight="1">
      <c r="D166" s="1854"/>
      <c r="E166" s="1854"/>
      <c r="F166" s="1854"/>
      <c r="I166" s="486"/>
    </row>
    <row r="167" spans="1:9" ht="13.7" customHeight="1">
      <c r="D167" s="1854"/>
      <c r="E167" s="1854"/>
      <c r="F167" s="1854"/>
      <c r="I167" s="486"/>
    </row>
    <row r="168" spans="1:9" ht="13.7" customHeight="1">
      <c r="D168" s="1854"/>
      <c r="E168" s="1854"/>
      <c r="F168" s="1854"/>
      <c r="I168" s="486"/>
    </row>
    <row r="169" spans="1:9" ht="13.7" customHeight="1">
      <c r="D169" s="1876" t="s">
        <v>2025</v>
      </c>
      <c r="E169" s="1876"/>
      <c r="F169" s="1876"/>
      <c r="G169" s="503"/>
      <c r="I169" s="486"/>
    </row>
    <row r="170" spans="1:9" ht="13.7" customHeight="1">
      <c r="D170" s="1864"/>
      <c r="E170" s="1864"/>
      <c r="F170" s="1864"/>
      <c r="G170" s="1864"/>
      <c r="I170" s="486"/>
    </row>
    <row r="171" spans="1:9" ht="14.45" customHeight="1">
      <c r="A171" s="485"/>
      <c r="B171" s="481" t="s">
        <v>2830</v>
      </c>
      <c r="C171" s="472"/>
      <c r="D171" s="1826" t="s">
        <v>2161</v>
      </c>
      <c r="E171" s="1826"/>
      <c r="F171" s="1826"/>
      <c r="G171" s="472"/>
      <c r="I171" s="486"/>
    </row>
    <row r="172" spans="1:9" ht="14.45" customHeight="1">
      <c r="A172" s="485"/>
      <c r="B172" s="485"/>
      <c r="C172" s="472"/>
      <c r="D172" s="1826"/>
      <c r="E172" s="1826"/>
      <c r="F172" s="1826"/>
      <c r="G172" s="472"/>
      <c r="I172" s="486"/>
    </row>
    <row r="173" spans="1:9" ht="14.45" customHeight="1">
      <c r="A173" s="485"/>
      <c r="B173" s="485"/>
      <c r="C173" s="472"/>
      <c r="D173" s="1826"/>
      <c r="E173" s="1826"/>
      <c r="F173" s="1826"/>
      <c r="G173" s="472"/>
      <c r="I173" s="486"/>
    </row>
    <row r="174" spans="1:9" ht="14.45" customHeight="1">
      <c r="A174" s="485"/>
      <c r="B174" s="485"/>
      <c r="C174" s="472"/>
      <c r="D174" s="1826"/>
      <c r="E174" s="1826"/>
      <c r="F174" s="1826"/>
      <c r="G174" s="472"/>
      <c r="I174" s="486"/>
    </row>
    <row r="175" spans="1:9" ht="13.7" customHeight="1">
      <c r="A175" s="485"/>
      <c r="B175" s="485"/>
      <c r="C175" s="472"/>
      <c r="D175" s="1826"/>
      <c r="E175" s="1826"/>
      <c r="F175" s="1826"/>
      <c r="G175" s="472"/>
      <c r="I175" s="486"/>
    </row>
    <row r="176" spans="1:9" ht="13.7" customHeight="1">
      <c r="A176" s="485"/>
      <c r="B176" s="485"/>
      <c r="C176" s="472"/>
      <c r="D176" s="472"/>
      <c r="E176" s="472"/>
      <c r="F176" s="472"/>
      <c r="G176" s="472"/>
      <c r="I176" s="486"/>
    </row>
    <row r="177" spans="1:9" ht="13.7" customHeight="1">
      <c r="A177" s="485"/>
      <c r="B177" s="481" t="s">
        <v>2830</v>
      </c>
      <c r="C177" s="472"/>
      <c r="D177" s="1826" t="s">
        <v>1106</v>
      </c>
      <c r="E177" s="1826"/>
      <c r="F177" s="1826"/>
      <c r="G177" s="472"/>
      <c r="I177" s="486"/>
    </row>
    <row r="178" spans="1:9" ht="13.7" customHeight="1">
      <c r="A178" s="485"/>
      <c r="B178" s="485"/>
      <c r="C178" s="472"/>
      <c r="D178" s="1826"/>
      <c r="E178" s="1826"/>
      <c r="F178" s="1826"/>
      <c r="G178" s="472"/>
      <c r="I178" s="486"/>
    </row>
    <row r="179" spans="1:9" ht="13.7" customHeight="1">
      <c r="A179" s="485"/>
      <c r="B179" s="485"/>
      <c r="C179" s="472"/>
      <c r="D179" s="1826"/>
      <c r="E179" s="1826"/>
      <c r="F179" s="1826"/>
      <c r="G179" s="472"/>
      <c r="I179" s="486"/>
    </row>
    <row r="180" spans="1:9" ht="13.7" customHeight="1">
      <c r="A180" s="485"/>
      <c r="B180" s="485"/>
      <c r="C180" s="472"/>
      <c r="D180" s="1826"/>
      <c r="E180" s="1826"/>
      <c r="F180" s="1826"/>
      <c r="G180" s="472"/>
      <c r="I180" s="486"/>
    </row>
    <row r="181" spans="1:9" ht="13.7" customHeight="1">
      <c r="D181" s="442"/>
      <c r="E181" s="442"/>
      <c r="F181" s="442"/>
      <c r="I181" s="486"/>
    </row>
    <row r="182" spans="1:9" ht="13.7" hidden="1" customHeight="1">
      <c r="B182" s="481" t="s">
        <v>307</v>
      </c>
      <c r="D182" s="1870" t="s">
        <v>2004</v>
      </c>
      <c r="E182" s="1870"/>
      <c r="F182" s="1870"/>
      <c r="I182" s="486"/>
    </row>
    <row r="183" spans="1:9" ht="13.7" hidden="1" customHeight="1">
      <c r="D183" s="1870"/>
      <c r="E183" s="1870"/>
      <c r="F183" s="1870"/>
      <c r="I183" s="486"/>
    </row>
    <row r="184" spans="1:9" ht="13.7" hidden="1" customHeight="1">
      <c r="D184" s="1870"/>
      <c r="E184" s="1870"/>
      <c r="F184" s="1870"/>
      <c r="I184" s="486"/>
    </row>
    <row r="185" spans="1:9" ht="13.7" customHeight="1">
      <c r="A185" s="486"/>
      <c r="B185" s="486"/>
      <c r="E185" s="442"/>
      <c r="F185" s="442"/>
      <c r="I185" s="486"/>
    </row>
    <row r="186" spans="1:9">
      <c r="A186" s="1855" t="s">
        <v>2005</v>
      </c>
      <c r="B186" s="1855"/>
      <c r="C186" s="1855"/>
      <c r="D186" s="1855"/>
      <c r="E186" s="1855"/>
      <c r="F186" s="1855"/>
      <c r="G186" s="1855"/>
      <c r="H186" s="1018"/>
      <c r="I186" s="1142"/>
    </row>
    <row r="187" spans="1:9" ht="12" customHeight="1">
      <c r="D187" s="442"/>
      <c r="E187" s="442"/>
      <c r="F187" s="442"/>
      <c r="I187" s="486"/>
    </row>
    <row r="188" spans="1:9">
      <c r="B188" s="1860" t="s">
        <v>446</v>
      </c>
      <c r="C188" s="1860"/>
      <c r="D188" s="1860"/>
      <c r="E188" s="1860"/>
      <c r="F188" s="1860"/>
      <c r="I188" s="486"/>
    </row>
    <row r="189" spans="1:9">
      <c r="B189" s="388" t="s">
        <v>1843</v>
      </c>
      <c r="C189" s="388"/>
      <c r="D189" s="388"/>
      <c r="E189" s="388"/>
      <c r="F189" s="388"/>
      <c r="I189" s="486"/>
    </row>
    <row r="190" spans="1:9" ht="12" customHeight="1">
      <c r="A190" s="478"/>
      <c r="B190" s="478"/>
      <c r="C190" s="478"/>
      <c r="I190" s="486"/>
    </row>
    <row r="191" spans="1:9">
      <c r="A191" s="1855" t="s">
        <v>1045</v>
      </c>
      <c r="B191" s="1855"/>
      <c r="C191" s="1855"/>
      <c r="D191" s="1855"/>
      <c r="E191" s="1855"/>
      <c r="F191" s="1855"/>
      <c r="G191" s="1855"/>
      <c r="H191" s="1018"/>
      <c r="I191" s="1142"/>
    </row>
    <row r="192" spans="1:9" ht="12" customHeight="1">
      <c r="A192" s="400"/>
      <c r="B192" s="400"/>
      <c r="E192" s="400"/>
      <c r="I192" s="486"/>
    </row>
    <row r="193" spans="1:9" ht="13.7" customHeight="1">
      <c r="A193" s="400"/>
      <c r="B193" s="400"/>
      <c r="D193" s="1873" t="s">
        <v>1733</v>
      </c>
      <c r="E193" s="1873"/>
      <c r="F193" s="1873"/>
      <c r="I193" s="486"/>
    </row>
    <row r="194" spans="1:9">
      <c r="A194" s="400"/>
      <c r="B194" s="400"/>
      <c r="D194" s="1873"/>
      <c r="E194" s="1873"/>
      <c r="F194" s="1873"/>
      <c r="I194" s="486"/>
    </row>
    <row r="195" spans="1:9">
      <c r="A195" s="400"/>
      <c r="B195" s="400"/>
      <c r="D195" s="1860" t="s">
        <v>1194</v>
      </c>
      <c r="E195" s="1860"/>
      <c r="F195" s="1860"/>
      <c r="I195" s="486"/>
    </row>
    <row r="196" spans="1:9">
      <c r="A196" s="400"/>
      <c r="B196" s="400"/>
      <c r="D196" s="388"/>
      <c r="E196" s="388"/>
      <c r="F196" s="388"/>
      <c r="I196" s="486"/>
    </row>
    <row r="197" spans="1:9">
      <c r="A197" s="400"/>
      <c r="B197" s="400"/>
      <c r="D197" s="1854" t="s">
        <v>2637</v>
      </c>
      <c r="E197" s="1854"/>
      <c r="F197" s="1854"/>
      <c r="I197" s="486"/>
    </row>
    <row r="198" spans="1:9">
      <c r="A198" s="400"/>
      <c r="B198" s="400"/>
      <c r="D198" s="1854"/>
      <c r="E198" s="1854"/>
      <c r="F198" s="1854"/>
      <c r="I198" s="486"/>
    </row>
    <row r="199" spans="1:9">
      <c r="A199" s="400"/>
      <c r="B199" s="400"/>
      <c r="D199" s="1854"/>
      <c r="E199" s="1854"/>
      <c r="F199" s="1854"/>
      <c r="I199" s="486"/>
    </row>
    <row r="200" spans="1:9">
      <c r="A200" s="400"/>
      <c r="B200" s="400"/>
      <c r="D200" s="1854"/>
      <c r="E200" s="1854"/>
      <c r="F200" s="1854"/>
      <c r="I200" s="486"/>
    </row>
    <row r="201" spans="1:9">
      <c r="A201" s="400"/>
      <c r="B201" s="400"/>
      <c r="D201" s="1854"/>
      <c r="E201" s="1854"/>
      <c r="F201" s="1854"/>
      <c r="I201" s="486"/>
    </row>
    <row r="202" spans="1:9">
      <c r="A202" s="400"/>
      <c r="B202" s="400"/>
      <c r="D202" s="388"/>
      <c r="E202" s="388"/>
      <c r="F202" s="388"/>
      <c r="I202" s="486"/>
    </row>
    <row r="203" spans="1:9">
      <c r="A203" s="400"/>
      <c r="B203" s="481" t="s">
        <v>2830</v>
      </c>
      <c r="D203" s="1835" t="s">
        <v>1734</v>
      </c>
      <c r="E203" s="1835"/>
      <c r="F203" s="1835"/>
      <c r="I203" s="486"/>
    </row>
    <row r="204" spans="1:9">
      <c r="A204" s="400"/>
      <c r="B204" s="400"/>
      <c r="D204" s="1837" t="s">
        <v>1869</v>
      </c>
      <c r="E204" s="1837"/>
      <c r="F204" s="1837"/>
      <c r="I204" s="486"/>
    </row>
    <row r="205" spans="1:9">
      <c r="A205" s="400"/>
      <c r="B205" s="400"/>
      <c r="D205" s="96" t="s">
        <v>1735</v>
      </c>
      <c r="E205" s="1880" t="s">
        <v>1892</v>
      </c>
      <c r="F205" s="1880"/>
      <c r="I205" s="486"/>
    </row>
    <row r="206" spans="1:9">
      <c r="A206" s="400"/>
      <c r="B206" s="400"/>
      <c r="D206" s="3"/>
      <c r="E206" s="3"/>
      <c r="F206" s="3"/>
      <c r="I206" s="486"/>
    </row>
    <row r="207" spans="1:9" customFormat="1">
      <c r="A207" s="350"/>
      <c r="B207" s="481" t="s">
        <v>2830</v>
      </c>
      <c r="C207" s="350"/>
      <c r="D207" s="1303" t="s">
        <v>2638</v>
      </c>
      <c r="E207" s="1303"/>
      <c r="F207" s="1303"/>
      <c r="G207" s="3"/>
    </row>
    <row r="208" spans="1:9" customFormat="1">
      <c r="A208" s="350"/>
      <c r="B208" s="350"/>
      <c r="C208" s="350"/>
      <c r="D208" s="1303"/>
      <c r="E208" s="1303"/>
      <c r="F208" s="1303"/>
      <c r="G208" s="3"/>
    </row>
    <row r="209" spans="1:9" customFormat="1">
      <c r="A209" s="350"/>
      <c r="B209" s="350"/>
      <c r="C209" s="350"/>
      <c r="D209" s="1303"/>
      <c r="E209" s="1303"/>
      <c r="F209" s="1303"/>
      <c r="G209" s="3"/>
    </row>
    <row r="210" spans="1:9" customFormat="1">
      <c r="A210" s="350"/>
      <c r="B210" s="350"/>
      <c r="C210" s="350"/>
      <c r="D210" s="1303"/>
      <c r="E210" s="1303"/>
      <c r="F210" s="1303"/>
      <c r="G210" s="3"/>
    </row>
    <row r="211" spans="1:9" customFormat="1">
      <c r="A211" s="350"/>
      <c r="B211" s="350"/>
      <c r="C211" s="350"/>
      <c r="D211" s="3"/>
      <c r="E211" s="3"/>
      <c r="F211" s="3"/>
      <c r="G211" s="3"/>
    </row>
    <row r="212" spans="1:9">
      <c r="A212" s="400"/>
      <c r="B212" s="481" t="s">
        <v>2830</v>
      </c>
      <c r="D212" s="1837" t="s">
        <v>1736</v>
      </c>
      <c r="E212" s="1837"/>
      <c r="F212" s="1837"/>
      <c r="I212" s="486"/>
    </row>
    <row r="213" spans="1:9">
      <c r="A213" s="400"/>
      <c r="B213" s="400"/>
      <c r="D213" s="1835" t="s">
        <v>1869</v>
      </c>
      <c r="E213" s="1835"/>
      <c r="F213" s="1835"/>
      <c r="I213" s="486"/>
    </row>
    <row r="214" spans="1:9">
      <c r="A214" s="400"/>
      <c r="B214" s="400"/>
      <c r="D214" s="57" t="s">
        <v>1737</v>
      </c>
      <c r="E214" s="1880" t="s">
        <v>1893</v>
      </c>
      <c r="F214" s="1880"/>
      <c r="I214" s="486"/>
    </row>
    <row r="215" spans="1:9">
      <c r="A215" s="400"/>
      <c r="B215" s="400"/>
      <c r="D215" s="3"/>
      <c r="E215" s="3"/>
      <c r="F215" s="3"/>
      <c r="I215" s="486"/>
    </row>
    <row r="216" spans="1:9">
      <c r="A216" s="400"/>
      <c r="B216" s="481" t="s">
        <v>2830</v>
      </c>
      <c r="D216" s="1837" t="s">
        <v>1738</v>
      </c>
      <c r="E216" s="1837"/>
      <c r="F216" s="1837"/>
      <c r="I216" s="486"/>
    </row>
    <row r="217" spans="1:9">
      <c r="A217" s="400"/>
      <c r="B217" s="400"/>
      <c r="D217" s="1835" t="s">
        <v>1869</v>
      </c>
      <c r="E217" s="1835"/>
      <c r="F217" s="1835"/>
      <c r="I217" s="486"/>
    </row>
    <row r="218" spans="1:9">
      <c r="A218" s="400"/>
      <c r="B218" s="400"/>
      <c r="D218" s="57" t="s">
        <v>1735</v>
      </c>
      <c r="E218" s="1880" t="s">
        <v>1894</v>
      </c>
      <c r="F218" s="1880"/>
      <c r="I218" s="486"/>
    </row>
    <row r="219" spans="1:9" customFormat="1" ht="14.25">
      <c r="A219" s="175"/>
      <c r="B219" s="175"/>
      <c r="C219" s="350"/>
      <c r="D219" s="1465" t="s">
        <v>2639</v>
      </c>
      <c r="E219" s="1465"/>
      <c r="F219" s="1465"/>
      <c r="G219" s="3"/>
    </row>
    <row r="220" spans="1:9" customFormat="1">
      <c r="A220" s="350"/>
      <c r="B220" s="350"/>
      <c r="C220" s="350"/>
      <c r="D220" s="1465"/>
      <c r="E220" s="1465"/>
      <c r="F220" s="1465"/>
      <c r="G220" s="3"/>
    </row>
    <row r="221" spans="1:9" customFormat="1">
      <c r="A221" s="350"/>
      <c r="B221" s="350"/>
      <c r="C221" s="350"/>
      <c r="D221" s="1465"/>
      <c r="E221" s="1465"/>
      <c r="F221" s="1465"/>
      <c r="G221" s="3"/>
    </row>
    <row r="222" spans="1:9" customFormat="1">
      <c r="A222" s="350"/>
      <c r="B222" s="350"/>
      <c r="C222" s="350"/>
      <c r="D222" s="1465"/>
      <c r="E222" s="1465"/>
      <c r="F222" s="1465"/>
      <c r="G222" s="3"/>
    </row>
    <row r="223" spans="1:9" customFormat="1">
      <c r="A223" s="350"/>
      <c r="B223" s="350"/>
      <c r="C223" s="350"/>
      <c r="D223" s="1465"/>
      <c r="E223" s="1465"/>
      <c r="F223" s="1465"/>
      <c r="G223" s="3"/>
    </row>
    <row r="224" spans="1:9">
      <c r="A224" s="400"/>
      <c r="B224" s="400"/>
      <c r="D224" s="388"/>
      <c r="E224" s="388"/>
      <c r="F224" s="388"/>
      <c r="I224" s="486"/>
    </row>
    <row r="225" spans="1:9" ht="14.25" customHeight="1">
      <c r="A225" s="480"/>
      <c r="B225" s="481" t="s">
        <v>2830</v>
      </c>
      <c r="D225" s="382" t="s">
        <v>1862</v>
      </c>
      <c r="E225" s="381"/>
      <c r="F225" s="381"/>
      <c r="I225" s="486"/>
    </row>
    <row r="226" spans="1:9" ht="14.25">
      <c r="A226" s="480"/>
      <c r="B226" s="480"/>
      <c r="D226" s="1835" t="s">
        <v>1869</v>
      </c>
      <c r="E226" s="1835"/>
      <c r="F226" s="1835"/>
      <c r="I226" s="486"/>
    </row>
    <row r="227" spans="1:9">
      <c r="D227" s="381"/>
      <c r="E227" s="1880" t="s">
        <v>1895</v>
      </c>
      <c r="F227" s="1880"/>
      <c r="I227" s="486"/>
    </row>
    <row r="228" spans="1:9">
      <c r="D228" s="443"/>
      <c r="I228" s="486"/>
    </row>
    <row r="229" spans="1:9">
      <c r="B229" s="481" t="s">
        <v>2830</v>
      </c>
      <c r="D229" s="1837" t="s">
        <v>1739</v>
      </c>
      <c r="E229" s="1837"/>
      <c r="F229" s="1837"/>
      <c r="I229" s="486"/>
    </row>
    <row r="230" spans="1:9">
      <c r="D230" s="1835" t="s">
        <v>1869</v>
      </c>
      <c r="E230" s="1835"/>
      <c r="F230" s="1835"/>
      <c r="I230" s="486"/>
    </row>
    <row r="231" spans="1:9">
      <c r="D231" s="57" t="s">
        <v>1735</v>
      </c>
      <c r="E231" s="1880" t="s">
        <v>1896</v>
      </c>
      <c r="F231" s="1880"/>
      <c r="I231" s="486"/>
    </row>
    <row r="232" spans="1:9">
      <c r="D232" s="447"/>
      <c r="E232" s="447"/>
      <c r="F232" s="447"/>
      <c r="I232" s="486"/>
    </row>
    <row r="233" spans="1:9" ht="14.25">
      <c r="A233" s="480"/>
      <c r="B233" s="481" t="s">
        <v>2830</v>
      </c>
      <c r="D233" s="1854" t="s">
        <v>1215</v>
      </c>
      <c r="E233" s="1854"/>
      <c r="F233" s="1854"/>
      <c r="I233" s="486"/>
    </row>
    <row r="234" spans="1:9" ht="14.45" customHeight="1">
      <c r="A234" s="480"/>
      <c r="B234" s="398"/>
      <c r="D234" s="1854"/>
      <c r="E234" s="1854"/>
      <c r="F234" s="1854"/>
      <c r="I234" s="486"/>
    </row>
    <row r="235" spans="1:9" ht="14.25">
      <c r="A235" s="480"/>
      <c r="D235" s="1854"/>
      <c r="E235" s="1854"/>
      <c r="F235" s="1854"/>
      <c r="I235" s="486"/>
    </row>
    <row r="236" spans="1:9" ht="14.25">
      <c r="A236" s="480"/>
      <c r="D236" s="1854"/>
      <c r="E236" s="1854"/>
      <c r="F236" s="1854"/>
      <c r="I236" s="486"/>
    </row>
    <row r="237" spans="1:9">
      <c r="D237" s="447"/>
      <c r="E237" s="447"/>
      <c r="F237" s="447"/>
      <c r="I237" s="486"/>
    </row>
    <row r="238" spans="1:9" customFormat="1" ht="14.25">
      <c r="A238" s="175"/>
      <c r="B238" s="481" t="s">
        <v>2830</v>
      </c>
      <c r="C238" s="350"/>
      <c r="D238" s="1837" t="s">
        <v>2640</v>
      </c>
      <c r="E238" s="1837"/>
      <c r="F238" s="1837"/>
      <c r="G238" s="3"/>
    </row>
    <row r="239" spans="1:9" customFormat="1" ht="14.25">
      <c r="A239" s="175"/>
      <c r="B239" s="350"/>
      <c r="C239" s="350"/>
      <c r="D239" s="515"/>
      <c r="E239" s="515"/>
      <c r="F239" s="515"/>
      <c r="G239" s="3"/>
    </row>
    <row r="240" spans="1:9">
      <c r="A240" s="1855" t="s">
        <v>1046</v>
      </c>
      <c r="B240" s="1855"/>
      <c r="C240" s="1855"/>
      <c r="D240" s="1855"/>
      <c r="E240" s="1855"/>
      <c r="F240" s="1855"/>
      <c r="G240" s="1855"/>
      <c r="H240" s="1018"/>
      <c r="I240" s="1142"/>
    </row>
    <row r="241" spans="1:9" ht="12" customHeight="1">
      <c r="D241" s="442"/>
      <c r="E241" s="442"/>
      <c r="F241" s="442"/>
      <c r="I241" s="486"/>
    </row>
    <row r="242" spans="1:9">
      <c r="C242" s="482"/>
      <c r="D242" s="1857" t="s">
        <v>208</v>
      </c>
      <c r="E242" s="1857"/>
      <c r="F242" s="1857"/>
      <c r="I242" s="486"/>
    </row>
    <row r="243" spans="1:9">
      <c r="A243" s="478"/>
      <c r="B243" s="478"/>
      <c r="C243" s="478"/>
      <c r="D243" s="1856" t="s">
        <v>1120</v>
      </c>
      <c r="E243" s="1856"/>
      <c r="F243" s="1856"/>
      <c r="I243" s="486"/>
    </row>
    <row r="244" spans="1:9" ht="12" customHeight="1">
      <c r="A244" s="486"/>
      <c r="B244" s="486"/>
      <c r="C244" s="486"/>
      <c r="I244" s="486"/>
    </row>
    <row r="245" spans="1:9" ht="13.7" customHeight="1">
      <c r="A245" s="486"/>
      <c r="C245" s="486"/>
      <c r="D245" s="1857" t="s">
        <v>546</v>
      </c>
      <c r="E245" s="1857"/>
      <c r="F245" s="1857"/>
      <c r="I245" s="486"/>
    </row>
    <row r="246" spans="1:9" ht="14.25">
      <c r="A246" s="480"/>
      <c r="B246" s="481" t="s">
        <v>2829</v>
      </c>
      <c r="D246" s="1854" t="s">
        <v>1740</v>
      </c>
      <c r="E246" s="1854"/>
      <c r="F246" s="1854"/>
      <c r="I246" s="486"/>
    </row>
    <row r="247" spans="1:9" ht="14.25" customHeight="1">
      <c r="A247" s="480"/>
      <c r="B247" s="480"/>
      <c r="D247" s="1854"/>
      <c r="E247" s="1854"/>
      <c r="F247" s="1854"/>
      <c r="I247" s="486"/>
    </row>
    <row r="248" spans="1:9" ht="14.25" customHeight="1">
      <c r="A248" s="480"/>
      <c r="B248" s="480"/>
      <c r="D248" s="1854"/>
      <c r="E248" s="1854"/>
      <c r="F248" s="1854"/>
      <c r="I248" s="486"/>
    </row>
    <row r="249" spans="1:9" ht="14.25">
      <c r="A249" s="480"/>
      <c r="B249" s="480"/>
      <c r="D249" s="1854"/>
      <c r="E249" s="1854"/>
      <c r="F249" s="1854"/>
      <c r="I249" s="486"/>
    </row>
    <row r="250" spans="1:9" ht="14.25">
      <c r="A250" s="480"/>
      <c r="B250" s="480"/>
      <c r="D250" s="441"/>
      <c r="E250" s="441"/>
      <c r="F250" s="441"/>
      <c r="I250" s="486"/>
    </row>
    <row r="251" spans="1:9" ht="14.25">
      <c r="A251" s="480"/>
      <c r="B251" s="481" t="s">
        <v>2829</v>
      </c>
      <c r="D251" s="1854" t="s">
        <v>1741</v>
      </c>
      <c r="E251" s="1854"/>
      <c r="F251" s="1854"/>
      <c r="I251" s="486"/>
    </row>
    <row r="252" spans="1:9" ht="14.25">
      <c r="A252" s="480"/>
      <c r="B252" s="480"/>
      <c r="D252" s="1854"/>
      <c r="E252" s="1854"/>
      <c r="F252" s="1854"/>
      <c r="I252" s="486"/>
    </row>
    <row r="253" spans="1:9" ht="14.25">
      <c r="A253" s="480"/>
      <c r="B253" s="480"/>
      <c r="D253" s="1854"/>
      <c r="E253" s="1854"/>
      <c r="F253" s="1854"/>
      <c r="I253" s="486"/>
    </row>
    <row r="254" spans="1:9" ht="14.25">
      <c r="A254" s="480"/>
      <c r="B254" s="480"/>
      <c r="D254" s="1854"/>
      <c r="E254" s="1854"/>
      <c r="F254" s="1854"/>
      <c r="I254" s="486"/>
    </row>
    <row r="255" spans="1:9" ht="14.25" customHeight="1">
      <c r="A255" s="480"/>
      <c r="B255" s="480"/>
      <c r="D255" s="1854"/>
      <c r="E255" s="1854"/>
      <c r="F255" s="1854"/>
      <c r="I255" s="486"/>
    </row>
    <row r="256" spans="1:9" ht="14.25" customHeight="1">
      <c r="A256" s="480"/>
      <c r="B256" s="480"/>
      <c r="D256" s="441"/>
      <c r="E256" s="441"/>
      <c r="F256" s="441"/>
      <c r="I256" s="486"/>
    </row>
    <row r="257" spans="1:9" ht="14.25">
      <c r="A257" s="480"/>
      <c r="B257" s="480"/>
      <c r="D257" s="1854" t="s">
        <v>1118</v>
      </c>
      <c r="E257" s="1854"/>
      <c r="F257" s="1854"/>
      <c r="I257" s="486"/>
    </row>
    <row r="258" spans="1:9" ht="14.25">
      <c r="A258" s="480"/>
      <c r="B258" s="480"/>
      <c r="D258" s="1854"/>
      <c r="E258" s="1854"/>
      <c r="F258" s="1854"/>
      <c r="I258" s="486"/>
    </row>
    <row r="259" spans="1:9" ht="14.25">
      <c r="A259" s="480"/>
      <c r="B259" s="480"/>
      <c r="D259" s="1854"/>
      <c r="E259" s="1854"/>
      <c r="F259" s="1854"/>
      <c r="I259" s="486"/>
    </row>
    <row r="260" spans="1:9" ht="14.25">
      <c r="A260" s="480"/>
      <c r="B260" s="480"/>
      <c r="D260" s="1854"/>
      <c r="E260" s="1854"/>
      <c r="F260" s="1854"/>
      <c r="I260" s="486"/>
    </row>
    <row r="261" spans="1:9" ht="14.25">
      <c r="A261" s="480"/>
      <c r="B261" s="480"/>
      <c r="D261" s="1854"/>
      <c r="E261" s="1854"/>
      <c r="F261" s="1854"/>
      <c r="I261" s="486"/>
    </row>
    <row r="262" spans="1:9" ht="14.25">
      <c r="A262" s="480"/>
      <c r="B262" s="480"/>
      <c r="D262" s="442"/>
      <c r="E262" s="442"/>
      <c r="F262" s="442"/>
      <c r="I262" s="486"/>
    </row>
    <row r="263" spans="1:9" ht="14.25">
      <c r="A263" s="480"/>
      <c r="B263" s="481" t="s">
        <v>2829</v>
      </c>
      <c r="D263" s="1854" t="s">
        <v>2006</v>
      </c>
      <c r="E263" s="1854"/>
      <c r="F263" s="1854"/>
      <c r="I263" s="486"/>
    </row>
    <row r="264" spans="1:9" ht="14.25">
      <c r="A264" s="480"/>
      <c r="B264" s="480"/>
      <c r="D264" s="1854"/>
      <c r="E264" s="1854"/>
      <c r="F264" s="1854"/>
      <c r="I264" s="486"/>
    </row>
    <row r="265" spans="1:9" ht="14.25">
      <c r="A265" s="480"/>
      <c r="B265" s="480"/>
      <c r="D265" s="1854"/>
      <c r="E265" s="1854"/>
      <c r="F265" s="1854"/>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2830</v>
      </c>
      <c r="D268" s="1854" t="s">
        <v>2007</v>
      </c>
      <c r="E268" s="1854"/>
      <c r="F268" s="1854"/>
      <c r="I268" s="486"/>
    </row>
    <row r="269" spans="1:9" ht="12.75" customHeight="1">
      <c r="A269" s="480"/>
      <c r="B269" s="480"/>
      <c r="D269" s="1854"/>
      <c r="E269" s="1854"/>
      <c r="F269" s="1854"/>
      <c r="I269" s="486"/>
    </row>
    <row r="270" spans="1:9" ht="14.25">
      <c r="A270" s="480"/>
      <c r="B270" s="480"/>
      <c r="D270" s="1854"/>
      <c r="E270" s="1854"/>
      <c r="F270" s="1854"/>
      <c r="I270" s="486"/>
    </row>
    <row r="271" spans="1:9" ht="14.25">
      <c r="A271" s="480"/>
      <c r="B271" s="480"/>
      <c r="D271" s="1854"/>
      <c r="E271" s="1854"/>
      <c r="F271" s="1854"/>
      <c r="I271" s="486"/>
    </row>
    <row r="272" spans="1:9" ht="14.25">
      <c r="A272" s="480"/>
      <c r="B272" s="480"/>
      <c r="D272" s="1854"/>
      <c r="E272" s="1854"/>
      <c r="F272" s="1854"/>
      <c r="I272" s="486"/>
    </row>
    <row r="273" spans="1:9" ht="14.25">
      <c r="A273" s="480"/>
      <c r="B273" s="480"/>
      <c r="D273" s="441"/>
      <c r="E273" s="441"/>
      <c r="F273" s="441"/>
      <c r="I273" s="486"/>
    </row>
    <row r="274" spans="1:9" ht="14.25">
      <c r="A274" s="480"/>
      <c r="B274" s="481" t="s">
        <v>2829</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2829</v>
      </c>
      <c r="D277" s="1854" t="s">
        <v>1119</v>
      </c>
      <c r="E277" s="1854"/>
      <c r="F277" s="1854"/>
      <c r="I277" s="486"/>
    </row>
    <row r="278" spans="1:9" ht="14.25">
      <c r="A278" s="480"/>
      <c r="B278" s="480"/>
      <c r="D278" s="1854"/>
      <c r="E278" s="1854"/>
      <c r="F278" s="1854"/>
      <c r="I278" s="486"/>
    </row>
    <row r="279" spans="1:9">
      <c r="D279" s="487"/>
      <c r="I279" s="486"/>
    </row>
    <row r="280" spans="1:9">
      <c r="A280" s="1855" t="s">
        <v>1047</v>
      </c>
      <c r="B280" s="1855"/>
      <c r="C280" s="1855"/>
      <c r="D280" s="1855"/>
      <c r="E280" s="1855"/>
      <c r="F280" s="1855"/>
      <c r="G280" s="1855"/>
      <c r="H280" s="1018"/>
      <c r="I280" s="1142"/>
    </row>
    <row r="281" spans="1:9">
      <c r="D281" s="487"/>
      <c r="I281" s="486"/>
    </row>
    <row r="282" spans="1:9">
      <c r="C282" s="482"/>
      <c r="D282" s="1857" t="s">
        <v>1121</v>
      </c>
      <c r="E282" s="1857"/>
      <c r="F282" s="1857"/>
      <c r="I282" s="486"/>
    </row>
    <row r="283" spans="1:9">
      <c r="A283" s="478"/>
      <c r="B283" s="478"/>
      <c r="C283" s="478"/>
      <c r="D283" s="442"/>
      <c r="E283" s="442"/>
      <c r="F283" s="442"/>
      <c r="I283" s="486"/>
    </row>
    <row r="284" spans="1:9">
      <c r="A284" s="479"/>
      <c r="B284" s="479"/>
      <c r="C284" s="479"/>
      <c r="D284" s="1857" t="s">
        <v>269</v>
      </c>
      <c r="E284" s="1857"/>
      <c r="F284" s="1857"/>
      <c r="I284" s="486"/>
    </row>
    <row r="285" spans="1:9" ht="14.45" customHeight="1">
      <c r="A285" s="480"/>
      <c r="B285" s="481" t="s">
        <v>2830</v>
      </c>
      <c r="D285" s="1854" t="s">
        <v>1195</v>
      </c>
      <c r="E285" s="1854"/>
      <c r="F285" s="1854"/>
      <c r="I285" s="486"/>
    </row>
    <row r="286" spans="1:9">
      <c r="D286" s="1854"/>
      <c r="E286" s="1854"/>
      <c r="F286" s="1854"/>
      <c r="I286" s="486"/>
    </row>
    <row r="287" spans="1:9">
      <c r="E287" s="1026" t="s">
        <v>1865</v>
      </c>
      <c r="I287" s="486"/>
    </row>
    <row r="288" spans="1:9">
      <c r="D288" s="442"/>
      <c r="E288" s="442"/>
      <c r="F288" s="442"/>
      <c r="I288" s="486"/>
    </row>
    <row r="289" spans="1:9" ht="14.45" customHeight="1">
      <c r="A289" s="480"/>
      <c r="B289" s="481" t="s">
        <v>2830</v>
      </c>
      <c r="D289" s="1854" t="s">
        <v>2009</v>
      </c>
      <c r="E289" s="1854"/>
      <c r="F289" s="1854"/>
      <c r="I289" s="486"/>
    </row>
    <row r="290" spans="1:9">
      <c r="D290" s="1854"/>
      <c r="E290" s="1854"/>
      <c r="F290" s="1854"/>
      <c r="I290" s="486"/>
    </row>
    <row r="291" spans="1:9">
      <c r="D291" s="1854"/>
      <c r="E291" s="1854"/>
      <c r="F291" s="1854"/>
      <c r="I291" s="486"/>
    </row>
    <row r="292" spans="1:9">
      <c r="D292" s="1854"/>
      <c r="E292" s="1854"/>
      <c r="F292" s="1854"/>
      <c r="I292" s="486"/>
    </row>
    <row r="293" spans="1:9">
      <c r="D293" s="1854"/>
      <c r="E293" s="1854"/>
      <c r="F293" s="1854"/>
      <c r="I293" s="486"/>
    </row>
    <row r="294" spans="1:9">
      <c r="D294" s="1854"/>
      <c r="E294" s="1854"/>
      <c r="F294" s="1854"/>
      <c r="I294" s="486"/>
    </row>
    <row r="295" spans="1:9">
      <c r="D295" s="442"/>
      <c r="E295" s="442"/>
      <c r="F295" s="442"/>
      <c r="I295" s="486"/>
    </row>
    <row r="296" spans="1:9" ht="14.25">
      <c r="A296" s="480"/>
      <c r="B296" s="481" t="s">
        <v>2830</v>
      </c>
      <c r="D296" s="1854" t="s">
        <v>1122</v>
      </c>
      <c r="E296" s="1854"/>
      <c r="F296" s="1854"/>
      <c r="I296" s="486"/>
    </row>
    <row r="297" spans="1:9">
      <c r="D297" s="1854"/>
      <c r="E297" s="1854"/>
      <c r="F297" s="1854"/>
      <c r="I297" s="486"/>
    </row>
    <row r="298" spans="1:9">
      <c r="D298" s="1854"/>
      <c r="E298" s="1854"/>
      <c r="F298" s="1854"/>
      <c r="I298" s="486"/>
    </row>
    <row r="299" spans="1:9">
      <c r="D299" s="488"/>
      <c r="E299" s="442"/>
      <c r="F299" s="442"/>
      <c r="I299" s="486"/>
    </row>
    <row r="300" spans="1:9">
      <c r="A300" s="1855" t="s">
        <v>1048</v>
      </c>
      <c r="B300" s="1855"/>
      <c r="C300" s="1855"/>
      <c r="D300" s="1855"/>
      <c r="E300" s="1855"/>
      <c r="F300" s="1855"/>
      <c r="G300" s="1855"/>
      <c r="H300" s="1018"/>
      <c r="I300" s="1142"/>
    </row>
    <row r="301" spans="1:9">
      <c r="D301" s="488"/>
      <c r="E301" s="442"/>
      <c r="F301" s="442"/>
      <c r="I301" s="486"/>
    </row>
    <row r="302" spans="1:9">
      <c r="C302" s="478"/>
      <c r="D302" s="1873" t="s">
        <v>1123</v>
      </c>
      <c r="E302" s="1873"/>
      <c r="F302" s="1873"/>
      <c r="I302" s="486"/>
    </row>
    <row r="303" spans="1:9">
      <c r="C303" s="478"/>
      <c r="D303" s="1873"/>
      <c r="E303" s="1873"/>
      <c r="F303" s="1873"/>
      <c r="I303" s="486"/>
    </row>
    <row r="304" spans="1:9">
      <c r="A304" s="479"/>
      <c r="B304" s="479"/>
      <c r="C304" s="479"/>
      <c r="D304" s="400"/>
      <c r="I304" s="486"/>
    </row>
    <row r="305" spans="1:9">
      <c r="C305" s="479"/>
      <c r="D305" s="1857" t="s">
        <v>209</v>
      </c>
      <c r="E305" s="1857"/>
      <c r="F305" s="1857"/>
      <c r="I305" s="486"/>
    </row>
    <row r="306" spans="1:9" ht="15.75" customHeight="1">
      <c r="A306" s="480"/>
      <c r="B306" s="480"/>
      <c r="D306" s="1881" t="s">
        <v>1124</v>
      </c>
      <c r="E306" s="1881"/>
      <c r="F306" s="1881"/>
      <c r="I306" s="486"/>
    </row>
    <row r="307" spans="1:9">
      <c r="E307" s="442"/>
      <c r="F307" s="442"/>
      <c r="I307" s="486"/>
    </row>
    <row r="308" spans="1:9" ht="14.25">
      <c r="A308" s="480"/>
      <c r="B308" s="481" t="s">
        <v>2830</v>
      </c>
      <c r="D308" s="1854" t="s">
        <v>1125</v>
      </c>
      <c r="E308" s="1854"/>
      <c r="F308" s="1854"/>
      <c r="I308" s="486"/>
    </row>
    <row r="309" spans="1:9" ht="14.25">
      <c r="A309" s="480"/>
      <c r="B309" s="480"/>
      <c r="D309" s="1854"/>
      <c r="E309" s="1854"/>
      <c r="F309" s="1854"/>
      <c r="I309" s="486"/>
    </row>
    <row r="310" spans="1:9">
      <c r="D310" s="442"/>
      <c r="E310" s="442"/>
      <c r="F310" s="442"/>
      <c r="I310" s="486"/>
    </row>
    <row r="311" spans="1:9" ht="14.25">
      <c r="A311" s="480"/>
      <c r="B311" s="481" t="s">
        <v>2830</v>
      </c>
      <c r="D311" s="1854" t="s">
        <v>2641</v>
      </c>
      <c r="E311" s="1854"/>
      <c r="F311" s="1854"/>
      <c r="I311" s="486"/>
    </row>
    <row r="312" spans="1:9" ht="14.25">
      <c r="A312" s="480"/>
      <c r="B312" s="480"/>
      <c r="D312" s="1854"/>
      <c r="E312" s="1854"/>
      <c r="F312" s="1854"/>
      <c r="I312" s="486"/>
    </row>
    <row r="313" spans="1:9" ht="14.25">
      <c r="A313" s="480"/>
      <c r="B313" s="480"/>
      <c r="D313" s="1854"/>
      <c r="E313" s="1854"/>
      <c r="F313" s="1854"/>
      <c r="I313" s="486"/>
    </row>
    <row r="314" spans="1:9">
      <c r="D314" s="442"/>
      <c r="E314" s="442"/>
      <c r="F314" s="442"/>
      <c r="I314" s="486"/>
    </row>
    <row r="315" spans="1:9" ht="14.25">
      <c r="A315" s="480"/>
      <c r="B315" s="481" t="s">
        <v>2830</v>
      </c>
      <c r="D315" s="1854" t="s">
        <v>1126</v>
      </c>
      <c r="E315" s="1854"/>
      <c r="F315" s="1854"/>
      <c r="I315" s="486"/>
    </row>
    <row r="316" spans="1:9" ht="14.25">
      <c r="A316" s="480"/>
      <c r="B316" s="480"/>
      <c r="D316" s="1854"/>
      <c r="E316" s="1854"/>
      <c r="F316" s="1854"/>
      <c r="I316" s="486"/>
    </row>
    <row r="317" spans="1:9">
      <c r="A317" s="486"/>
      <c r="B317" s="486"/>
      <c r="E317" s="442"/>
      <c r="F317" s="442"/>
      <c r="I317" s="486"/>
    </row>
    <row r="318" spans="1:9">
      <c r="A318" s="1855" t="s">
        <v>1049</v>
      </c>
      <c r="B318" s="1855"/>
      <c r="C318" s="1855"/>
      <c r="D318" s="1855"/>
      <c r="E318" s="1855"/>
      <c r="F318" s="1855"/>
      <c r="G318" s="1855"/>
      <c r="H318" s="1018"/>
      <c r="I318" s="1142"/>
    </row>
    <row r="319" spans="1:9">
      <c r="A319" s="486"/>
      <c r="B319" s="486"/>
      <c r="D319" s="442"/>
      <c r="E319" s="442"/>
      <c r="F319" s="442"/>
      <c r="I319" s="486"/>
    </row>
    <row r="320" spans="1:9">
      <c r="C320" s="486"/>
      <c r="D320" s="1857" t="s">
        <v>682</v>
      </c>
      <c r="E320" s="1857"/>
      <c r="F320" s="1857"/>
      <c r="I320" s="486"/>
    </row>
    <row r="321" spans="1:9">
      <c r="C321" s="486"/>
      <c r="D321" s="1856" t="s">
        <v>1127</v>
      </c>
      <c r="E321" s="1856"/>
      <c r="F321" s="1856"/>
      <c r="I321" s="486"/>
    </row>
    <row r="322" spans="1:9">
      <c r="C322" s="486"/>
      <c r="D322" s="489"/>
      <c r="I322" s="486"/>
    </row>
    <row r="323" spans="1:9">
      <c r="B323" s="481" t="s">
        <v>2830</v>
      </c>
      <c r="D323" s="1856" t="s">
        <v>1128</v>
      </c>
      <c r="E323" s="1856"/>
      <c r="F323" s="1856"/>
      <c r="I323" s="486"/>
    </row>
    <row r="324" spans="1:9" ht="14.25">
      <c r="A324" s="480"/>
      <c r="B324" s="480"/>
      <c r="D324" s="490"/>
      <c r="E324" s="491"/>
      <c r="F324" s="491"/>
      <c r="I324" s="486"/>
    </row>
    <row r="325" spans="1:9" ht="13.7" customHeight="1">
      <c r="B325" s="481" t="s">
        <v>2830</v>
      </c>
      <c r="D325" s="1867" t="s">
        <v>1218</v>
      </c>
      <c r="E325" s="1867"/>
      <c r="F325" s="1867"/>
      <c r="I325" s="486"/>
    </row>
    <row r="326" spans="1:9" ht="14.25">
      <c r="A326" s="480"/>
      <c r="B326" s="480"/>
      <c r="D326" s="1867"/>
      <c r="E326" s="1867"/>
      <c r="F326" s="1867"/>
      <c r="I326" s="486"/>
    </row>
    <row r="327" spans="1:9" ht="14.25">
      <c r="A327" s="480"/>
      <c r="B327" s="480"/>
      <c r="D327" s="1867"/>
      <c r="E327" s="1867"/>
      <c r="F327" s="1867"/>
      <c r="I327" s="486"/>
    </row>
    <row r="328" spans="1:9" ht="14.25">
      <c r="A328" s="480"/>
      <c r="B328" s="480"/>
      <c r="D328" s="1867"/>
      <c r="E328" s="1867"/>
      <c r="F328" s="1867"/>
      <c r="I328" s="486"/>
    </row>
    <row r="329" spans="1:9" ht="14.25">
      <c r="A329" s="480"/>
      <c r="B329" s="480"/>
      <c r="D329" s="1867"/>
      <c r="E329" s="1867"/>
      <c r="F329" s="1867"/>
      <c r="I329" s="486"/>
    </row>
    <row r="330" spans="1:9" ht="14.25">
      <c r="A330" s="480"/>
      <c r="B330" s="480"/>
      <c r="D330" s="490"/>
      <c r="E330" s="491"/>
      <c r="F330" s="491"/>
      <c r="I330" s="486"/>
    </row>
    <row r="331" spans="1:9" ht="13.7" customHeight="1">
      <c r="B331" s="481" t="s">
        <v>2830</v>
      </c>
      <c r="D331" s="1867" t="s">
        <v>1129</v>
      </c>
      <c r="E331" s="1867"/>
      <c r="F331" s="1867"/>
      <c r="I331" s="486"/>
    </row>
    <row r="332" spans="1:9">
      <c r="D332" s="1867"/>
      <c r="E332" s="1867"/>
      <c r="F332" s="1867"/>
      <c r="I332" s="486"/>
    </row>
    <row r="333" spans="1:9" ht="14.25">
      <c r="A333" s="480"/>
      <c r="B333" s="480"/>
      <c r="D333" s="490"/>
      <c r="E333" s="491"/>
      <c r="F333" s="491"/>
      <c r="I333" s="486"/>
    </row>
    <row r="334" spans="1:9">
      <c r="B334" s="481" t="s">
        <v>2830</v>
      </c>
      <c r="D334" s="1856" t="s">
        <v>1130</v>
      </c>
      <c r="E334" s="1856"/>
      <c r="F334" s="1856"/>
      <c r="I334" s="486"/>
    </row>
    <row r="335" spans="1:9">
      <c r="E335" s="442"/>
      <c r="F335" s="442"/>
      <c r="I335" s="486"/>
    </row>
    <row r="336" spans="1:9" ht="14.25">
      <c r="A336" s="480"/>
      <c r="B336" s="481" t="s">
        <v>2830</v>
      </c>
      <c r="D336" s="1854" t="s">
        <v>2192</v>
      </c>
      <c r="E336" s="1854"/>
      <c r="F336" s="1854"/>
      <c r="I336" s="486"/>
    </row>
    <row r="337" spans="1:9" ht="14.25">
      <c r="A337" s="480"/>
      <c r="B337" s="480"/>
      <c r="D337" s="1854"/>
      <c r="E337" s="1854"/>
      <c r="F337" s="1854"/>
      <c r="I337" s="486"/>
    </row>
    <row r="338" spans="1:9" ht="14.25">
      <c r="A338" s="480"/>
      <c r="B338" s="480"/>
      <c r="D338" s="1854"/>
      <c r="E338" s="1854"/>
      <c r="F338" s="1854"/>
      <c r="I338" s="486"/>
    </row>
    <row r="339" spans="1:9" ht="14.25">
      <c r="A339" s="480"/>
      <c r="B339" s="480"/>
      <c r="D339" s="1854"/>
      <c r="E339" s="1854"/>
      <c r="F339" s="1854"/>
      <c r="I339" s="486"/>
    </row>
    <row r="340" spans="1:9" ht="14.25">
      <c r="A340" s="480"/>
      <c r="B340" s="480"/>
      <c r="D340" s="1854"/>
      <c r="E340" s="1854"/>
      <c r="F340" s="1854"/>
      <c r="I340" s="486"/>
    </row>
    <row r="341" spans="1:9" ht="14.25">
      <c r="A341" s="480"/>
      <c r="B341" s="480"/>
      <c r="D341" s="1854"/>
      <c r="E341" s="1854"/>
      <c r="F341" s="1854"/>
      <c r="I341" s="486"/>
    </row>
    <row r="342" spans="1:9" ht="14.25">
      <c r="A342" s="480"/>
      <c r="B342" s="480"/>
      <c r="D342" s="1854"/>
      <c r="E342" s="1854"/>
      <c r="F342" s="1854"/>
      <c r="I342" s="486"/>
    </row>
    <row r="343" spans="1:9" ht="14.25">
      <c r="A343" s="480"/>
      <c r="B343" s="480"/>
      <c r="D343" s="1854"/>
      <c r="E343" s="1854"/>
      <c r="F343" s="1854"/>
      <c r="I343" s="486"/>
    </row>
    <row r="344" spans="1:9" ht="14.25">
      <c r="A344" s="480"/>
      <c r="B344" s="480"/>
      <c r="D344" s="1854"/>
      <c r="E344" s="1854"/>
      <c r="F344" s="1854"/>
      <c r="I344" s="486"/>
    </row>
    <row r="345" spans="1:9" ht="14.25">
      <c r="A345" s="480"/>
      <c r="B345" s="480"/>
      <c r="D345" s="1854"/>
      <c r="E345" s="1854"/>
      <c r="F345" s="1854"/>
      <c r="I345" s="486"/>
    </row>
    <row r="346" spans="1:9" ht="14.25">
      <c r="A346" s="480"/>
      <c r="B346" s="480"/>
      <c r="D346" s="1854"/>
      <c r="E346" s="1854"/>
      <c r="F346" s="1854"/>
      <c r="I346" s="486"/>
    </row>
    <row r="347" spans="1:9" ht="14.25">
      <c r="A347" s="480"/>
      <c r="B347" s="480"/>
      <c r="D347" s="1854"/>
      <c r="E347" s="1854"/>
      <c r="F347" s="1854"/>
      <c r="I347" s="486"/>
    </row>
    <row r="348" spans="1:9" ht="14.25">
      <c r="A348" s="480"/>
      <c r="B348" s="480"/>
      <c r="D348" s="1854"/>
      <c r="E348" s="1854"/>
      <c r="F348" s="1854"/>
      <c r="I348" s="486"/>
    </row>
    <row r="349" spans="1:9" ht="14.25">
      <c r="A349" s="480"/>
      <c r="B349" s="480"/>
      <c r="D349" s="1854"/>
      <c r="E349" s="1854"/>
      <c r="F349" s="1854"/>
      <c r="I349" s="486"/>
    </row>
    <row r="350" spans="1:9" ht="14.25">
      <c r="A350" s="480"/>
      <c r="B350" s="480"/>
      <c r="D350" s="1854"/>
      <c r="E350" s="1854"/>
      <c r="F350" s="1854"/>
      <c r="I350" s="486"/>
    </row>
    <row r="351" spans="1:9">
      <c r="D351" s="442"/>
      <c r="E351" s="442"/>
      <c r="F351" s="442"/>
      <c r="I351" s="486"/>
    </row>
    <row r="352" spans="1:9" ht="14.25">
      <c r="A352" s="480"/>
      <c r="B352" s="481" t="s">
        <v>2830</v>
      </c>
      <c r="D352" s="1854" t="s">
        <v>1131</v>
      </c>
      <c r="E352" s="1854"/>
      <c r="F352" s="1854"/>
      <c r="I352" s="486"/>
    </row>
    <row r="353" spans="1:9">
      <c r="D353" s="1854"/>
      <c r="E353" s="1854"/>
      <c r="F353" s="1854"/>
      <c r="I353" s="486"/>
    </row>
    <row r="354" spans="1:9">
      <c r="D354" s="1854"/>
      <c r="E354" s="1854"/>
      <c r="F354" s="1854"/>
      <c r="I354" s="486"/>
    </row>
    <row r="355" spans="1:9">
      <c r="D355" s="1854"/>
      <c r="E355" s="1854"/>
      <c r="F355" s="1854"/>
      <c r="I355" s="486"/>
    </row>
    <row r="356" spans="1:9">
      <c r="D356" s="1854"/>
      <c r="E356" s="1854"/>
      <c r="F356" s="1854"/>
      <c r="I356" s="486"/>
    </row>
    <row r="357" spans="1:9">
      <c r="D357" s="1854"/>
      <c r="E357" s="1854"/>
      <c r="F357" s="1854"/>
      <c r="I357" s="486"/>
    </row>
    <row r="358" spans="1:9">
      <c r="D358" s="1854"/>
      <c r="E358" s="1854"/>
      <c r="F358" s="1854"/>
      <c r="I358" s="486"/>
    </row>
    <row r="359" spans="1:9">
      <c r="D359" s="1854"/>
      <c r="E359" s="1854"/>
      <c r="F359" s="1854"/>
      <c r="I359" s="486"/>
    </row>
    <row r="360" spans="1:9">
      <c r="D360" s="1854"/>
      <c r="E360" s="1854"/>
      <c r="F360" s="1854"/>
      <c r="I360" s="486"/>
    </row>
    <row r="361" spans="1:9">
      <c r="D361" s="442"/>
      <c r="E361" s="442"/>
      <c r="F361" s="442"/>
      <c r="I361" s="486"/>
    </row>
    <row r="362" spans="1:9" ht="14.25" customHeight="1">
      <c r="A362" s="480"/>
      <c r="B362" s="481" t="s">
        <v>2830</v>
      </c>
      <c r="D362" s="1854" t="s">
        <v>1870</v>
      </c>
      <c r="E362" s="1854"/>
      <c r="F362" s="1854"/>
      <c r="I362" s="486"/>
    </row>
    <row r="363" spans="1:9">
      <c r="D363" s="1854"/>
      <c r="E363" s="1854"/>
      <c r="F363" s="1854"/>
      <c r="I363" s="486"/>
    </row>
    <row r="364" spans="1:9">
      <c r="D364" s="1854"/>
      <c r="E364" s="1854"/>
      <c r="F364" s="1854"/>
      <c r="I364" s="486"/>
    </row>
    <row r="365" spans="1:9">
      <c r="D365" s="1854"/>
      <c r="E365" s="1854"/>
      <c r="F365" s="1854"/>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65" t="s">
        <v>979</v>
      </c>
      <c r="E369" s="1865"/>
      <c r="F369" s="1865"/>
      <c r="G369" s="1017"/>
      <c r="H369" s="1017"/>
      <c r="I369" s="1145"/>
    </row>
    <row r="370" spans="1:9" ht="13.5" thickTop="1">
      <c r="D370" s="1874" t="s">
        <v>2193</v>
      </c>
      <c r="E370" s="1874"/>
      <c r="F370" s="1874"/>
      <c r="I370" s="486"/>
    </row>
    <row r="371" spans="1:9">
      <c r="D371" s="442"/>
      <c r="E371" s="442"/>
      <c r="F371" s="442"/>
      <c r="I371" s="486"/>
    </row>
    <row r="372" spans="1:9">
      <c r="A372" s="472"/>
      <c r="B372" s="472"/>
      <c r="C372" s="472"/>
      <c r="D372" s="443"/>
      <c r="E372" s="443"/>
      <c r="F372" s="442"/>
      <c r="I372" s="486"/>
    </row>
    <row r="373" spans="1:9" ht="14.25">
      <c r="A373" s="480"/>
      <c r="B373" s="481" t="s">
        <v>2830</v>
      </c>
      <c r="C373" s="483"/>
      <c r="D373" s="1856" t="s">
        <v>1868</v>
      </c>
      <c r="E373" s="1856"/>
      <c r="F373" s="1856"/>
      <c r="I373" s="486"/>
    </row>
    <row r="374" spans="1:9" ht="12.75" customHeight="1">
      <c r="D374" s="1027"/>
      <c r="E374" s="96" t="s">
        <v>1867</v>
      </c>
      <c r="F374" s="1027"/>
      <c r="I374" s="486"/>
    </row>
    <row r="375" spans="1:9">
      <c r="D375" s="1854" t="s">
        <v>1238</v>
      </c>
      <c r="E375" s="1854"/>
      <c r="F375" s="1854"/>
      <c r="I375" s="486"/>
    </row>
    <row r="376" spans="1:9">
      <c r="D376" s="1854"/>
      <c r="E376" s="1854"/>
      <c r="F376" s="1854"/>
      <c r="I376" s="486"/>
    </row>
    <row r="377" spans="1:9">
      <c r="D377" s="1854"/>
      <c r="E377" s="1854"/>
      <c r="F377" s="1854"/>
      <c r="I377" s="486"/>
    </row>
    <row r="378" spans="1:9" ht="14.25">
      <c r="A378" s="480"/>
      <c r="B378" s="481" t="s">
        <v>2830</v>
      </c>
      <c r="C378" s="472"/>
      <c r="D378" s="1864" t="s">
        <v>2010</v>
      </c>
      <c r="E378" s="1864"/>
      <c r="F378" s="1864"/>
      <c r="I378" s="476"/>
    </row>
    <row r="379" spans="1:9">
      <c r="A379" s="472"/>
      <c r="B379" s="472"/>
      <c r="C379" s="472"/>
      <c r="D379" s="443"/>
      <c r="E379" s="443"/>
      <c r="F379" s="442"/>
      <c r="I379" s="486"/>
    </row>
    <row r="380" spans="1:9">
      <c r="A380" s="472"/>
      <c r="B380" s="481" t="s">
        <v>2830</v>
      </c>
      <c r="C380" s="472"/>
      <c r="D380" s="1826" t="s">
        <v>2011</v>
      </c>
      <c r="E380" s="1826"/>
      <c r="F380" s="1826"/>
      <c r="I380" s="486"/>
    </row>
    <row r="381" spans="1:9">
      <c r="A381" s="472"/>
      <c r="B381" s="472"/>
      <c r="C381" s="472"/>
      <c r="D381" s="1826"/>
      <c r="E381" s="1826"/>
      <c r="F381" s="1826"/>
      <c r="I381" s="486"/>
    </row>
    <row r="382" spans="1:9">
      <c r="A382" s="472"/>
      <c r="B382" s="472"/>
      <c r="C382" s="472"/>
      <c r="D382" s="1826"/>
      <c r="E382" s="1826"/>
      <c r="F382" s="1826"/>
      <c r="I382" s="486"/>
    </row>
    <row r="383" spans="1:9">
      <c r="A383" s="472"/>
      <c r="B383" s="472"/>
      <c r="C383" s="472"/>
      <c r="D383" s="1826"/>
      <c r="E383" s="1826"/>
      <c r="F383" s="1826"/>
      <c r="I383" s="486"/>
    </row>
    <row r="384" spans="1:9">
      <c r="A384" s="472"/>
      <c r="B384" s="472"/>
      <c r="C384" s="472"/>
      <c r="D384" s="1826"/>
      <c r="E384" s="1826"/>
      <c r="F384" s="1826"/>
      <c r="I384" s="486"/>
    </row>
    <row r="385" spans="1:9">
      <c r="A385" s="472"/>
      <c r="B385" s="472"/>
      <c r="C385" s="472"/>
      <c r="D385" s="1826"/>
      <c r="E385" s="1826"/>
      <c r="F385" s="1826"/>
      <c r="I385" s="486"/>
    </row>
    <row r="386" spans="1:9">
      <c r="A386" s="472"/>
      <c r="B386" s="472"/>
      <c r="C386" s="472"/>
      <c r="D386" s="1826"/>
      <c r="E386" s="1826"/>
      <c r="F386" s="1826"/>
      <c r="I386" s="486"/>
    </row>
    <row r="387" spans="1:9">
      <c r="A387" s="472"/>
      <c r="B387" s="472"/>
      <c r="C387" s="472"/>
      <c r="D387" s="1826"/>
      <c r="E387" s="1826"/>
      <c r="F387" s="1826"/>
      <c r="I387" s="486"/>
    </row>
    <row r="388" spans="1:9">
      <c r="A388" s="472"/>
      <c r="B388" s="472"/>
      <c r="C388" s="472"/>
      <c r="D388" s="1826"/>
      <c r="E388" s="1826"/>
      <c r="F388" s="1826"/>
      <c r="I388" s="486"/>
    </row>
    <row r="389" spans="1:9">
      <c r="A389" s="472"/>
      <c r="B389" s="472"/>
      <c r="C389" s="472"/>
      <c r="D389" s="1826"/>
      <c r="E389" s="1826"/>
      <c r="F389" s="1826"/>
      <c r="I389" s="486"/>
    </row>
    <row r="390" spans="1:9">
      <c r="A390" s="472"/>
      <c r="B390" s="472"/>
      <c r="C390" s="472"/>
      <c r="D390" s="1826"/>
      <c r="E390" s="1826"/>
      <c r="F390" s="1826"/>
      <c r="I390" s="486"/>
    </row>
    <row r="391" spans="1:9">
      <c r="A391" s="472"/>
      <c r="B391" s="472"/>
      <c r="C391" s="472"/>
      <c r="D391" s="1826"/>
      <c r="E391" s="1826"/>
      <c r="F391" s="1826"/>
      <c r="I391" s="486"/>
    </row>
    <row r="392" spans="1:9">
      <c r="A392" s="472"/>
      <c r="B392" s="472"/>
      <c r="C392" s="472"/>
      <c r="D392" s="447"/>
      <c r="E392" s="447"/>
      <c r="F392" s="447"/>
      <c r="I392" s="486"/>
    </row>
    <row r="393" spans="1:9" ht="12.4" customHeight="1">
      <c r="A393" s="472"/>
      <c r="B393" s="481" t="s">
        <v>2830</v>
      </c>
      <c r="C393" s="472"/>
      <c r="D393" s="1834" t="s">
        <v>1220</v>
      </c>
      <c r="E393" s="1834"/>
      <c r="F393" s="1834"/>
      <c r="I393" s="486"/>
    </row>
    <row r="394" spans="1:9">
      <c r="A394" s="472"/>
      <c r="B394" s="472"/>
      <c r="C394" s="472"/>
      <c r="D394" s="1834"/>
      <c r="E394" s="1834"/>
      <c r="F394" s="1834"/>
      <c r="I394" s="486"/>
    </row>
    <row r="395" spans="1:9">
      <c r="A395" s="472"/>
      <c r="B395" s="472"/>
      <c r="C395" s="472"/>
      <c r="D395" s="1834"/>
      <c r="E395" s="1834"/>
      <c r="F395" s="1834"/>
      <c r="I395" s="486"/>
    </row>
    <row r="396" spans="1:9">
      <c r="A396" s="472"/>
      <c r="B396" s="472"/>
      <c r="C396" s="472"/>
      <c r="D396" s="1834"/>
      <c r="E396" s="1834"/>
      <c r="F396" s="1834"/>
      <c r="I396" s="486"/>
    </row>
    <row r="397" spans="1:9">
      <c r="A397" s="472"/>
      <c r="B397" s="472"/>
      <c r="C397" s="472"/>
      <c r="D397" s="520"/>
      <c r="E397" s="520"/>
      <c r="F397" s="520"/>
      <c r="I397" s="486"/>
    </row>
    <row r="398" spans="1:9">
      <c r="A398" s="472"/>
      <c r="B398" s="481" t="s">
        <v>2830</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2830</v>
      </c>
      <c r="C405" s="472"/>
      <c r="D405" s="1826" t="s">
        <v>1132</v>
      </c>
      <c r="E405" s="1826"/>
      <c r="F405" s="1826"/>
      <c r="I405" s="486"/>
    </row>
    <row r="406" spans="1:9">
      <c r="A406" s="472"/>
      <c r="B406" s="472"/>
      <c r="C406" s="472"/>
      <c r="D406" s="1826"/>
      <c r="E406" s="1826"/>
      <c r="F406" s="1826"/>
      <c r="I406" s="486"/>
    </row>
    <row r="407" spans="1:9">
      <c r="A407" s="472"/>
      <c r="B407" s="472"/>
      <c r="C407" s="472"/>
      <c r="D407" s="1826"/>
      <c r="E407" s="1826"/>
      <c r="F407" s="1826"/>
      <c r="I407" s="486"/>
    </row>
    <row r="408" spans="1:9">
      <c r="A408" s="472"/>
      <c r="B408" s="472"/>
      <c r="C408" s="472"/>
      <c r="D408" s="1826"/>
      <c r="E408" s="1826"/>
      <c r="F408" s="1826"/>
      <c r="I408" s="486"/>
    </row>
    <row r="409" spans="1:9">
      <c r="A409" s="472"/>
      <c r="B409" s="472"/>
      <c r="C409" s="472"/>
      <c r="D409" s="443"/>
      <c r="E409" s="443"/>
      <c r="F409" s="442"/>
      <c r="I409" s="486"/>
    </row>
    <row r="410" spans="1:9">
      <c r="A410" s="472"/>
      <c r="B410" s="472"/>
      <c r="C410" s="472"/>
      <c r="D410" s="1826" t="s">
        <v>1133</v>
      </c>
      <c r="E410" s="1826"/>
      <c r="F410" s="1826"/>
      <c r="I410" s="486"/>
    </row>
    <row r="411" spans="1:9">
      <c r="A411" s="472"/>
      <c r="B411" s="472"/>
      <c r="C411" s="472"/>
      <c r="D411" s="1826"/>
      <c r="E411" s="1826"/>
      <c r="F411" s="1826"/>
      <c r="I411" s="486"/>
    </row>
    <row r="412" spans="1:9">
      <c r="A412" s="472"/>
      <c r="B412" s="472"/>
      <c r="C412" s="472"/>
      <c r="D412" s="1826"/>
      <c r="E412" s="1826"/>
      <c r="F412" s="1826"/>
      <c r="I412" s="486"/>
    </row>
    <row r="413" spans="1:9">
      <c r="A413" s="472"/>
      <c r="B413" s="472"/>
      <c r="C413" s="472"/>
      <c r="D413" s="1826"/>
      <c r="E413" s="1826"/>
      <c r="F413" s="1826"/>
      <c r="I413" s="486"/>
    </row>
    <row r="414" spans="1:9" ht="18" customHeight="1">
      <c r="A414" s="472"/>
      <c r="B414" s="472"/>
      <c r="C414" s="472"/>
      <c r="D414" s="1826"/>
      <c r="E414" s="1826"/>
      <c r="F414" s="1826"/>
      <c r="I414" s="486"/>
    </row>
    <row r="415" spans="1:9">
      <c r="A415" s="472"/>
      <c r="B415" s="472"/>
      <c r="C415" s="472"/>
      <c r="D415" s="1826"/>
      <c r="E415" s="1826"/>
      <c r="F415" s="1826"/>
      <c r="I415" s="486"/>
    </row>
    <row r="416" spans="1:9">
      <c r="A416" s="472"/>
      <c r="B416" s="472"/>
      <c r="C416" s="472"/>
      <c r="D416" s="1826"/>
      <c r="E416" s="1826"/>
      <c r="F416" s="1826"/>
      <c r="I416" s="486"/>
    </row>
    <row r="417" spans="1:9">
      <c r="A417" s="472"/>
      <c r="B417" s="472"/>
      <c r="C417" s="472"/>
      <c r="D417" s="1826"/>
      <c r="E417" s="1826"/>
      <c r="F417" s="1826"/>
      <c r="I417" s="486"/>
    </row>
    <row r="418" spans="1:9" ht="8.25" customHeight="1">
      <c r="A418" s="472"/>
      <c r="B418" s="472"/>
      <c r="C418" s="472"/>
      <c r="D418" s="1826"/>
      <c r="E418" s="1826"/>
      <c r="F418" s="1826"/>
      <c r="I418" s="486"/>
    </row>
    <row r="419" spans="1:9" ht="13.7" customHeight="1">
      <c r="A419" s="472"/>
      <c r="B419" s="472"/>
      <c r="C419" s="472"/>
      <c r="D419" s="1826" t="s">
        <v>1134</v>
      </c>
      <c r="E419" s="1826"/>
      <c r="F419" s="1826"/>
      <c r="I419" s="486"/>
    </row>
    <row r="420" spans="1:9">
      <c r="A420" s="472"/>
      <c r="B420" s="472"/>
      <c r="C420" s="472"/>
      <c r="D420" s="1826"/>
      <c r="E420" s="1826"/>
      <c r="F420" s="1826"/>
      <c r="I420" s="486"/>
    </row>
    <row r="421" spans="1:9">
      <c r="A421" s="472"/>
      <c r="B421" s="472"/>
      <c r="C421" s="472"/>
      <c r="D421" s="1826"/>
      <c r="E421" s="1826"/>
      <c r="F421" s="1826"/>
      <c r="I421" s="486"/>
    </row>
    <row r="422" spans="1:9">
      <c r="A422" s="472"/>
      <c r="B422" s="472"/>
      <c r="C422" s="472"/>
      <c r="D422" s="1826"/>
      <c r="E422" s="1826"/>
      <c r="F422" s="1826"/>
      <c r="I422" s="486"/>
    </row>
    <row r="423" spans="1:9">
      <c r="A423" s="472"/>
      <c r="B423" s="472"/>
      <c r="C423" s="472"/>
      <c r="D423" s="1826"/>
      <c r="E423" s="1826"/>
      <c r="F423" s="1826"/>
      <c r="I423" s="486"/>
    </row>
    <row r="424" spans="1:9">
      <c r="A424" s="472"/>
      <c r="B424" s="472"/>
      <c r="C424" s="472"/>
      <c r="D424" s="1826"/>
      <c r="E424" s="1826"/>
      <c r="F424" s="1826"/>
      <c r="I424" s="486"/>
    </row>
    <row r="425" spans="1:9">
      <c r="A425" s="472"/>
      <c r="B425" s="472"/>
      <c r="C425" s="472"/>
      <c r="D425" s="1826"/>
      <c r="E425" s="1826"/>
      <c r="F425" s="1826"/>
      <c r="I425" s="486"/>
    </row>
    <row r="426" spans="1:9">
      <c r="A426" s="472"/>
      <c r="B426" s="472"/>
      <c r="C426" s="472"/>
      <c r="D426" s="1826"/>
      <c r="E426" s="1826"/>
      <c r="F426" s="1826"/>
      <c r="I426" s="486"/>
    </row>
    <row r="427" spans="1:9">
      <c r="A427" s="472"/>
      <c r="B427" s="472"/>
      <c r="C427" s="472"/>
      <c r="D427" s="1826"/>
      <c r="E427" s="1826"/>
      <c r="F427" s="1826"/>
      <c r="I427" s="486"/>
    </row>
    <row r="428" spans="1:9">
      <c r="A428" s="472"/>
      <c r="B428" s="472"/>
      <c r="C428" s="472"/>
      <c r="D428" s="1826"/>
      <c r="E428" s="1826"/>
      <c r="F428" s="1826"/>
      <c r="I428" s="486"/>
    </row>
    <row r="429" spans="1:9">
      <c r="A429" s="472"/>
      <c r="B429" s="472"/>
      <c r="C429" s="472"/>
      <c r="D429" s="1826"/>
      <c r="E429" s="1826"/>
      <c r="F429" s="1826"/>
      <c r="I429" s="486"/>
    </row>
    <row r="430" spans="1:9">
      <c r="A430" s="472"/>
      <c r="B430" s="472"/>
      <c r="C430" s="472"/>
      <c r="D430" s="1826"/>
      <c r="E430" s="1826"/>
      <c r="F430" s="1826"/>
      <c r="I430" s="486"/>
    </row>
    <row r="431" spans="1:9">
      <c r="A431" s="472"/>
      <c r="B431" s="472"/>
      <c r="C431" s="492"/>
      <c r="D431" s="1826"/>
      <c r="E431" s="1826"/>
      <c r="F431" s="1826"/>
      <c r="I431" s="486"/>
    </row>
    <row r="432" spans="1:9">
      <c r="A432" s="472"/>
      <c r="B432" s="472"/>
      <c r="C432" s="492"/>
      <c r="D432" s="1826"/>
      <c r="E432" s="1826"/>
      <c r="F432" s="1826"/>
      <c r="I432" s="486"/>
    </row>
    <row r="433" spans="1:9">
      <c r="A433" s="472"/>
      <c r="B433" s="472"/>
      <c r="C433" s="472"/>
      <c r="D433" s="1826"/>
      <c r="E433" s="1826"/>
      <c r="F433" s="1826"/>
      <c r="I433" s="486"/>
    </row>
    <row r="434" spans="1:9">
      <c r="A434" s="472"/>
      <c r="B434" s="472"/>
      <c r="C434" s="492"/>
      <c r="D434" s="1826"/>
      <c r="E434" s="1826"/>
      <c r="F434" s="1826"/>
      <c r="I434" s="486"/>
    </row>
    <row r="435" spans="1:9">
      <c r="A435" s="472"/>
      <c r="B435" s="472"/>
      <c r="C435" s="492"/>
      <c r="D435" s="1826"/>
      <c r="E435" s="1826"/>
      <c r="F435" s="1826"/>
      <c r="I435" s="486"/>
    </row>
    <row r="436" spans="1:9">
      <c r="A436" s="472"/>
      <c r="B436" s="472"/>
      <c r="C436" s="492"/>
      <c r="D436" s="1826"/>
      <c r="E436" s="1826"/>
      <c r="F436" s="1826"/>
      <c r="I436" s="486"/>
    </row>
    <row r="437" spans="1:9">
      <c r="A437" s="472"/>
      <c r="B437" s="472"/>
      <c r="C437" s="472"/>
      <c r="D437" s="443"/>
      <c r="E437" s="443"/>
      <c r="F437" s="442"/>
      <c r="I437" s="486"/>
    </row>
    <row r="438" spans="1:9">
      <c r="A438" s="472"/>
      <c r="B438" s="481" t="s">
        <v>2830</v>
      </c>
      <c r="C438" s="472"/>
      <c r="D438" s="1826" t="s">
        <v>1135</v>
      </c>
      <c r="E438" s="1826"/>
      <c r="F438" s="1826"/>
      <c r="I438" s="486"/>
    </row>
    <row r="439" spans="1:9">
      <c r="A439" s="472"/>
      <c r="B439" s="472"/>
      <c r="C439" s="472"/>
      <c r="D439" s="1826"/>
      <c r="E439" s="1826"/>
      <c r="F439" s="1826"/>
      <c r="I439" s="486"/>
    </row>
    <row r="440" spans="1:9">
      <c r="A440" s="472"/>
      <c r="B440" s="472"/>
      <c r="C440" s="472"/>
      <c r="D440" s="447"/>
      <c r="E440" s="447"/>
      <c r="F440" s="447"/>
      <c r="I440" s="486"/>
    </row>
    <row r="441" spans="1:9" ht="14.45" customHeight="1">
      <c r="A441" s="480"/>
      <c r="B441" s="481" t="s">
        <v>2830</v>
      </c>
      <c r="D441" s="1826" t="s">
        <v>1850</v>
      </c>
      <c r="E441" s="1826"/>
      <c r="F441" s="1826"/>
      <c r="I441" s="486"/>
    </row>
    <row r="442" spans="1:9" ht="14.45" customHeight="1">
      <c r="A442" s="480"/>
      <c r="D442" s="1826"/>
      <c r="E442" s="1826"/>
      <c r="F442" s="1826"/>
      <c r="I442" s="486"/>
    </row>
    <row r="443" spans="1:9" ht="14.45" customHeight="1">
      <c r="A443" s="480"/>
      <c r="D443" s="1826"/>
      <c r="E443" s="1826"/>
      <c r="F443" s="1826"/>
      <c r="I443" s="486"/>
    </row>
    <row r="444" spans="1:9" ht="14.45" customHeight="1">
      <c r="A444" s="480"/>
      <c r="D444" s="1826"/>
      <c r="E444" s="1826"/>
      <c r="F444" s="1826"/>
      <c r="I444" s="486"/>
    </row>
    <row r="445" spans="1:9" ht="14.45" customHeight="1">
      <c r="A445" s="480"/>
      <c r="D445" s="1826"/>
      <c r="E445" s="1826"/>
      <c r="F445" s="1826"/>
      <c r="I445" s="486"/>
    </row>
    <row r="446" spans="1:9" ht="14.45" customHeight="1">
      <c r="A446" s="480"/>
      <c r="D446" s="381"/>
      <c r="E446" s="381"/>
      <c r="F446" s="381"/>
      <c r="I446" s="486"/>
    </row>
    <row r="447" spans="1:9" ht="13.7" customHeight="1">
      <c r="A447" s="480"/>
      <c r="B447" s="481" t="s">
        <v>2830</v>
      </c>
      <c r="C447" s="472"/>
      <c r="D447" s="1826" t="s">
        <v>1239</v>
      </c>
      <c r="E447" s="1826"/>
      <c r="F447" s="1826"/>
      <c r="I447" s="486"/>
    </row>
    <row r="448" spans="1:9" ht="14.25">
      <c r="A448" s="493"/>
      <c r="B448" s="493"/>
      <c r="C448" s="472"/>
      <c r="D448" s="1826"/>
      <c r="E448" s="1826"/>
      <c r="F448" s="1826"/>
      <c r="I448" s="486"/>
    </row>
    <row r="449" spans="1:9" ht="14.25">
      <c r="A449" s="493"/>
      <c r="B449" s="493"/>
      <c r="C449" s="472"/>
      <c r="D449" s="1826"/>
      <c r="E449" s="1826"/>
      <c r="F449" s="1826"/>
      <c r="I449" s="486"/>
    </row>
    <row r="450" spans="1:9" ht="14.25">
      <c r="A450" s="493"/>
      <c r="B450" s="493"/>
      <c r="C450" s="472"/>
      <c r="D450" s="1826"/>
      <c r="E450" s="1826"/>
      <c r="F450" s="1826"/>
      <c r="I450" s="486"/>
    </row>
    <row r="451" spans="1:9" ht="15.75" customHeight="1">
      <c r="A451" s="493"/>
      <c r="B451" s="493"/>
      <c r="C451" s="472"/>
      <c r="D451" s="1883" t="s">
        <v>2685</v>
      </c>
      <c r="E451" s="1826"/>
      <c r="F451" s="1826"/>
      <c r="I451" s="486"/>
    </row>
    <row r="452" spans="1:9">
      <c r="D452" s="442"/>
      <c r="E452" s="442"/>
      <c r="F452" s="442"/>
      <c r="I452" s="486"/>
    </row>
    <row r="453" spans="1:9" ht="14.25">
      <c r="A453" s="480"/>
      <c r="B453" s="481" t="s">
        <v>2830</v>
      </c>
      <c r="C453" s="483"/>
      <c r="D453" s="1854" t="s">
        <v>2012</v>
      </c>
      <c r="E453" s="1854"/>
      <c r="F453" s="1854"/>
      <c r="I453" s="486"/>
    </row>
    <row r="454" spans="1:9" ht="14.25">
      <c r="A454" s="480"/>
      <c r="B454" s="480"/>
      <c r="D454" s="1854"/>
      <c r="E454" s="1854"/>
      <c r="F454" s="1854"/>
      <c r="I454" s="486"/>
    </row>
    <row r="455" spans="1:9">
      <c r="D455" s="1854"/>
      <c r="E455" s="1854"/>
      <c r="F455" s="1854"/>
      <c r="I455" s="486"/>
    </row>
    <row r="456" spans="1:9">
      <c r="D456" s="1854"/>
      <c r="E456" s="1854"/>
      <c r="F456" s="1854"/>
      <c r="I456" s="486"/>
    </row>
    <row r="457" spans="1:9">
      <c r="D457" s="1854"/>
      <c r="E457" s="1854"/>
      <c r="F457" s="1854"/>
      <c r="I457" s="486"/>
    </row>
    <row r="458" spans="1:9">
      <c r="D458" s="1854"/>
      <c r="E458" s="1854"/>
      <c r="F458" s="1854"/>
      <c r="I458" s="486"/>
    </row>
    <row r="459" spans="1:9">
      <c r="D459" s="1854"/>
      <c r="E459" s="1854"/>
      <c r="F459" s="1854"/>
      <c r="I459" s="486"/>
    </row>
    <row r="460" spans="1:9">
      <c r="D460" s="1854"/>
      <c r="E460" s="1854"/>
      <c r="F460" s="1854"/>
      <c r="I460" s="486"/>
    </row>
    <row r="461" spans="1:9">
      <c r="D461" s="1854"/>
      <c r="E461" s="1854"/>
      <c r="F461" s="1854"/>
      <c r="I461" s="486"/>
    </row>
    <row r="462" spans="1:9">
      <c r="D462" s="1854"/>
      <c r="E462" s="1854"/>
      <c r="F462" s="1854"/>
      <c r="I462" s="486"/>
    </row>
    <row r="463" spans="1:9">
      <c r="D463" s="1854"/>
      <c r="E463" s="1854"/>
      <c r="F463" s="1854"/>
      <c r="I463" s="486"/>
    </row>
    <row r="464" spans="1:9">
      <c r="D464" s="1854"/>
      <c r="E464" s="1854"/>
      <c r="F464" s="1854"/>
      <c r="I464" s="486"/>
    </row>
    <row r="465" spans="1:9">
      <c r="D465" s="1854"/>
      <c r="E465" s="1854"/>
      <c r="F465" s="1854"/>
      <c r="I465" s="486"/>
    </row>
    <row r="466" spans="1:9">
      <c r="A466" s="398"/>
      <c r="B466" s="398"/>
      <c r="C466" s="398"/>
      <c r="D466" s="1854"/>
      <c r="E466" s="1854"/>
      <c r="F466" s="1854"/>
      <c r="I466" s="486"/>
    </row>
    <row r="467" spans="1:9">
      <c r="A467" s="398"/>
      <c r="B467" s="398"/>
      <c r="C467" s="398"/>
      <c r="D467" s="1854"/>
      <c r="E467" s="1854"/>
      <c r="F467" s="1854"/>
      <c r="I467" s="486"/>
    </row>
    <row r="468" spans="1:9">
      <c r="A468" s="398"/>
      <c r="B468" s="398"/>
      <c r="C468" s="398"/>
      <c r="D468" s="1854"/>
      <c r="E468" s="1854"/>
      <c r="F468" s="1854"/>
      <c r="I468" s="486"/>
    </row>
    <row r="469" spans="1:9">
      <c r="A469" s="398"/>
      <c r="B469" s="398"/>
      <c r="C469" s="398"/>
      <c r="D469" s="1854"/>
      <c r="E469" s="1854"/>
      <c r="F469" s="1854"/>
      <c r="I469" s="486"/>
    </row>
    <row r="470" spans="1:9">
      <c r="A470" s="398"/>
      <c r="B470" s="398"/>
      <c r="C470" s="398"/>
      <c r="D470" s="1854"/>
      <c r="E470" s="1854"/>
      <c r="F470" s="1854"/>
      <c r="I470" s="486"/>
    </row>
    <row r="471" spans="1:9">
      <c r="A471" s="398"/>
      <c r="B471" s="398"/>
      <c r="C471" s="398"/>
      <c r="D471" s="1854"/>
      <c r="E471" s="1854"/>
      <c r="F471" s="1854"/>
      <c r="I471" s="486"/>
    </row>
    <row r="472" spans="1:9">
      <c r="A472" s="398"/>
      <c r="B472" s="398"/>
      <c r="C472" s="398"/>
      <c r="D472" s="1854"/>
      <c r="E472" s="1854"/>
      <c r="F472" s="1854"/>
      <c r="I472" s="486"/>
    </row>
    <row r="473" spans="1:9">
      <c r="A473" s="398"/>
      <c r="B473" s="398"/>
      <c r="C473" s="398"/>
      <c r="D473" s="1854"/>
      <c r="E473" s="1854"/>
      <c r="F473" s="1854"/>
      <c r="I473" s="486"/>
    </row>
    <row r="474" spans="1:9">
      <c r="A474" s="398"/>
      <c r="B474" s="398"/>
      <c r="C474" s="398"/>
      <c r="D474" s="1854"/>
      <c r="E474" s="1854"/>
      <c r="F474" s="1854"/>
      <c r="I474" s="486"/>
    </row>
    <row r="475" spans="1:9">
      <c r="A475" s="398"/>
      <c r="B475" s="398"/>
      <c r="C475" s="398"/>
      <c r="D475" s="1854"/>
      <c r="E475" s="1854"/>
      <c r="F475" s="1854"/>
      <c r="I475" s="486"/>
    </row>
    <row r="476" spans="1:9">
      <c r="A476" s="398"/>
      <c r="B476" s="398"/>
      <c r="C476" s="398"/>
      <c r="D476" s="1854"/>
      <c r="E476" s="1854"/>
      <c r="F476" s="1854"/>
      <c r="I476" s="486"/>
    </row>
    <row r="477" spans="1:9">
      <c r="A477" s="398"/>
      <c r="B477" s="398"/>
      <c r="C477" s="398"/>
      <c r="D477" s="1854"/>
      <c r="E477" s="1854"/>
      <c r="F477" s="1854"/>
      <c r="I477" s="486"/>
    </row>
    <row r="478" spans="1:9">
      <c r="A478" s="398"/>
      <c r="B478" s="398"/>
      <c r="C478" s="398"/>
      <c r="D478" s="1854"/>
      <c r="E478" s="1854"/>
      <c r="F478" s="1854"/>
      <c r="I478" s="486"/>
    </row>
    <row r="479" spans="1:9">
      <c r="A479" s="398"/>
      <c r="B479" s="398"/>
      <c r="C479" s="398"/>
      <c r="D479" s="1854"/>
      <c r="E479" s="1854"/>
      <c r="F479" s="1854"/>
      <c r="I479" s="486"/>
    </row>
    <row r="480" spans="1:9">
      <c r="A480" s="398"/>
      <c r="B480" s="398"/>
      <c r="C480" s="398"/>
      <c r="D480" s="1854"/>
      <c r="E480" s="1854"/>
      <c r="F480" s="1854"/>
      <c r="I480" s="486"/>
    </row>
    <row r="481" spans="1:9">
      <c r="A481" s="398"/>
      <c r="B481" s="398"/>
      <c r="C481" s="398"/>
      <c r="D481" s="1854"/>
      <c r="E481" s="1854"/>
      <c r="F481" s="1854"/>
      <c r="I481" s="486"/>
    </row>
    <row r="482" spans="1:9">
      <c r="D482" s="1854"/>
      <c r="E482" s="1854"/>
      <c r="F482" s="1854"/>
      <c r="I482" s="486"/>
    </row>
    <row r="483" spans="1:9" ht="40.700000000000003" customHeight="1">
      <c r="D483" s="1854"/>
      <c r="E483" s="1854"/>
      <c r="F483" s="1854"/>
      <c r="I483" s="486"/>
    </row>
    <row r="484" spans="1:9">
      <c r="D484" s="442"/>
      <c r="E484" s="442"/>
      <c r="F484" s="442"/>
      <c r="I484" s="486"/>
    </row>
    <row r="485" spans="1:9" ht="14.25">
      <c r="A485" s="480"/>
      <c r="B485" s="481" t="s">
        <v>2830</v>
      </c>
      <c r="C485" s="483"/>
      <c r="D485" s="1854" t="s">
        <v>1136</v>
      </c>
      <c r="E485" s="1854"/>
      <c r="F485" s="1854"/>
      <c r="I485" s="486"/>
    </row>
    <row r="486" spans="1:9">
      <c r="D486" s="1854"/>
      <c r="E486" s="1854"/>
      <c r="F486" s="1854"/>
      <c r="I486" s="486"/>
    </row>
    <row r="487" spans="1:9">
      <c r="D487" s="1854"/>
      <c r="E487" s="1854"/>
      <c r="F487" s="1854"/>
      <c r="I487" s="486"/>
    </row>
    <row r="488" spans="1:9">
      <c r="D488" s="441"/>
      <c r="E488" s="441"/>
      <c r="F488" s="441"/>
      <c r="I488" s="486"/>
    </row>
    <row r="489" spans="1:9" ht="14.25">
      <c r="B489" s="481" t="s">
        <v>2830</v>
      </c>
      <c r="C489" s="480"/>
      <c r="D489" s="1854" t="s">
        <v>1196</v>
      </c>
      <c r="E489" s="1854"/>
      <c r="F489" s="1854"/>
      <c r="I489" s="486"/>
    </row>
    <row r="490" spans="1:9">
      <c r="D490" s="1854"/>
      <c r="E490" s="1854"/>
      <c r="F490" s="1854"/>
      <c r="I490" s="486"/>
    </row>
    <row r="491" spans="1:9">
      <c r="D491" s="442"/>
      <c r="E491" s="442"/>
      <c r="F491" s="442"/>
      <c r="I491" s="486"/>
    </row>
    <row r="492" spans="1:9" ht="14.25">
      <c r="B492" s="481" t="s">
        <v>2830</v>
      </c>
      <c r="C492" s="480"/>
      <c r="D492" s="1854" t="s">
        <v>1137</v>
      </c>
      <c r="E492" s="1854"/>
      <c r="F492" s="1854"/>
      <c r="I492" s="486"/>
    </row>
    <row r="493" spans="1:9">
      <c r="D493" s="1854"/>
      <c r="E493" s="1854"/>
      <c r="F493" s="1854"/>
      <c r="I493" s="486"/>
    </row>
    <row r="494" spans="1:9">
      <c r="D494" s="1854"/>
      <c r="E494" s="1854"/>
      <c r="F494" s="1854"/>
      <c r="I494" s="486"/>
    </row>
    <row r="495" spans="1:9">
      <c r="D495" s="1854"/>
      <c r="E495" s="1854"/>
      <c r="F495" s="1854"/>
      <c r="I495" s="486"/>
    </row>
    <row r="496" spans="1:9">
      <c r="B496" s="481" t="s">
        <v>2830</v>
      </c>
      <c r="D496" s="1854"/>
      <c r="E496" s="1854"/>
      <c r="F496" s="1854"/>
      <c r="I496" s="486"/>
    </row>
    <row r="497" spans="1:9">
      <c r="A497" s="398"/>
      <c r="B497" s="398"/>
      <c r="C497" s="398"/>
      <c r="D497" s="1854"/>
      <c r="E497" s="1854"/>
      <c r="F497" s="1854"/>
      <c r="I497" s="486"/>
    </row>
    <row r="498" spans="1:9">
      <c r="A498" s="398"/>
      <c r="C498" s="398"/>
      <c r="D498" s="1854"/>
      <c r="E498" s="1854"/>
      <c r="F498" s="1854"/>
      <c r="I498" s="486"/>
    </row>
    <row r="499" spans="1:9">
      <c r="A499" s="398"/>
      <c r="B499" s="481" t="s">
        <v>2830</v>
      </c>
      <c r="C499" s="398"/>
      <c r="D499" s="1854"/>
      <c r="E499" s="1854"/>
      <c r="F499" s="1854"/>
      <c r="I499" s="486"/>
    </row>
    <row r="500" spans="1:9">
      <c r="A500" s="398"/>
      <c r="B500" s="398"/>
      <c r="C500" s="398"/>
      <c r="D500" s="1854"/>
      <c r="E500" s="1854"/>
      <c r="F500" s="1854"/>
      <c r="I500" s="486"/>
    </row>
    <row r="501" spans="1:9">
      <c r="A501" s="398"/>
      <c r="C501" s="398"/>
      <c r="D501" s="1854"/>
      <c r="E501" s="1854"/>
      <c r="F501" s="1854"/>
      <c r="I501" s="486"/>
    </row>
    <row r="502" spans="1:9">
      <c r="A502" s="398"/>
      <c r="C502" s="398"/>
      <c r="D502" s="1854"/>
      <c r="E502" s="1854"/>
      <c r="F502" s="1854"/>
      <c r="I502" s="486"/>
    </row>
    <row r="503" spans="1:9">
      <c r="A503" s="398"/>
      <c r="C503" s="398"/>
      <c r="D503" s="1854"/>
      <c r="E503" s="1854"/>
      <c r="F503" s="1854"/>
      <c r="I503" s="486"/>
    </row>
    <row r="504" spans="1:9">
      <c r="A504" s="398"/>
      <c r="B504" s="481" t="s">
        <v>2830</v>
      </c>
      <c r="C504" s="398"/>
      <c r="D504" s="1854"/>
      <c r="E504" s="1854"/>
      <c r="F504" s="1854"/>
      <c r="I504" s="486"/>
    </row>
    <row r="505" spans="1:9">
      <c r="A505" s="398"/>
      <c r="C505" s="398"/>
      <c r="D505" s="1854"/>
      <c r="E505" s="1854"/>
      <c r="F505" s="1854"/>
      <c r="I505" s="486"/>
    </row>
    <row r="506" spans="1:9">
      <c r="A506" s="398"/>
      <c r="B506" s="481" t="s">
        <v>2830</v>
      </c>
      <c r="C506" s="398"/>
      <c r="D506" s="1854" t="s">
        <v>1138</v>
      </c>
      <c r="E506" s="1854"/>
      <c r="F506" s="1854"/>
      <c r="I506" s="486"/>
    </row>
    <row r="507" spans="1:9">
      <c r="A507" s="398"/>
      <c r="B507" s="398"/>
      <c r="C507" s="398"/>
      <c r="D507" s="1854"/>
      <c r="E507" s="1854"/>
      <c r="F507" s="1854"/>
      <c r="I507" s="486"/>
    </row>
    <row r="508" spans="1:9">
      <c r="A508" s="398"/>
      <c r="B508" s="398"/>
      <c r="C508" s="398"/>
      <c r="D508" s="1854"/>
      <c r="E508" s="1854"/>
      <c r="F508" s="1854"/>
      <c r="I508" s="486"/>
    </row>
    <row r="509" spans="1:9">
      <c r="A509" s="398"/>
      <c r="B509" s="398"/>
      <c r="C509" s="398"/>
      <c r="D509" s="1854"/>
      <c r="E509" s="1854"/>
      <c r="F509" s="1854"/>
      <c r="I509" s="486"/>
    </row>
    <row r="510" spans="1:9">
      <c r="D510" s="1854"/>
      <c r="E510" s="1854"/>
      <c r="F510" s="1854"/>
      <c r="I510" s="486"/>
    </row>
    <row r="511" spans="1:9">
      <c r="D511" s="442"/>
      <c r="E511" s="442"/>
      <c r="F511" s="442"/>
      <c r="I511" s="486"/>
    </row>
    <row r="512" spans="1:9">
      <c r="B512" s="481" t="s">
        <v>2830</v>
      </c>
      <c r="D512" s="1856" t="s">
        <v>1139</v>
      </c>
      <c r="E512" s="1856"/>
      <c r="F512" s="1856"/>
      <c r="I512" s="486"/>
    </row>
    <row r="513" spans="1:9">
      <c r="A513" s="442"/>
      <c r="B513" s="442"/>
      <c r="I513" s="486"/>
    </row>
    <row r="514" spans="1:9">
      <c r="A514" s="1855" t="s">
        <v>1050</v>
      </c>
      <c r="B514" s="1855"/>
      <c r="C514" s="1855"/>
      <c r="D514" s="1855"/>
      <c r="E514" s="1855"/>
      <c r="F514" s="1855"/>
      <c r="G514" s="1855"/>
      <c r="H514" s="1018"/>
      <c r="I514" s="1142"/>
    </row>
    <row r="515" spans="1:9">
      <c r="A515" s="442"/>
      <c r="B515" s="442"/>
      <c r="I515" s="486"/>
    </row>
    <row r="516" spans="1:9">
      <c r="D516" s="1882" t="s">
        <v>883</v>
      </c>
      <c r="E516" s="1882"/>
      <c r="F516" s="1882"/>
      <c r="I516" s="486"/>
    </row>
    <row r="517" spans="1:9" ht="14.25">
      <c r="A517" s="480"/>
      <c r="B517" s="480"/>
      <c r="D517" s="1864" t="s">
        <v>1140</v>
      </c>
      <c r="E517" s="1864"/>
      <c r="F517" s="1864"/>
      <c r="I517" s="486"/>
    </row>
    <row r="518" spans="1:9" ht="14.25">
      <c r="A518" s="480"/>
      <c r="B518" s="480"/>
      <c r="D518" s="443"/>
      <c r="I518" s="486"/>
    </row>
    <row r="519" spans="1:9" ht="14.25">
      <c r="A519" s="480"/>
      <c r="B519" s="481" t="s">
        <v>2830</v>
      </c>
      <c r="D519" s="1826" t="s">
        <v>1141</v>
      </c>
      <c r="E519" s="1826"/>
      <c r="F519" s="1826"/>
      <c r="I519" s="486"/>
    </row>
    <row r="520" spans="1:9" ht="14.25">
      <c r="A520" s="480"/>
      <c r="B520" s="480"/>
      <c r="D520" s="1826"/>
      <c r="E520" s="1826"/>
      <c r="F520" s="1826"/>
      <c r="I520" s="486"/>
    </row>
    <row r="521" spans="1:9" ht="14.25">
      <c r="A521" s="480"/>
      <c r="B521" s="480"/>
      <c r="D521" s="442"/>
      <c r="I521" s="486"/>
    </row>
    <row r="522" spans="1:9" ht="12.75" customHeight="1">
      <c r="B522" s="481" t="s">
        <v>2830</v>
      </c>
      <c r="D522" s="1870" t="s">
        <v>1272</v>
      </c>
      <c r="E522" s="1870"/>
      <c r="F522" s="1870"/>
      <c r="I522" s="486"/>
    </row>
    <row r="523" spans="1:9" ht="14.25">
      <c r="A523" s="480"/>
      <c r="D523" s="1870"/>
      <c r="E523" s="1870"/>
      <c r="F523" s="1870"/>
      <c r="I523" s="486"/>
    </row>
    <row r="524" spans="1:9" ht="14.25">
      <c r="A524" s="480"/>
      <c r="B524" s="480"/>
      <c r="D524" s="1870"/>
      <c r="E524" s="1870"/>
      <c r="F524" s="1870"/>
      <c r="I524" s="486"/>
    </row>
    <row r="525" spans="1:9" ht="14.25">
      <c r="A525" s="480"/>
      <c r="B525" s="480"/>
      <c r="D525" s="1870"/>
      <c r="E525" s="1870"/>
      <c r="F525" s="1870"/>
      <c r="I525" s="486"/>
    </row>
    <row r="526" spans="1:9" ht="14.25">
      <c r="A526" s="480"/>
      <c r="D526" s="516"/>
      <c r="E526" s="516"/>
      <c r="F526" s="516"/>
      <c r="I526" s="486"/>
    </row>
    <row r="527" spans="1:9" ht="14.25">
      <c r="A527" s="480"/>
      <c r="B527" s="481" t="s">
        <v>2830</v>
      </c>
      <c r="D527" s="1856" t="s">
        <v>1142</v>
      </c>
      <c r="E527" s="1856"/>
      <c r="F527" s="1856"/>
      <c r="I527" s="486"/>
    </row>
    <row r="528" spans="1:9" ht="14.25">
      <c r="A528" s="480"/>
      <c r="B528" s="480"/>
      <c r="D528" s="442"/>
      <c r="I528" s="486"/>
    </row>
    <row r="529" spans="1:9" ht="14.25">
      <c r="A529" s="480"/>
      <c r="B529" s="481" t="s">
        <v>2830</v>
      </c>
      <c r="D529" s="1854" t="s">
        <v>1143</v>
      </c>
      <c r="E529" s="1854"/>
      <c r="F529" s="1854"/>
      <c r="I529" s="486"/>
    </row>
    <row r="530" spans="1:9" ht="14.25">
      <c r="A530" s="480"/>
      <c r="D530" s="1854"/>
      <c r="E530" s="1854"/>
      <c r="F530" s="1854"/>
      <c r="I530" s="486"/>
    </row>
    <row r="531" spans="1:9">
      <c r="A531" s="486"/>
      <c r="B531" s="486"/>
      <c r="D531" s="443"/>
      <c r="I531" s="486"/>
    </row>
    <row r="532" spans="1:9">
      <c r="A532" s="486"/>
      <c r="B532" s="481" t="s">
        <v>2830</v>
      </c>
      <c r="D532" s="1856" t="s">
        <v>1144</v>
      </c>
      <c r="E532" s="1856"/>
      <c r="F532" s="1856"/>
      <c r="I532" s="486"/>
    </row>
    <row r="533" spans="1:9">
      <c r="D533" s="442"/>
      <c r="E533" s="442"/>
      <c r="F533" s="442"/>
      <c r="I533" s="486"/>
    </row>
    <row r="534" spans="1:9">
      <c r="B534" s="481" t="s">
        <v>2830</v>
      </c>
      <c r="D534" s="1854" t="s">
        <v>2215</v>
      </c>
      <c r="E534" s="1854"/>
      <c r="F534" s="1854"/>
      <c r="I534" s="486"/>
    </row>
    <row r="535" spans="1:9">
      <c r="D535" s="1854"/>
      <c r="E535" s="1854"/>
      <c r="F535" s="1854"/>
      <c r="I535" s="486"/>
    </row>
    <row r="536" spans="1:9">
      <c r="D536" s="1854"/>
      <c r="E536" s="1854"/>
      <c r="F536" s="1854"/>
      <c r="I536" s="486"/>
    </row>
    <row r="537" spans="1:9">
      <c r="D537" s="442"/>
      <c r="E537" s="442"/>
      <c r="F537" s="442"/>
      <c r="I537" s="486"/>
    </row>
    <row r="538" spans="1:9" ht="14.25">
      <c r="A538" s="480"/>
      <c r="B538" s="480"/>
      <c r="D538" s="442"/>
      <c r="I538" s="486"/>
    </row>
    <row r="539" spans="1:9">
      <c r="A539" s="1855" t="s">
        <v>1051</v>
      </c>
      <c r="B539" s="1855"/>
      <c r="C539" s="1855"/>
      <c r="D539" s="1855"/>
      <c r="E539" s="1855"/>
      <c r="F539" s="1855"/>
      <c r="G539" s="1855"/>
      <c r="H539" s="1018"/>
      <c r="I539" s="1142"/>
    </row>
    <row r="540" spans="1:9" ht="12" customHeight="1">
      <c r="A540" s="480"/>
      <c r="B540" s="480"/>
      <c r="D540" s="442"/>
      <c r="I540" s="486"/>
    </row>
    <row r="541" spans="1:9">
      <c r="C541" s="478"/>
      <c r="D541" s="1857" t="s">
        <v>793</v>
      </c>
      <c r="E541" s="1857"/>
      <c r="F541" s="1857"/>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2829</v>
      </c>
      <c r="C545" s="479"/>
      <c r="D545" s="1826" t="s">
        <v>2013</v>
      </c>
      <c r="E545" s="1826"/>
      <c r="F545" s="1826"/>
      <c r="I545" s="486"/>
    </row>
    <row r="546" spans="1:9">
      <c r="A546" s="479"/>
      <c r="B546" s="479"/>
      <c r="C546" s="479"/>
      <c r="D546" s="1826"/>
      <c r="E546" s="1826"/>
      <c r="F546" s="1826"/>
      <c r="I546" s="486"/>
    </row>
    <row r="547" spans="1:9">
      <c r="A547" s="479"/>
      <c r="B547" s="479"/>
      <c r="C547" s="479"/>
      <c r="D547" s="447"/>
      <c r="E547" s="447"/>
      <c r="F547" s="447"/>
      <c r="I547" s="476"/>
    </row>
    <row r="548" spans="1:9" ht="12.75" customHeight="1">
      <c r="A548" s="479"/>
      <c r="B548" s="481" t="s">
        <v>2829</v>
      </c>
      <c r="D548" s="382" t="s">
        <v>1871</v>
      </c>
      <c r="E548" s="381"/>
      <c r="F548" s="381"/>
      <c r="I548" s="486"/>
    </row>
    <row r="549" spans="1:9">
      <c r="A549" s="479"/>
      <c r="B549" s="479"/>
      <c r="C549" s="479"/>
      <c r="D549" s="381"/>
      <c r="E549" s="96" t="s">
        <v>1872</v>
      </c>
      <c r="I549" s="486"/>
    </row>
    <row r="550" spans="1:9">
      <c r="A550" s="479"/>
      <c r="B550" s="479"/>
      <c r="D550" s="1834" t="s">
        <v>2014</v>
      </c>
      <c r="E550" s="1834"/>
      <c r="F550" s="1834"/>
      <c r="I550" s="486"/>
    </row>
    <row r="551" spans="1:9">
      <c r="A551" s="479"/>
      <c r="B551" s="479"/>
      <c r="D551" s="1834"/>
      <c r="E551" s="1834"/>
      <c r="F551" s="1834"/>
      <c r="I551" s="486"/>
    </row>
    <row r="552" spans="1:9">
      <c r="A552" s="479"/>
      <c r="B552" s="479"/>
      <c r="C552" s="479"/>
      <c r="D552" s="1834"/>
      <c r="E552" s="1834"/>
      <c r="F552" s="1834"/>
      <c r="I552" s="486"/>
    </row>
    <row r="553" spans="1:9">
      <c r="A553" s="479"/>
      <c r="B553" s="479"/>
      <c r="C553" s="479"/>
      <c r="D553" s="494"/>
      <c r="F553" s="442"/>
      <c r="I553" s="486"/>
    </row>
    <row r="554" spans="1:9" ht="13.15" customHeight="1">
      <c r="A554" s="479"/>
      <c r="B554" s="481" t="s">
        <v>2830</v>
      </c>
      <c r="C554" s="479"/>
      <c r="D554" s="1854" t="s">
        <v>2625</v>
      </c>
      <c r="E554" s="1854"/>
      <c r="F554" s="1854"/>
      <c r="I554" s="486"/>
    </row>
    <row r="555" spans="1:9" ht="13.15" customHeight="1">
      <c r="A555" s="479"/>
      <c r="B555" s="479"/>
      <c r="C555" s="479"/>
      <c r="D555" s="1854"/>
      <c r="E555" s="1854"/>
      <c r="F555" s="1854"/>
      <c r="I555" s="486"/>
    </row>
    <row r="556" spans="1:9">
      <c r="A556" s="479"/>
      <c r="B556" s="479"/>
      <c r="C556" s="479"/>
      <c r="D556" s="1854"/>
      <c r="E556" s="1854"/>
      <c r="F556" s="1854"/>
      <c r="I556" s="486"/>
    </row>
    <row r="557" spans="1:9" ht="12" customHeight="1">
      <c r="A557" s="442"/>
      <c r="B557" s="442"/>
      <c r="C557" s="483"/>
      <c r="D557" s="442"/>
      <c r="F557" s="444"/>
      <c r="I557" s="486"/>
    </row>
    <row r="558" spans="1:9">
      <c r="A558" s="1855" t="s">
        <v>1052</v>
      </c>
      <c r="B558" s="1855"/>
      <c r="C558" s="1855"/>
      <c r="D558" s="1855"/>
      <c r="E558" s="1855"/>
      <c r="F558" s="1855"/>
      <c r="G558" s="1855"/>
      <c r="H558" s="1018"/>
      <c r="I558" s="1142"/>
    </row>
    <row r="559" spans="1:9">
      <c r="A559" s="442"/>
      <c r="B559" s="442"/>
      <c r="C559" s="483"/>
      <c r="F559" s="444"/>
      <c r="I559" s="486"/>
    </row>
    <row r="560" spans="1:9">
      <c r="B560" s="1860" t="s">
        <v>446</v>
      </c>
      <c r="C560" s="1860"/>
      <c r="D560" s="1860"/>
      <c r="E560" s="1860"/>
      <c r="F560" s="1860"/>
      <c r="I560" s="486"/>
    </row>
    <row r="561" spans="1:9">
      <c r="A561" s="442"/>
      <c r="B561" s="442"/>
      <c r="C561" s="483"/>
      <c r="D561" s="442"/>
      <c r="F561" s="442"/>
      <c r="I561" s="486"/>
    </row>
    <row r="562" spans="1:9">
      <c r="A562" s="1858" t="s">
        <v>1053</v>
      </c>
      <c r="B562" s="1858"/>
      <c r="C562" s="1858"/>
      <c r="D562" s="1858"/>
      <c r="E562" s="1858"/>
      <c r="F562" s="1858"/>
      <c r="G562" s="1858"/>
      <c r="H562" s="1018"/>
      <c r="I562" s="1142"/>
    </row>
    <row r="563" spans="1:9">
      <c r="A563" s="442"/>
      <c r="B563" s="442"/>
      <c r="C563" s="483"/>
      <c r="D563" s="442"/>
      <c r="F563" s="442"/>
      <c r="I563" s="486"/>
    </row>
    <row r="564" spans="1:9">
      <c r="C564" s="483"/>
      <c r="D564" s="1857" t="s">
        <v>683</v>
      </c>
      <c r="E564" s="1857"/>
      <c r="F564" s="1857"/>
      <c r="I564" s="486"/>
    </row>
    <row r="565" spans="1:9">
      <c r="C565" s="483"/>
      <c r="D565" s="1856" t="s">
        <v>1081</v>
      </c>
      <c r="E565" s="1856"/>
      <c r="F565" s="1856"/>
      <c r="I565" s="486"/>
    </row>
    <row r="566" spans="1:9">
      <c r="C566" s="483"/>
      <c r="D566" s="442"/>
      <c r="E566" s="442"/>
      <c r="F566" s="442"/>
      <c r="I566" s="486"/>
    </row>
    <row r="567" spans="1:9" ht="13.7" customHeight="1">
      <c r="A567" s="480"/>
      <c r="B567" s="481" t="s">
        <v>2829</v>
      </c>
      <c r="C567" s="483"/>
      <c r="D567" s="1856" t="s">
        <v>884</v>
      </c>
      <c r="E567" s="1856"/>
      <c r="F567" s="1856"/>
      <c r="I567" s="486"/>
    </row>
    <row r="568" spans="1:9" ht="13.7" customHeight="1">
      <c r="A568" s="483"/>
      <c r="B568" s="483"/>
      <c r="C568" s="483"/>
      <c r="D568" s="442"/>
      <c r="I568" s="486"/>
    </row>
    <row r="569" spans="1:9" ht="14.25">
      <c r="A569" s="480"/>
      <c r="B569" s="481" t="s">
        <v>2829</v>
      </c>
      <c r="C569" s="483"/>
      <c r="D569" s="1854" t="s">
        <v>1082</v>
      </c>
      <c r="E569" s="1854"/>
      <c r="F569" s="1854"/>
      <c r="I569" s="486"/>
    </row>
    <row r="570" spans="1:9">
      <c r="A570" s="483"/>
      <c r="B570" s="483"/>
      <c r="C570" s="483"/>
      <c r="D570" s="1854"/>
      <c r="E570" s="1854"/>
      <c r="F570" s="1854"/>
      <c r="I570" s="486"/>
    </row>
    <row r="571" spans="1:9">
      <c r="A571" s="483"/>
      <c r="B571" s="483"/>
      <c r="C571" s="483"/>
      <c r="D571" s="442"/>
      <c r="E571" s="442"/>
      <c r="F571" s="442"/>
      <c r="I571" s="486"/>
    </row>
    <row r="572" spans="1:9" ht="14.25">
      <c r="A572" s="480"/>
      <c r="B572" s="481" t="s">
        <v>2829</v>
      </c>
      <c r="C572" s="483"/>
      <c r="D572" s="1854" t="s">
        <v>1083</v>
      </c>
      <c r="E572" s="1854"/>
      <c r="F572" s="1854"/>
      <c r="I572" s="486"/>
    </row>
    <row r="573" spans="1:9">
      <c r="A573" s="483"/>
      <c r="B573" s="483"/>
      <c r="C573" s="483"/>
      <c r="D573" s="1854"/>
      <c r="E573" s="1854"/>
      <c r="F573" s="1854"/>
      <c r="I573" s="486"/>
    </row>
    <row r="574" spans="1:9">
      <c r="A574" s="483"/>
      <c r="B574" s="483"/>
      <c r="C574" s="483"/>
      <c r="D574" s="442"/>
      <c r="E574" s="442"/>
      <c r="F574" s="442"/>
      <c r="I574" s="486"/>
    </row>
    <row r="575" spans="1:9" ht="14.25">
      <c r="A575" s="480"/>
      <c r="B575" s="481" t="s">
        <v>2829</v>
      </c>
      <c r="C575" s="483"/>
      <c r="D575" s="1854" t="s">
        <v>1084</v>
      </c>
      <c r="E575" s="1854"/>
      <c r="F575" s="1854"/>
      <c r="I575" s="486"/>
    </row>
    <row r="576" spans="1:9">
      <c r="A576" s="483"/>
      <c r="B576" s="483"/>
      <c r="C576" s="483"/>
      <c r="D576" s="1854"/>
      <c r="E576" s="1854"/>
      <c r="F576" s="1854"/>
      <c r="I576" s="486"/>
    </row>
    <row r="577" spans="1:9">
      <c r="A577" s="483"/>
      <c r="B577" s="483"/>
      <c r="C577" s="483"/>
      <c r="D577" s="442"/>
      <c r="E577" s="442"/>
      <c r="F577" s="442"/>
      <c r="I577" s="486"/>
    </row>
    <row r="578" spans="1:9" ht="14.25">
      <c r="A578" s="480"/>
      <c r="B578" s="481" t="s">
        <v>2829</v>
      </c>
      <c r="C578" s="483"/>
      <c r="D578" s="1854" t="s">
        <v>1085</v>
      </c>
      <c r="E578" s="1854"/>
      <c r="F578" s="1854"/>
      <c r="I578" s="486"/>
    </row>
    <row r="579" spans="1:9">
      <c r="A579" s="483"/>
      <c r="B579" s="483"/>
      <c r="C579" s="483"/>
      <c r="D579" s="1854"/>
      <c r="E579" s="1854"/>
      <c r="F579" s="1854"/>
      <c r="I579" s="486"/>
    </row>
    <row r="580" spans="1:9">
      <c r="A580" s="483"/>
      <c r="B580" s="483"/>
      <c r="C580" s="483"/>
      <c r="D580" s="1854"/>
      <c r="E580" s="1854"/>
      <c r="F580" s="1854"/>
      <c r="I580" s="486"/>
    </row>
    <row r="581" spans="1:9">
      <c r="A581" s="483"/>
      <c r="B581" s="483"/>
      <c r="C581" s="483"/>
      <c r="D581" s="442"/>
      <c r="E581" s="442"/>
      <c r="F581" s="442"/>
      <c r="I581" s="486"/>
    </row>
    <row r="582" spans="1:9" ht="14.25">
      <c r="A582" s="480"/>
      <c r="B582" s="481" t="s">
        <v>2830</v>
      </c>
      <c r="C582" s="483"/>
      <c r="D582" s="1854" t="s">
        <v>2194</v>
      </c>
      <c r="E582" s="1854"/>
      <c r="F582" s="1854"/>
      <c r="I582" s="486"/>
    </row>
    <row r="583" spans="1:9">
      <c r="A583" s="483"/>
      <c r="B583" s="483"/>
      <c r="C583" s="483"/>
      <c r="D583" s="1854"/>
      <c r="E583" s="1854"/>
      <c r="F583" s="1854"/>
      <c r="I583" s="486"/>
    </row>
    <row r="584" spans="1:9">
      <c r="A584" s="483"/>
      <c r="B584" s="483"/>
      <c r="C584" s="483"/>
      <c r="D584" s="442"/>
      <c r="E584" s="442"/>
      <c r="F584" s="442"/>
      <c r="I584" s="486"/>
    </row>
    <row r="585" spans="1:9" ht="14.25">
      <c r="A585" s="480"/>
      <c r="B585" s="481" t="s">
        <v>2830</v>
      </c>
      <c r="C585" s="483"/>
      <c r="D585" s="1854" t="s">
        <v>1086</v>
      </c>
      <c r="E585" s="1854"/>
      <c r="F585" s="1854"/>
      <c r="I585" s="486"/>
    </row>
    <row r="586" spans="1:9">
      <c r="A586" s="483"/>
      <c r="B586" s="483"/>
      <c r="C586" s="483"/>
      <c r="D586" s="1854"/>
      <c r="E586" s="1854"/>
      <c r="F586" s="1854"/>
      <c r="I586" s="486"/>
    </row>
    <row r="587" spans="1:9">
      <c r="A587" s="483"/>
      <c r="B587" s="483"/>
      <c r="C587" s="483"/>
      <c r="D587" s="442"/>
      <c r="E587" s="442"/>
      <c r="F587" s="442"/>
      <c r="I587" s="486"/>
    </row>
    <row r="588" spans="1:9" ht="14.25">
      <c r="A588" s="480"/>
      <c r="B588" s="481" t="s">
        <v>2829</v>
      </c>
      <c r="C588" s="483"/>
      <c r="D588" s="1856" t="s">
        <v>1087</v>
      </c>
      <c r="E588" s="1856"/>
      <c r="F588" s="1856"/>
      <c r="I588" s="486"/>
    </row>
    <row r="589" spans="1:9">
      <c r="A589" s="486"/>
      <c r="B589" s="486"/>
      <c r="C589" s="483"/>
      <c r="D589" s="1856" t="s">
        <v>1874</v>
      </c>
      <c r="E589" s="1856"/>
      <c r="F589" s="1856"/>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2829</v>
      </c>
      <c r="C592" s="483"/>
      <c r="D592" s="1856" t="s">
        <v>1088</v>
      </c>
      <c r="E592" s="1856"/>
      <c r="F592" s="1856"/>
      <c r="I592" s="486"/>
    </row>
    <row r="593" spans="1:9">
      <c r="C593" s="483"/>
      <c r="D593" s="1854" t="s">
        <v>1089</v>
      </c>
      <c r="E593" s="1854"/>
      <c r="F593" s="1854"/>
      <c r="I593" s="486"/>
    </row>
    <row r="594" spans="1:9">
      <c r="A594" s="483"/>
      <c r="B594" s="483"/>
      <c r="C594" s="483"/>
      <c r="D594" s="1854"/>
      <c r="E594" s="1854"/>
      <c r="F594" s="1854"/>
      <c r="I594" s="486"/>
    </row>
    <row r="595" spans="1:9">
      <c r="A595" s="483"/>
      <c r="B595" s="483"/>
      <c r="C595" s="483"/>
      <c r="D595" s="1854"/>
      <c r="E595" s="1854"/>
      <c r="F595" s="1854"/>
      <c r="I595" s="486"/>
    </row>
    <row r="596" spans="1:9">
      <c r="A596" s="483"/>
      <c r="B596" s="483"/>
      <c r="C596" s="483"/>
      <c r="D596" s="442"/>
      <c r="E596" s="442"/>
      <c r="F596" s="442"/>
      <c r="I596" s="486"/>
    </row>
    <row r="597" spans="1:9" ht="14.25">
      <c r="A597" s="480"/>
      <c r="B597" s="481" t="s">
        <v>2829</v>
      </c>
      <c r="C597" s="483"/>
      <c r="D597" s="1854" t="s">
        <v>2015</v>
      </c>
      <c r="E597" s="1854"/>
      <c r="F597" s="1854"/>
      <c r="I597" s="486"/>
    </row>
    <row r="598" spans="1:9" ht="14.25">
      <c r="A598" s="480"/>
      <c r="B598" s="480"/>
      <c r="C598" s="483"/>
      <c r="D598" s="1854"/>
      <c r="E598" s="1854"/>
      <c r="F598" s="1854"/>
      <c r="I598" s="486"/>
    </row>
    <row r="599" spans="1:9" ht="14.25">
      <c r="A599" s="480"/>
      <c r="B599" s="480"/>
      <c r="C599" s="483"/>
      <c r="D599" s="1854"/>
      <c r="E599" s="1854"/>
      <c r="F599" s="1854"/>
      <c r="I599" s="486"/>
    </row>
    <row r="600" spans="1:9" ht="14.25">
      <c r="A600" s="480"/>
      <c r="B600" s="480"/>
      <c r="C600" s="483"/>
      <c r="D600" s="1854"/>
      <c r="E600" s="1854"/>
      <c r="F600" s="1854"/>
      <c r="I600" s="486"/>
    </row>
    <row r="601" spans="1:9" ht="14.25">
      <c r="A601" s="480"/>
      <c r="B601" s="480"/>
      <c r="C601" s="483"/>
      <c r="D601" s="442"/>
      <c r="E601" s="442"/>
      <c r="F601" s="442"/>
      <c r="I601" s="486"/>
    </row>
    <row r="602" spans="1:9">
      <c r="A602" s="1855" t="s">
        <v>1054</v>
      </c>
      <c r="B602" s="1855"/>
      <c r="C602" s="1855"/>
      <c r="D602" s="1855"/>
      <c r="E602" s="1855"/>
      <c r="F602" s="1855"/>
      <c r="G602" s="1855"/>
      <c r="H602" s="1018"/>
      <c r="I602" s="1142"/>
    </row>
    <row r="603" spans="1:9">
      <c r="A603" s="483"/>
      <c r="B603" s="483"/>
      <c r="C603" s="483"/>
      <c r="E603" s="442"/>
      <c r="F603" s="442"/>
      <c r="I603" s="486"/>
    </row>
    <row r="604" spans="1:9" ht="12.75" customHeight="1">
      <c r="C604" s="478"/>
      <c r="D604" s="1873" t="s">
        <v>210</v>
      </c>
      <c r="E604" s="1873"/>
      <c r="F604" s="1873"/>
      <c r="I604" s="486"/>
    </row>
    <row r="605" spans="1:9">
      <c r="A605" s="479"/>
      <c r="B605" s="479"/>
      <c r="C605" s="479"/>
      <c r="D605" s="1870" t="s">
        <v>1067</v>
      </c>
      <c r="E605" s="1870"/>
      <c r="F605" s="1870"/>
      <c r="I605" s="486"/>
    </row>
    <row r="606" spans="1:9">
      <c r="A606" s="398"/>
      <c r="B606" s="398"/>
      <c r="C606" s="479"/>
      <c r="D606" s="495"/>
      <c r="I606" s="486"/>
    </row>
    <row r="607" spans="1:9">
      <c r="A607" s="479"/>
      <c r="B607" s="481" t="s">
        <v>2829</v>
      </c>
      <c r="D607" s="1870" t="s">
        <v>888</v>
      </c>
      <c r="E607" s="1870"/>
      <c r="F607" s="1870"/>
      <c r="I607" s="486"/>
    </row>
    <row r="608" spans="1:9">
      <c r="A608" s="486"/>
      <c r="B608" s="486"/>
      <c r="D608" s="472"/>
      <c r="I608" s="486"/>
    </row>
    <row r="609" spans="1:9">
      <c r="A609" s="486"/>
      <c r="B609" s="481" t="s">
        <v>2829</v>
      </c>
      <c r="D609" s="1870" t="s">
        <v>2016</v>
      </c>
      <c r="E609" s="1870"/>
      <c r="F609" s="1870"/>
      <c r="I609" s="486"/>
    </row>
    <row r="610" spans="1:9">
      <c r="A610" s="486"/>
      <c r="B610" s="486"/>
      <c r="D610" s="1870"/>
      <c r="E610" s="1870"/>
      <c r="F610" s="1870"/>
      <c r="I610" s="486"/>
    </row>
    <row r="611" spans="1:9">
      <c r="A611" s="486"/>
      <c r="B611" s="486"/>
      <c r="D611" s="1870"/>
      <c r="E611" s="1870"/>
      <c r="F611" s="1870"/>
      <c r="I611" s="486"/>
    </row>
    <row r="612" spans="1:9">
      <c r="A612" s="486"/>
      <c r="B612" s="486"/>
      <c r="D612" s="1870"/>
      <c r="E612" s="1870"/>
      <c r="F612" s="1870"/>
      <c r="I612" s="486"/>
    </row>
    <row r="613" spans="1:9">
      <c r="A613" s="486"/>
      <c r="B613" s="481" t="s">
        <v>2830</v>
      </c>
      <c r="D613" s="1870" t="s">
        <v>1068</v>
      </c>
      <c r="E613" s="1870"/>
      <c r="F613" s="1870"/>
      <c r="I613" s="486"/>
    </row>
    <row r="614" spans="1:9">
      <c r="A614" s="486"/>
      <c r="B614" s="486"/>
      <c r="D614" s="1870"/>
      <c r="E614" s="1870"/>
      <c r="F614" s="1870"/>
      <c r="I614" s="486"/>
    </row>
    <row r="615" spans="1:9">
      <c r="A615" s="486"/>
      <c r="B615" s="486"/>
      <c r="D615" s="1870"/>
      <c r="E615" s="1870"/>
      <c r="F615" s="1870"/>
      <c r="I615" s="486"/>
    </row>
    <row r="616" spans="1:9">
      <c r="A616" s="486"/>
      <c r="B616" s="486"/>
      <c r="D616" s="1870"/>
      <c r="E616" s="1870"/>
      <c r="F616" s="1870"/>
      <c r="I616" s="486"/>
    </row>
    <row r="617" spans="1:9">
      <c r="A617" s="486"/>
      <c r="B617" s="486"/>
      <c r="D617" s="436"/>
      <c r="E617" s="436"/>
      <c r="F617" s="436"/>
      <c r="I617" s="486"/>
    </row>
    <row r="618" spans="1:9">
      <c r="A618" s="486"/>
      <c r="B618" s="481" t="s">
        <v>2829</v>
      </c>
      <c r="D618" s="1870" t="s">
        <v>2017</v>
      </c>
      <c r="E618" s="1870"/>
      <c r="F618" s="1870"/>
      <c r="I618" s="486"/>
    </row>
    <row r="619" spans="1:9">
      <c r="A619" s="486"/>
      <c r="B619" s="486"/>
      <c r="D619" s="1870"/>
      <c r="E619" s="1870"/>
      <c r="F619" s="1870"/>
      <c r="I619" s="486"/>
    </row>
    <row r="620" spans="1:9">
      <c r="A620" s="486"/>
      <c r="B620" s="486"/>
      <c r="D620" s="495"/>
      <c r="I620" s="486"/>
    </row>
    <row r="621" spans="1:9">
      <c r="A621" s="486"/>
      <c r="B621" s="481" t="s">
        <v>2830</v>
      </c>
      <c r="D621" s="1870" t="s">
        <v>1069</v>
      </c>
      <c r="E621" s="1870"/>
      <c r="F621" s="1870"/>
      <c r="I621" s="486"/>
    </row>
    <row r="622" spans="1:9">
      <c r="A622" s="486"/>
      <c r="B622" s="486"/>
      <c r="D622" s="1870"/>
      <c r="E622" s="1870"/>
      <c r="F622" s="1870"/>
      <c r="I622" s="486"/>
    </row>
    <row r="623" spans="1:9" ht="14.25">
      <c r="A623" s="480"/>
      <c r="B623" s="480"/>
      <c r="D623" s="495"/>
      <c r="I623" s="486"/>
    </row>
    <row r="624" spans="1:9">
      <c r="A624" s="1855" t="s">
        <v>1055</v>
      </c>
      <c r="B624" s="1855"/>
      <c r="C624" s="1855"/>
      <c r="D624" s="1855"/>
      <c r="E624" s="1855"/>
      <c r="F624" s="1855"/>
      <c r="G624" s="1855"/>
      <c r="H624" s="1018"/>
      <c r="I624" s="1142"/>
    </row>
    <row r="625" spans="1:9">
      <c r="I625" s="486"/>
    </row>
    <row r="626" spans="1:9">
      <c r="D626" s="1857" t="s">
        <v>1107</v>
      </c>
      <c r="E626" s="1857"/>
      <c r="F626" s="1857"/>
      <c r="I626" s="486"/>
    </row>
    <row r="627" spans="1:9">
      <c r="D627" s="1845" t="s">
        <v>1108</v>
      </c>
      <c r="E627" s="1845"/>
      <c r="F627" s="1845"/>
      <c r="I627" s="486"/>
    </row>
    <row r="628" spans="1:9">
      <c r="D628" s="440"/>
      <c r="I628" s="486"/>
    </row>
    <row r="629" spans="1:9" ht="14.25" customHeight="1">
      <c r="A629" s="480"/>
      <c r="B629" s="481" t="s">
        <v>2829</v>
      </c>
      <c r="D629" s="1836" t="s">
        <v>1875</v>
      </c>
      <c r="E629" s="1836"/>
      <c r="F629" s="1836"/>
      <c r="I629" s="486"/>
    </row>
    <row r="630" spans="1:9">
      <c r="D630" s="1836"/>
      <c r="E630" s="1836"/>
      <c r="F630" s="1836"/>
      <c r="I630" s="486"/>
    </row>
    <row r="631" spans="1:9">
      <c r="D631" s="381"/>
      <c r="E631" s="1026" t="s">
        <v>1876</v>
      </c>
      <c r="F631" s="381"/>
      <c r="I631" s="486"/>
    </row>
    <row r="632" spans="1:9">
      <c r="I632" s="486"/>
    </row>
    <row r="633" spans="1:9" customFormat="1">
      <c r="A633" s="350"/>
      <c r="B633" s="481" t="s">
        <v>2830</v>
      </c>
      <c r="C633" s="350"/>
      <c r="D633" s="1836" t="s">
        <v>2642</v>
      </c>
      <c r="E633" s="1836"/>
      <c r="F633" s="1836"/>
      <c r="G633" s="3"/>
    </row>
    <row r="634" spans="1:9" customFormat="1">
      <c r="A634" s="350"/>
      <c r="B634" s="350"/>
      <c r="C634" s="350"/>
      <c r="D634" s="1836"/>
      <c r="E634" s="1836"/>
      <c r="F634" s="1836"/>
      <c r="G634" s="3"/>
    </row>
    <row r="635" spans="1:9" customFormat="1">
      <c r="A635" s="350"/>
      <c r="B635" s="350"/>
      <c r="C635" s="350"/>
      <c r="D635" s="1836"/>
      <c r="E635" s="1836"/>
      <c r="F635" s="1836"/>
      <c r="G635" s="3"/>
    </row>
    <row r="636" spans="1:9" customFormat="1">
      <c r="A636" s="350"/>
      <c r="B636" s="350"/>
      <c r="C636" s="350"/>
      <c r="D636" s="1836"/>
      <c r="E636" s="1836"/>
      <c r="F636" s="1836"/>
      <c r="G636" s="3"/>
    </row>
    <row r="637" spans="1:9" customFormat="1">
      <c r="A637" s="350"/>
      <c r="B637" s="350"/>
      <c r="C637" s="350"/>
      <c r="D637" s="381"/>
      <c r="E637" s="1262"/>
      <c r="F637" s="381"/>
      <c r="G637" s="3"/>
    </row>
    <row r="638" spans="1:9">
      <c r="A638" s="1855" t="s">
        <v>1056</v>
      </c>
      <c r="B638" s="1855"/>
      <c r="C638" s="1855"/>
      <c r="D638" s="1855"/>
      <c r="E638" s="1855"/>
      <c r="F638" s="1855"/>
      <c r="G638" s="1855"/>
      <c r="H638" s="1018"/>
      <c r="I638" s="1142"/>
    </row>
    <row r="639" spans="1:9">
      <c r="A639" s="442"/>
      <c r="B639" s="442"/>
      <c r="I639" s="486"/>
    </row>
    <row r="640" spans="1:9">
      <c r="A640" s="478"/>
      <c r="B640" s="478"/>
      <c r="C640" s="478"/>
      <c r="D640" s="1866" t="s">
        <v>1109</v>
      </c>
      <c r="E640" s="1866"/>
      <c r="F640" s="1866"/>
      <c r="I640" s="486"/>
    </row>
    <row r="641" spans="1:9">
      <c r="A641" s="478"/>
      <c r="B641" s="478"/>
      <c r="C641" s="478"/>
      <c r="D641" s="1866"/>
      <c r="E641" s="1866"/>
      <c r="F641" s="1866"/>
      <c r="I641" s="486"/>
    </row>
    <row r="642" spans="1:9">
      <c r="C642" s="479"/>
      <c r="D642" s="1845" t="s">
        <v>1110</v>
      </c>
      <c r="E642" s="1845"/>
      <c r="F642" s="1845"/>
      <c r="I642" s="486"/>
    </row>
    <row r="643" spans="1:9">
      <c r="C643" s="479"/>
      <c r="D643" s="440"/>
      <c r="E643" s="440"/>
      <c r="F643" s="440"/>
      <c r="I643" s="486"/>
    </row>
    <row r="644" spans="1:9">
      <c r="B644" s="481" t="s">
        <v>2829</v>
      </c>
      <c r="C644" s="479"/>
      <c r="D644" s="1837" t="s">
        <v>2593</v>
      </c>
      <c r="E644" s="1837"/>
      <c r="F644" s="1837"/>
      <c r="I644" s="486"/>
    </row>
    <row r="645" spans="1:9">
      <c r="C645" s="479"/>
      <c r="D645" s="440"/>
      <c r="E645" s="440"/>
      <c r="F645" s="440"/>
      <c r="I645" s="486"/>
    </row>
    <row r="646" spans="1:9" ht="12.75" customHeight="1">
      <c r="A646" s="486"/>
      <c r="B646" s="481" t="s">
        <v>2829</v>
      </c>
      <c r="D646" s="1844" t="s">
        <v>1111</v>
      </c>
      <c r="E646" s="1844"/>
      <c r="F646" s="1844"/>
      <c r="I646" s="486"/>
    </row>
    <row r="647" spans="1:9">
      <c r="D647" s="1844"/>
      <c r="E647" s="1844"/>
      <c r="F647" s="1844"/>
      <c r="I647" s="486"/>
    </row>
    <row r="648" spans="1:9">
      <c r="I648" s="486"/>
    </row>
    <row r="649" spans="1:9">
      <c r="B649" s="481" t="s">
        <v>2829</v>
      </c>
      <c r="D649" s="1844" t="s">
        <v>1112</v>
      </c>
      <c r="E649" s="1844"/>
      <c r="F649" s="1844"/>
      <c r="I649" s="486"/>
    </row>
    <row r="650" spans="1:9">
      <c r="C650" s="496"/>
      <c r="D650" s="1844"/>
      <c r="E650" s="1844"/>
      <c r="F650" s="1844"/>
      <c r="I650" s="486"/>
    </row>
    <row r="651" spans="1:9">
      <c r="C651" s="496"/>
      <c r="I651" s="486"/>
    </row>
    <row r="652" spans="1:9">
      <c r="B652" s="481" t="s">
        <v>2830</v>
      </c>
      <c r="C652" s="496"/>
      <c r="D652" s="1844" t="s">
        <v>1113</v>
      </c>
      <c r="E652" s="1844"/>
      <c r="F652" s="1844"/>
      <c r="I652" s="486"/>
    </row>
    <row r="653" spans="1:9">
      <c r="C653" s="496"/>
      <c r="D653" s="1844"/>
      <c r="E653" s="1844"/>
      <c r="F653" s="1844"/>
      <c r="I653" s="496"/>
    </row>
    <row r="654" spans="1:9">
      <c r="C654" s="496"/>
      <c r="I654" s="486"/>
    </row>
    <row r="655" spans="1:9">
      <c r="B655" s="481" t="s">
        <v>2829</v>
      </c>
      <c r="C655" s="496"/>
      <c r="D655" s="1837" t="s">
        <v>2539</v>
      </c>
      <c r="E655" s="1837"/>
      <c r="F655" s="1837"/>
      <c r="I655" s="486"/>
    </row>
    <row r="656" spans="1:9">
      <c r="C656" s="496"/>
      <c r="I656" s="486"/>
    </row>
    <row r="657" spans="1:9" customFormat="1" ht="14.25">
      <c r="A657" s="175"/>
      <c r="B657" s="481" t="s">
        <v>2830</v>
      </c>
      <c r="C657" s="350"/>
      <c r="D657" s="1837" t="s">
        <v>2643</v>
      </c>
      <c r="E657" s="1837"/>
      <c r="F657" s="1837"/>
      <c r="G657" s="3"/>
    </row>
    <row r="658" spans="1:9" customFormat="1">
      <c r="A658" s="172"/>
      <c r="B658" s="172"/>
      <c r="C658" s="172"/>
      <c r="D658" s="3"/>
      <c r="E658" s="3"/>
      <c r="F658" s="3"/>
      <c r="G658" s="3"/>
    </row>
    <row r="659" spans="1:9">
      <c r="A659" s="1855" t="s">
        <v>1057</v>
      </c>
      <c r="B659" s="1855"/>
      <c r="C659" s="1855"/>
      <c r="D659" s="1855"/>
      <c r="E659" s="1855"/>
      <c r="F659" s="1855"/>
      <c r="G659" s="1855"/>
      <c r="H659" s="1018"/>
      <c r="I659" s="1142"/>
    </row>
    <row r="660" spans="1:9">
      <c r="A660" s="478"/>
      <c r="B660" s="478"/>
      <c r="C660" s="478"/>
      <c r="I660" s="486"/>
    </row>
    <row r="661" spans="1:9">
      <c r="C661" s="486"/>
      <c r="D661" s="1857" t="s">
        <v>1114</v>
      </c>
      <c r="E661" s="1857"/>
      <c r="F661" s="1857"/>
      <c r="I661" s="486"/>
    </row>
    <row r="662" spans="1:9">
      <c r="A662" s="486"/>
      <c r="B662" s="486"/>
      <c r="D662" s="400"/>
      <c r="I662" s="486"/>
    </row>
    <row r="663" spans="1:9" ht="14.25" customHeight="1">
      <c r="A663" s="480"/>
      <c r="B663" s="481" t="s">
        <v>2829</v>
      </c>
      <c r="D663" s="1836" t="s">
        <v>2018</v>
      </c>
      <c r="E663" s="1836"/>
      <c r="F663" s="1836"/>
      <c r="I663" s="486"/>
    </row>
    <row r="664" spans="1:9">
      <c r="D664" s="1836"/>
      <c r="E664" s="1836"/>
      <c r="F664" s="1836"/>
      <c r="I664" s="486"/>
    </row>
    <row r="665" spans="1:9">
      <c r="D665" s="381"/>
      <c r="E665" s="1026" t="s">
        <v>1878</v>
      </c>
      <c r="F665" s="381"/>
      <c r="I665" s="486"/>
    </row>
    <row r="666" spans="1:9">
      <c r="D666" s="1854" t="s">
        <v>1877</v>
      </c>
      <c r="E666" s="1854"/>
      <c r="F666" s="1854"/>
      <c r="I666" s="486"/>
    </row>
    <row r="667" spans="1:9">
      <c r="D667" s="1854"/>
      <c r="E667" s="1854"/>
      <c r="F667" s="1854"/>
      <c r="I667" s="486"/>
    </row>
    <row r="668" spans="1:9">
      <c r="D668" s="1854"/>
      <c r="E668" s="1854"/>
      <c r="F668" s="1854"/>
      <c r="I668" s="486"/>
    </row>
    <row r="669" spans="1:9">
      <c r="D669" s="441"/>
      <c r="E669" s="441"/>
      <c r="F669" s="441"/>
      <c r="I669" s="486"/>
    </row>
    <row r="670" spans="1:9" ht="14.25">
      <c r="A670" s="480"/>
      <c r="B670" s="481" t="s">
        <v>2830</v>
      </c>
      <c r="D670" s="1854" t="s">
        <v>1115</v>
      </c>
      <c r="E670" s="1854"/>
      <c r="F670" s="1854"/>
      <c r="I670" s="486"/>
    </row>
    <row r="671" spans="1:9">
      <c r="A671" s="483"/>
      <c r="B671" s="483"/>
      <c r="C671" s="483"/>
      <c r="D671" s="1854"/>
      <c r="E671" s="1854"/>
      <c r="F671" s="1854"/>
      <c r="I671" s="486"/>
    </row>
    <row r="672" spans="1:9">
      <c r="A672" s="483"/>
      <c r="B672" s="483"/>
      <c r="C672" s="483"/>
      <c r="D672" s="442"/>
      <c r="E672" s="442"/>
      <c r="F672" s="442"/>
      <c r="I672" s="486"/>
    </row>
    <row r="673" spans="1:9" ht="14.25">
      <c r="A673" s="480"/>
      <c r="B673" s="481" t="s">
        <v>2830</v>
      </c>
      <c r="C673" s="483"/>
      <c r="D673" s="1854" t="s">
        <v>1224</v>
      </c>
      <c r="E673" s="1854"/>
      <c r="F673" s="1854"/>
      <c r="I673" s="486"/>
    </row>
    <row r="674" spans="1:9" ht="14.25">
      <c r="A674" s="480"/>
      <c r="B674" s="480"/>
      <c r="C674" s="483"/>
      <c r="D674" s="1854"/>
      <c r="E674" s="1854"/>
      <c r="F674" s="1854"/>
      <c r="I674" s="486"/>
    </row>
    <row r="675" spans="1:9" ht="14.25">
      <c r="A675" s="480"/>
      <c r="B675" s="480"/>
      <c r="C675" s="483"/>
      <c r="D675" s="1854"/>
      <c r="E675" s="1854"/>
      <c r="F675" s="1854"/>
      <c r="I675" s="486"/>
    </row>
    <row r="676" spans="1:9">
      <c r="A676" s="483"/>
      <c r="B676" s="481" t="s">
        <v>2830</v>
      </c>
      <c r="C676" s="483"/>
      <c r="D676" s="1856" t="s">
        <v>1116</v>
      </c>
      <c r="E676" s="1856"/>
      <c r="F676" s="1856"/>
      <c r="I676" s="486"/>
    </row>
    <row r="677" spans="1:9">
      <c r="A677" s="483"/>
      <c r="B677" s="483"/>
      <c r="C677" s="483"/>
      <c r="D677" s="442"/>
      <c r="E677" s="442"/>
      <c r="F677" s="442"/>
      <c r="I677" s="486"/>
    </row>
    <row r="678" spans="1:9">
      <c r="A678" s="1855" t="s">
        <v>1058</v>
      </c>
      <c r="B678" s="1855"/>
      <c r="C678" s="1855"/>
      <c r="D678" s="1855"/>
      <c r="E678" s="1855"/>
      <c r="F678" s="1855"/>
      <c r="G678" s="1855"/>
      <c r="H678" s="1018"/>
      <c r="I678" s="1142"/>
    </row>
    <row r="679" spans="1:9">
      <c r="A679" s="442"/>
      <c r="B679" s="442"/>
      <c r="C679" s="483"/>
      <c r="D679" s="442"/>
      <c r="E679" s="442"/>
      <c r="F679" s="442"/>
      <c r="I679" s="486"/>
    </row>
    <row r="680" spans="1:9">
      <c r="C680" s="478"/>
      <c r="D680" s="1857" t="s">
        <v>1145</v>
      </c>
      <c r="E680" s="1857"/>
      <c r="F680" s="1857"/>
      <c r="I680" s="486"/>
    </row>
    <row r="681" spans="1:9">
      <c r="A681" s="479"/>
      <c r="B681" s="479"/>
      <c r="C681" s="479"/>
      <c r="D681" s="1856" t="s">
        <v>1146</v>
      </c>
      <c r="E681" s="1856"/>
      <c r="F681" s="1856"/>
      <c r="I681" s="486"/>
    </row>
    <row r="682" spans="1:9">
      <c r="A682" s="479"/>
      <c r="B682" s="479"/>
      <c r="C682" s="479"/>
      <c r="D682" s="442"/>
      <c r="E682" s="442"/>
      <c r="F682" s="442"/>
      <c r="I682" s="486"/>
    </row>
    <row r="683" spans="1:9" ht="12.75" customHeight="1">
      <c r="B683" s="481" t="s">
        <v>2829</v>
      </c>
      <c r="C683" s="483"/>
      <c r="D683" s="1854" t="s">
        <v>1280</v>
      </c>
      <c r="E683" s="1854"/>
      <c r="F683" s="1854"/>
      <c r="I683" s="486"/>
    </row>
    <row r="684" spans="1:9">
      <c r="D684" s="1854"/>
      <c r="E684" s="1854"/>
      <c r="F684" s="1854"/>
      <c r="I684" s="486"/>
    </row>
    <row r="685" spans="1:9">
      <c r="D685" s="1854"/>
      <c r="E685" s="1854"/>
      <c r="F685" s="1854"/>
      <c r="I685" s="486"/>
    </row>
    <row r="686" spans="1:9">
      <c r="D686" s="1854"/>
      <c r="E686" s="1854"/>
      <c r="F686" s="1854"/>
      <c r="I686" s="486"/>
    </row>
    <row r="687" spans="1:9" ht="14.45" customHeight="1">
      <c r="A687" s="480"/>
      <c r="B687" s="480"/>
      <c r="C687" s="483"/>
      <c r="D687" s="381"/>
      <c r="E687" s="381"/>
      <c r="F687" s="381"/>
      <c r="I687" s="486"/>
    </row>
    <row r="688" spans="1:9" ht="12.75" customHeight="1">
      <c r="A688" s="479"/>
      <c r="B688" s="481" t="s">
        <v>2830</v>
      </c>
      <c r="C688" s="483"/>
      <c r="D688" s="1854" t="s">
        <v>1282</v>
      </c>
      <c r="E688" s="1854"/>
      <c r="F688" s="1854"/>
      <c r="I688" s="486"/>
    </row>
    <row r="689" spans="1:9" ht="14.25">
      <c r="A689" s="479"/>
      <c r="B689" s="480"/>
      <c r="C689" s="483"/>
      <c r="D689" s="1854"/>
      <c r="E689" s="1854"/>
      <c r="F689" s="1854"/>
      <c r="I689" s="486"/>
    </row>
    <row r="690" spans="1:9" ht="14.25">
      <c r="A690" s="479"/>
      <c r="B690" s="480"/>
      <c r="C690" s="483"/>
      <c r="D690" s="1854"/>
      <c r="E690" s="1854"/>
      <c r="F690" s="1854"/>
      <c r="I690" s="486"/>
    </row>
    <row r="691" spans="1:9" ht="14.25">
      <c r="A691" s="479"/>
      <c r="B691" s="480"/>
      <c r="C691" s="483"/>
      <c r="D691" s="1854"/>
      <c r="E691" s="1854"/>
      <c r="F691" s="1854"/>
      <c r="I691" s="486"/>
    </row>
    <row r="692" spans="1:9" ht="14.25">
      <c r="A692" s="479"/>
      <c r="B692" s="480"/>
      <c r="C692" s="483"/>
      <c r="D692" s="1854"/>
      <c r="E692" s="1854"/>
      <c r="F692" s="1854"/>
      <c r="I692" s="486"/>
    </row>
    <row r="693" spans="1:9" ht="14.25" customHeight="1">
      <c r="A693" s="479"/>
      <c r="B693" s="480"/>
      <c r="C693" s="483"/>
      <c r="F693" s="382"/>
      <c r="I693" s="486"/>
    </row>
    <row r="694" spans="1:9" ht="12.75" customHeight="1">
      <c r="A694" s="479"/>
      <c r="B694" s="481" t="s">
        <v>2830</v>
      </c>
      <c r="C694" s="483"/>
      <c r="D694" s="1854" t="s">
        <v>1281</v>
      </c>
      <c r="E694" s="1854"/>
      <c r="F694" s="1854"/>
      <c r="I694" s="486"/>
    </row>
    <row r="695" spans="1:9" ht="14.25">
      <c r="A695" s="479"/>
      <c r="B695" s="480"/>
      <c r="C695" s="483"/>
      <c r="D695" s="1854"/>
      <c r="E695" s="1854"/>
      <c r="F695" s="1854"/>
      <c r="I695" s="486"/>
    </row>
    <row r="696" spans="1:9" ht="14.25">
      <c r="A696" s="480"/>
      <c r="B696" s="480"/>
      <c r="C696" s="483"/>
      <c r="D696" s="1854"/>
      <c r="E696" s="1854"/>
      <c r="F696" s="1854"/>
      <c r="I696" s="486"/>
    </row>
    <row r="697" spans="1:9" ht="14.25">
      <c r="A697" s="480"/>
      <c r="B697" s="480"/>
      <c r="C697" s="483"/>
      <c r="D697" s="1854"/>
      <c r="E697" s="1854"/>
      <c r="F697" s="1854"/>
      <c r="I697" s="486"/>
    </row>
    <row r="698" spans="1:9" ht="14.25">
      <c r="A698" s="480"/>
      <c r="B698" s="480"/>
      <c r="C698" s="483"/>
      <c r="D698" s="441"/>
      <c r="E698" s="441"/>
      <c r="F698" s="441"/>
      <c r="I698" s="486"/>
    </row>
    <row r="699" spans="1:9" ht="12.75" customHeight="1">
      <c r="A699" s="479"/>
      <c r="B699" s="481" t="s">
        <v>2830</v>
      </c>
      <c r="C699" s="483"/>
      <c r="D699" s="1854" t="s">
        <v>2019</v>
      </c>
      <c r="E699" s="1854"/>
      <c r="F699" s="1854"/>
      <c r="I699" s="486"/>
    </row>
    <row r="700" spans="1:9" ht="12.75" customHeight="1">
      <c r="A700" s="479"/>
      <c r="B700" s="480"/>
      <c r="C700" s="483"/>
      <c r="D700" s="1854"/>
      <c r="E700" s="1854"/>
      <c r="F700" s="1854"/>
      <c r="I700" s="486"/>
    </row>
    <row r="701" spans="1:9" ht="12.75" customHeight="1">
      <c r="A701" s="479"/>
      <c r="B701" s="480"/>
      <c r="C701" s="483"/>
      <c r="D701" s="1854"/>
      <c r="E701" s="1854"/>
      <c r="F701" s="1854"/>
      <c r="I701" s="486"/>
    </row>
    <row r="702" spans="1:9" ht="12.75" customHeight="1">
      <c r="A702" s="479"/>
      <c r="B702" s="480"/>
      <c r="C702" s="483"/>
      <c r="D702" s="1854"/>
      <c r="E702" s="1854"/>
      <c r="F702" s="1854"/>
      <c r="I702" s="486"/>
    </row>
    <row r="703" spans="1:9" ht="12.75" customHeight="1">
      <c r="A703" s="479"/>
      <c r="B703" s="480"/>
      <c r="C703" s="483"/>
      <c r="D703" s="1854"/>
      <c r="E703" s="1854"/>
      <c r="F703" s="1854"/>
      <c r="I703" s="486"/>
    </row>
    <row r="704" spans="1:9" ht="12.75" customHeight="1">
      <c r="A704" s="479"/>
      <c r="B704" s="480"/>
      <c r="C704" s="483"/>
      <c r="D704" s="1854"/>
      <c r="E704" s="1854"/>
      <c r="F704" s="1854"/>
      <c r="I704" s="486"/>
    </row>
    <row r="705" spans="1:11" ht="12.75" customHeight="1">
      <c r="A705" s="479"/>
      <c r="B705" s="480"/>
      <c r="C705" s="483"/>
      <c r="D705" s="1854"/>
      <c r="E705" s="1854"/>
      <c r="F705" s="1854"/>
      <c r="I705" s="486"/>
    </row>
    <row r="706" spans="1:11" ht="12.75" customHeight="1">
      <c r="A706" s="479"/>
      <c r="B706" s="480"/>
      <c r="C706" s="483"/>
      <c r="D706" s="1854"/>
      <c r="E706" s="1854"/>
      <c r="F706" s="1854"/>
      <c r="I706" s="486"/>
    </row>
    <row r="707" spans="1:11" ht="12.75" customHeight="1">
      <c r="A707" s="479"/>
      <c r="B707" s="480"/>
      <c r="C707" s="483"/>
      <c r="D707" s="1854"/>
      <c r="E707" s="1854"/>
      <c r="F707" s="1854"/>
      <c r="I707" s="486"/>
    </row>
    <row r="708" spans="1:11">
      <c r="A708" s="483"/>
      <c r="B708" s="483"/>
      <c r="C708" s="483"/>
      <c r="D708" s="442"/>
      <c r="E708" s="442"/>
      <c r="F708" s="442"/>
      <c r="I708" s="486"/>
    </row>
    <row r="709" spans="1:11">
      <c r="A709" s="1855" t="s">
        <v>1059</v>
      </c>
      <c r="B709" s="1855"/>
      <c r="C709" s="1855"/>
      <c r="D709" s="1855"/>
      <c r="E709" s="1855"/>
      <c r="F709" s="1855"/>
      <c r="G709" s="1855"/>
      <c r="H709" s="1020"/>
      <c r="I709" s="1146"/>
      <c r="J709" s="497"/>
      <c r="K709" s="497"/>
    </row>
    <row r="710" spans="1:11">
      <c r="A710" s="444"/>
      <c r="B710" s="444"/>
      <c r="C710" s="444"/>
      <c r="D710" s="444"/>
      <c r="E710" s="444"/>
      <c r="F710" s="444"/>
      <c r="G710" s="444"/>
      <c r="H710" s="497"/>
      <c r="I710" s="479"/>
      <c r="J710" s="497"/>
      <c r="K710" s="497"/>
    </row>
    <row r="711" spans="1:11">
      <c r="C711" s="478"/>
      <c r="D711" s="1857" t="s">
        <v>99</v>
      </c>
      <c r="E711" s="1857"/>
      <c r="F711" s="1857"/>
      <c r="H711" s="497"/>
      <c r="I711" s="479"/>
      <c r="J711" s="497"/>
      <c r="K711" s="497"/>
    </row>
    <row r="712" spans="1:11">
      <c r="A712" s="478"/>
      <c r="B712" s="478"/>
      <c r="C712" s="478"/>
      <c r="D712" s="1857" t="s">
        <v>123</v>
      </c>
      <c r="E712" s="1857"/>
      <c r="F712" s="1857"/>
      <c r="H712" s="497"/>
      <c r="I712" s="479"/>
      <c r="J712" s="497"/>
      <c r="K712" s="497"/>
    </row>
    <row r="713" spans="1:11">
      <c r="A713" s="479"/>
      <c r="B713" s="479"/>
      <c r="C713" s="479"/>
      <c r="D713" s="1856" t="s">
        <v>1076</v>
      </c>
      <c r="E713" s="1856"/>
      <c r="F713" s="1856"/>
      <c r="H713" s="497"/>
      <c r="I713" s="479"/>
      <c r="J713" s="497"/>
      <c r="K713" s="497"/>
    </row>
    <row r="714" spans="1:11">
      <c r="A714" s="479"/>
      <c r="B714" s="479"/>
      <c r="C714" s="479"/>
      <c r="H714" s="497"/>
      <c r="I714" s="479"/>
      <c r="J714" s="497"/>
      <c r="K714" s="497"/>
    </row>
    <row r="715" spans="1:11" ht="14.25">
      <c r="A715" s="480"/>
      <c r="B715" s="481" t="s">
        <v>2829</v>
      </c>
      <c r="C715" s="479"/>
      <c r="D715" s="1856" t="s">
        <v>885</v>
      </c>
      <c r="E715" s="1856"/>
      <c r="F715" s="1856"/>
      <c r="H715" s="497"/>
      <c r="I715" s="479"/>
      <c r="J715" s="497"/>
      <c r="K715" s="497"/>
    </row>
    <row r="716" spans="1:11">
      <c r="A716" s="479"/>
      <c r="B716" s="479"/>
      <c r="C716" s="479"/>
      <c r="D716" s="1856" t="s">
        <v>894</v>
      </c>
      <c r="E716" s="1856"/>
      <c r="F716" s="1856"/>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2830</v>
      </c>
      <c r="C720" s="479"/>
      <c r="D720" s="1854" t="s">
        <v>2020</v>
      </c>
      <c r="E720" s="1854"/>
      <c r="F720" s="1854"/>
      <c r="H720" s="497"/>
      <c r="I720" s="479"/>
      <c r="J720" s="497"/>
      <c r="K720" s="497"/>
    </row>
    <row r="721" spans="1:11">
      <c r="A721" s="486"/>
      <c r="B721" s="486"/>
      <c r="C721" s="479"/>
      <c r="D721" s="1854"/>
      <c r="E721" s="1854"/>
      <c r="F721" s="1854"/>
      <c r="H721" s="497"/>
      <c r="I721" s="479"/>
      <c r="J721" s="497"/>
      <c r="K721" s="497"/>
    </row>
    <row r="722" spans="1:11">
      <c r="A722" s="479"/>
      <c r="B722" s="479"/>
      <c r="C722" s="479"/>
      <c r="D722" s="1854"/>
      <c r="E722" s="1854"/>
      <c r="F722" s="1854"/>
      <c r="H722" s="497"/>
      <c r="I722" s="479"/>
      <c r="J722" s="497"/>
      <c r="K722" s="497"/>
    </row>
    <row r="723" spans="1:11">
      <c r="A723" s="479"/>
      <c r="B723" s="479"/>
      <c r="C723" s="479"/>
      <c r="H723" s="497"/>
      <c r="J723" s="497"/>
      <c r="K723" s="497"/>
    </row>
    <row r="724" spans="1:11" ht="14.25">
      <c r="A724" s="480"/>
      <c r="B724" s="481" t="s">
        <v>2829</v>
      </c>
      <c r="C724" s="479"/>
      <c r="D724" s="1856" t="s">
        <v>917</v>
      </c>
      <c r="E724" s="1856"/>
      <c r="F724" s="1856"/>
      <c r="H724" s="497"/>
      <c r="I724" s="479"/>
      <c r="J724" s="497"/>
      <c r="K724" s="497"/>
    </row>
    <row r="725" spans="1:11" ht="14.25">
      <c r="A725" s="480"/>
      <c r="B725" s="480"/>
      <c r="C725" s="479"/>
      <c r="D725" s="1856" t="s">
        <v>894</v>
      </c>
      <c r="E725" s="1856"/>
      <c r="F725" s="1856"/>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2830</v>
      </c>
      <c r="C728" s="479"/>
      <c r="D728" s="1856" t="s">
        <v>2393</v>
      </c>
      <c r="E728" s="1856"/>
      <c r="F728" s="1856"/>
      <c r="H728" s="497"/>
      <c r="I728" s="479"/>
      <c r="J728" s="497"/>
      <c r="K728" s="497"/>
    </row>
    <row r="729" spans="1:11" ht="14.25">
      <c r="A729" s="480"/>
      <c r="B729" s="480"/>
      <c r="C729" s="479"/>
      <c r="D729" s="1856" t="s">
        <v>894</v>
      </c>
      <c r="E729" s="1856"/>
      <c r="F729" s="1856"/>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2830</v>
      </c>
      <c r="C732" s="479"/>
      <c r="D732" s="1854" t="s">
        <v>2191</v>
      </c>
      <c r="E732" s="1854"/>
      <c r="F732" s="1854"/>
      <c r="H732" s="497"/>
      <c r="I732" s="479"/>
      <c r="J732" s="497"/>
      <c r="K732" s="497"/>
    </row>
    <row r="733" spans="1:11">
      <c r="A733" s="479"/>
      <c r="B733" s="479"/>
      <c r="C733" s="479"/>
      <c r="D733" s="1854"/>
      <c r="E733" s="1854"/>
      <c r="F733" s="1854"/>
      <c r="H733" s="497"/>
      <c r="I733" s="479"/>
      <c r="J733" s="497"/>
      <c r="K733" s="497"/>
    </row>
    <row r="734" spans="1:11">
      <c r="A734" s="479"/>
      <c r="B734" s="479"/>
      <c r="C734" s="479"/>
      <c r="D734" s="1854"/>
      <c r="E734" s="1854"/>
      <c r="F734" s="1854"/>
      <c r="H734" s="497"/>
      <c r="I734" s="479"/>
      <c r="J734" s="497"/>
      <c r="K734" s="497"/>
    </row>
    <row r="735" spans="1:11">
      <c r="A735" s="479"/>
      <c r="B735" s="479"/>
      <c r="C735" s="479"/>
      <c r="D735" s="1854"/>
      <c r="E735" s="1854"/>
      <c r="F735" s="1854"/>
      <c r="H735" s="497"/>
      <c r="I735" s="479"/>
      <c r="J735" s="497"/>
      <c r="K735" s="497"/>
    </row>
    <row r="736" spans="1:11">
      <c r="A736" s="479"/>
      <c r="B736" s="479"/>
      <c r="C736" s="479"/>
      <c r="D736" s="1854"/>
      <c r="E736" s="1854"/>
      <c r="F736" s="1854"/>
      <c r="H736" s="497"/>
      <c r="I736" s="479"/>
      <c r="J736" s="497"/>
      <c r="K736" s="497"/>
    </row>
    <row r="737" spans="1:11">
      <c r="A737" s="479"/>
      <c r="B737" s="479"/>
      <c r="C737" s="479"/>
      <c r="D737" s="1854"/>
      <c r="E737" s="1854"/>
      <c r="F737" s="1854"/>
      <c r="H737" s="497"/>
      <c r="I737" s="479"/>
      <c r="J737" s="497"/>
      <c r="K737" s="497"/>
    </row>
    <row r="738" spans="1:11">
      <c r="A738" s="479"/>
      <c r="B738" s="479"/>
      <c r="C738" s="479"/>
      <c r="D738" s="441"/>
      <c r="E738" s="441"/>
      <c r="F738" s="441"/>
      <c r="H738" s="497"/>
      <c r="I738" s="479"/>
      <c r="J738" s="497"/>
      <c r="K738" s="497"/>
    </row>
    <row r="739" spans="1:11">
      <c r="A739" s="479"/>
      <c r="B739" s="481" t="s">
        <v>2830</v>
      </c>
      <c r="C739" s="479"/>
      <c r="D739" s="1854" t="s">
        <v>1200</v>
      </c>
      <c r="E739" s="1854"/>
      <c r="F739" s="1854"/>
      <c r="H739" s="497"/>
      <c r="I739" s="479"/>
      <c r="J739" s="497"/>
      <c r="K739" s="497"/>
    </row>
    <row r="740" spans="1:11">
      <c r="A740" s="479"/>
      <c r="B740" s="479"/>
      <c r="C740" s="479"/>
      <c r="D740" s="1854"/>
      <c r="E740" s="1854"/>
      <c r="F740" s="1854"/>
      <c r="H740" s="497"/>
      <c r="I740" s="479"/>
      <c r="J740" s="497"/>
      <c r="K740" s="497"/>
    </row>
    <row r="741" spans="1:11">
      <c r="A741" s="479"/>
      <c r="B741" s="479"/>
      <c r="C741" s="479"/>
      <c r="D741" s="441"/>
      <c r="E741" s="441"/>
      <c r="F741" s="441"/>
      <c r="H741" s="497"/>
      <c r="I741" s="479"/>
      <c r="J741" s="497"/>
      <c r="K741" s="497"/>
    </row>
    <row r="742" spans="1:11" ht="14.25">
      <c r="A742" s="480"/>
      <c r="B742" s="481" t="s">
        <v>2830</v>
      </c>
      <c r="C742" s="479"/>
      <c r="D742" s="1854" t="s">
        <v>1077</v>
      </c>
      <c r="E742" s="1854"/>
      <c r="F742" s="1854"/>
      <c r="H742" s="497"/>
      <c r="I742" s="479"/>
      <c r="J742" s="497"/>
      <c r="K742" s="497"/>
    </row>
    <row r="743" spans="1:11">
      <c r="A743" s="479"/>
      <c r="B743" s="479"/>
      <c r="C743" s="479"/>
      <c r="D743" s="1854"/>
      <c r="E743" s="1854"/>
      <c r="F743" s="1854"/>
      <c r="H743" s="497"/>
      <c r="I743" s="479"/>
      <c r="J743" s="497"/>
      <c r="K743" s="497"/>
    </row>
    <row r="744" spans="1:11">
      <c r="A744" s="479"/>
      <c r="B744" s="479"/>
      <c r="C744" s="479"/>
      <c r="D744" s="1854"/>
      <c r="E744" s="1854"/>
      <c r="F744" s="1854"/>
      <c r="H744" s="497"/>
      <c r="I744" s="479"/>
      <c r="J744" s="497"/>
      <c r="K744" s="497"/>
    </row>
    <row r="745" spans="1:11" ht="15" customHeight="1">
      <c r="A745" s="479"/>
      <c r="B745" s="479"/>
      <c r="C745" s="479"/>
      <c r="D745" s="1854"/>
      <c r="E745" s="1854"/>
      <c r="F745" s="1854"/>
      <c r="H745" s="497"/>
      <c r="I745" s="479"/>
      <c r="J745" s="497"/>
      <c r="K745" s="497"/>
    </row>
    <row r="746" spans="1:11" ht="15" customHeight="1">
      <c r="A746" s="479"/>
      <c r="B746" s="479"/>
      <c r="C746" s="479"/>
      <c r="D746" s="1854"/>
      <c r="E746" s="1854"/>
      <c r="F746" s="1854"/>
      <c r="H746" s="497"/>
      <c r="I746" s="479"/>
      <c r="J746" s="497"/>
      <c r="K746" s="497"/>
    </row>
    <row r="747" spans="1:11">
      <c r="A747" s="479"/>
      <c r="B747" s="479"/>
      <c r="C747" s="479"/>
      <c r="D747" s="1854"/>
      <c r="E747" s="1854"/>
      <c r="F747" s="1854"/>
      <c r="H747" s="497"/>
      <c r="I747" s="479"/>
      <c r="J747" s="497"/>
      <c r="K747" s="497"/>
    </row>
    <row r="748" spans="1:11">
      <c r="A748" s="479"/>
      <c r="B748" s="479"/>
      <c r="C748" s="479"/>
      <c r="D748" s="1854"/>
      <c r="E748" s="1854"/>
      <c r="F748" s="1854"/>
      <c r="H748" s="497"/>
      <c r="I748" s="479"/>
      <c r="J748" s="497"/>
      <c r="K748" s="497"/>
    </row>
    <row r="749" spans="1:11">
      <c r="A749" s="479"/>
      <c r="B749" s="479"/>
      <c r="C749" s="479"/>
      <c r="D749" s="1854"/>
      <c r="E749" s="1854"/>
      <c r="F749" s="1854"/>
      <c r="H749" s="497"/>
      <c r="I749" s="479"/>
      <c r="J749" s="497"/>
      <c r="K749" s="497"/>
    </row>
    <row r="750" spans="1:11" ht="15" customHeight="1">
      <c r="A750" s="479"/>
      <c r="B750" s="479"/>
      <c r="C750" s="479"/>
      <c r="D750" s="1854"/>
      <c r="E750" s="1854"/>
      <c r="F750" s="1854"/>
      <c r="H750" s="497"/>
      <c r="I750" s="479"/>
      <c r="J750" s="497"/>
      <c r="K750" s="497"/>
    </row>
    <row r="751" spans="1:11">
      <c r="A751" s="479"/>
      <c r="B751" s="479"/>
      <c r="C751" s="479"/>
      <c r="D751" s="1854"/>
      <c r="E751" s="1854"/>
      <c r="F751" s="1854"/>
      <c r="H751" s="497"/>
      <c r="I751" s="479"/>
      <c r="J751" s="497"/>
      <c r="K751" s="497"/>
    </row>
    <row r="752" spans="1:11">
      <c r="A752" s="479"/>
      <c r="B752" s="479"/>
      <c r="C752" s="479"/>
      <c r="D752" s="1854"/>
      <c r="E752" s="1854"/>
      <c r="F752" s="1854"/>
      <c r="H752" s="497"/>
      <c r="I752" s="479"/>
      <c r="J752" s="497"/>
      <c r="K752" s="497"/>
    </row>
    <row r="753" spans="1:11">
      <c r="A753" s="479"/>
      <c r="B753" s="479"/>
      <c r="C753" s="479"/>
      <c r="D753" s="1854"/>
      <c r="E753" s="1854"/>
      <c r="F753" s="1854"/>
      <c r="H753" s="497"/>
      <c r="I753" s="479"/>
      <c r="J753" s="497"/>
      <c r="K753" s="497"/>
    </row>
    <row r="754" spans="1:11">
      <c r="A754" s="479"/>
      <c r="B754" s="479"/>
      <c r="C754" s="479"/>
      <c r="D754" s="1854"/>
      <c r="E754" s="1854"/>
      <c r="F754" s="1854"/>
      <c r="H754" s="497"/>
      <c r="I754" s="479"/>
      <c r="J754" s="497"/>
      <c r="K754" s="497"/>
    </row>
    <row r="755" spans="1:11">
      <c r="A755" s="479"/>
      <c r="B755" s="481" t="s">
        <v>2830</v>
      </c>
      <c r="C755" s="479"/>
      <c r="D755" s="1854" t="s">
        <v>2386</v>
      </c>
      <c r="E755" s="1854"/>
      <c r="F755" s="1854"/>
      <c r="H755" s="497"/>
      <c r="I755" s="479"/>
      <c r="J755" s="497"/>
      <c r="K755" s="497"/>
    </row>
    <row r="756" spans="1:11">
      <c r="A756" s="479"/>
      <c r="B756" s="479"/>
      <c r="C756" s="479"/>
      <c r="D756" s="1854"/>
      <c r="E756" s="1854"/>
      <c r="F756" s="1854"/>
      <c r="H756" s="497"/>
      <c r="I756" s="479"/>
      <c r="J756" s="497"/>
      <c r="K756" s="497"/>
    </row>
    <row r="757" spans="1:11">
      <c r="A757" s="479"/>
      <c r="B757" s="479"/>
      <c r="C757" s="479"/>
      <c r="D757" s="1854"/>
      <c r="E757" s="1854"/>
      <c r="F757" s="1854"/>
      <c r="H757" s="497"/>
      <c r="I757" s="479"/>
      <c r="J757" s="497"/>
      <c r="K757" s="497"/>
    </row>
    <row r="758" spans="1:11">
      <c r="A758" s="479"/>
      <c r="B758" s="479"/>
      <c r="C758" s="479"/>
      <c r="D758" s="441"/>
      <c r="E758" s="441"/>
      <c r="F758" s="441"/>
      <c r="H758" s="497"/>
      <c r="I758" s="479"/>
      <c r="J758" s="497"/>
      <c r="K758" s="497"/>
    </row>
    <row r="759" spans="1:11">
      <c r="A759" s="479"/>
      <c r="B759" s="481" t="s">
        <v>2830</v>
      </c>
      <c r="C759" s="479"/>
      <c r="D759" s="1854" t="s">
        <v>2385</v>
      </c>
      <c r="E759" s="1854"/>
      <c r="F759" s="1854"/>
      <c r="H759" s="497"/>
      <c r="I759" s="479"/>
      <c r="J759" s="497"/>
      <c r="K759" s="497"/>
    </row>
    <row r="760" spans="1:11">
      <c r="A760" s="479"/>
      <c r="B760" s="479"/>
      <c r="C760" s="479"/>
      <c r="D760" s="1854"/>
      <c r="E760" s="1854"/>
      <c r="F760" s="1854"/>
      <c r="H760" s="497"/>
      <c r="I760" s="479"/>
      <c r="J760" s="497"/>
      <c r="K760" s="497"/>
    </row>
    <row r="761" spans="1:11">
      <c r="A761" s="479"/>
      <c r="B761" s="479"/>
      <c r="C761" s="479"/>
      <c r="D761" s="1854"/>
      <c r="E761" s="1854"/>
      <c r="F761" s="1854"/>
      <c r="H761" s="497"/>
      <c r="I761" s="479"/>
      <c r="J761" s="497"/>
      <c r="K761" s="497"/>
    </row>
    <row r="762" spans="1:11">
      <c r="A762" s="479"/>
      <c r="B762" s="479"/>
      <c r="C762" s="479"/>
      <c r="H762" s="497"/>
      <c r="I762" s="479"/>
      <c r="J762" s="497"/>
      <c r="K762" s="497"/>
    </row>
    <row r="763" spans="1:11">
      <c r="A763" s="479"/>
      <c r="B763" s="481" t="s">
        <v>2830</v>
      </c>
      <c r="C763" s="479"/>
      <c r="D763" s="1854" t="s">
        <v>2384</v>
      </c>
      <c r="E763" s="1854"/>
      <c r="F763" s="1854"/>
      <c r="H763" s="497"/>
      <c r="I763" s="479"/>
      <c r="J763" s="497"/>
      <c r="K763" s="497"/>
    </row>
    <row r="764" spans="1:11">
      <c r="A764" s="479"/>
      <c r="B764" s="479"/>
      <c r="C764" s="479"/>
      <c r="D764" s="1854"/>
      <c r="E764" s="1854"/>
      <c r="F764" s="1854"/>
      <c r="H764" s="497"/>
      <c r="I764" s="479"/>
      <c r="J764" s="497"/>
      <c r="K764" s="497"/>
    </row>
    <row r="765" spans="1:11">
      <c r="A765" s="479"/>
      <c r="B765" s="479"/>
      <c r="C765" s="479"/>
      <c r="D765" s="1854"/>
      <c r="E765" s="1854"/>
      <c r="F765" s="1854"/>
      <c r="H765" s="497"/>
      <c r="I765" s="479"/>
      <c r="J765" s="497"/>
      <c r="K765" s="497"/>
    </row>
    <row r="766" spans="1:11">
      <c r="A766" s="479"/>
      <c r="B766" s="479"/>
      <c r="C766" s="479"/>
      <c r="D766" s="1854"/>
      <c r="E766" s="1854"/>
      <c r="F766" s="1854"/>
      <c r="H766" s="497"/>
      <c r="I766" s="479"/>
      <c r="J766" s="497"/>
      <c r="K766" s="497"/>
    </row>
    <row r="767" spans="1:11">
      <c r="A767" s="479"/>
      <c r="B767" s="479"/>
      <c r="C767" s="479"/>
      <c r="H767" s="497"/>
      <c r="I767" s="479"/>
      <c r="J767" s="497"/>
      <c r="K767" s="497"/>
    </row>
    <row r="768" spans="1:11" ht="14.25">
      <c r="A768" s="480"/>
      <c r="B768" s="481" t="s">
        <v>2830</v>
      </c>
      <c r="C768" s="479"/>
      <c r="D768" s="1854" t="s">
        <v>1078</v>
      </c>
      <c r="E768" s="1854"/>
      <c r="F768" s="1854"/>
      <c r="H768" s="497"/>
      <c r="I768" s="479"/>
      <c r="J768" s="497"/>
      <c r="K768" s="497"/>
    </row>
    <row r="769" spans="1:11">
      <c r="A769" s="479"/>
      <c r="B769" s="479"/>
      <c r="C769" s="479"/>
      <c r="D769" s="1854"/>
      <c r="E769" s="1854"/>
      <c r="F769" s="1854"/>
      <c r="H769" s="497"/>
      <c r="I769" s="479"/>
      <c r="J769" s="497"/>
      <c r="K769" s="497"/>
    </row>
    <row r="770" spans="1:11">
      <c r="A770" s="479"/>
      <c r="B770" s="479"/>
      <c r="C770" s="479"/>
      <c r="D770" s="1854"/>
      <c r="E770" s="1854"/>
      <c r="F770" s="1854"/>
      <c r="H770" s="497"/>
      <c r="I770" s="479"/>
      <c r="J770" s="497"/>
      <c r="K770" s="497"/>
    </row>
    <row r="771" spans="1:11">
      <c r="A771" s="479"/>
      <c r="B771" s="479"/>
      <c r="C771" s="479"/>
      <c r="D771" s="1854"/>
      <c r="E771" s="1854"/>
      <c r="F771" s="1854"/>
      <c r="H771" s="497"/>
      <c r="I771" s="479"/>
      <c r="J771" s="497"/>
      <c r="K771" s="497"/>
    </row>
    <row r="772" spans="1:11">
      <c r="A772" s="479"/>
      <c r="B772" s="479"/>
      <c r="C772" s="479"/>
      <c r="D772" s="1854"/>
      <c r="E772" s="1854"/>
      <c r="F772" s="1854"/>
      <c r="H772" s="497"/>
      <c r="I772" s="479"/>
      <c r="J772" s="497"/>
      <c r="K772" s="497"/>
    </row>
    <row r="773" spans="1:11">
      <c r="A773" s="479"/>
      <c r="B773" s="479"/>
      <c r="C773" s="479"/>
      <c r="D773" s="488"/>
      <c r="H773" s="497"/>
      <c r="I773" s="479"/>
      <c r="J773" s="497"/>
      <c r="K773" s="497"/>
    </row>
    <row r="774" spans="1:11" ht="14.25">
      <c r="A774" s="480"/>
      <c r="B774" s="481" t="s">
        <v>2830</v>
      </c>
      <c r="C774" s="479"/>
      <c r="D774" s="1854" t="s">
        <v>2094</v>
      </c>
      <c r="E774" s="1854"/>
      <c r="F774" s="1854"/>
      <c r="H774" s="497"/>
      <c r="I774" s="479"/>
      <c r="J774" s="497"/>
      <c r="K774" s="497"/>
    </row>
    <row r="775" spans="1:11">
      <c r="A775" s="479"/>
      <c r="B775" s="479"/>
      <c r="C775" s="479"/>
      <c r="D775" s="1854"/>
      <c r="E775" s="1854"/>
      <c r="F775" s="1854"/>
      <c r="H775" s="497"/>
      <c r="I775" s="479"/>
      <c r="J775" s="497"/>
      <c r="K775" s="497"/>
    </row>
    <row r="776" spans="1:11">
      <c r="A776" s="479"/>
      <c r="B776" s="479"/>
      <c r="C776" s="479"/>
      <c r="D776" s="1854"/>
      <c r="E776" s="1854"/>
      <c r="F776" s="1854"/>
      <c r="H776" s="497"/>
      <c r="I776" s="479"/>
      <c r="J776" s="497"/>
      <c r="K776" s="497"/>
    </row>
    <row r="777" spans="1:11">
      <c r="A777" s="479"/>
      <c r="B777" s="479"/>
      <c r="C777" s="479"/>
      <c r="D777" s="1854"/>
      <c r="E777" s="1854"/>
      <c r="F777" s="1854"/>
      <c r="H777" s="497"/>
      <c r="I777" s="479"/>
      <c r="J777" s="497"/>
      <c r="K777" s="497"/>
    </row>
    <row r="778" spans="1:11">
      <c r="A778" s="479"/>
      <c r="B778" s="479"/>
      <c r="C778" s="479"/>
      <c r="D778" s="1854"/>
      <c r="E778" s="1854"/>
      <c r="F778" s="1854"/>
      <c r="H778" s="497"/>
      <c r="I778" s="479"/>
      <c r="J778" s="497"/>
      <c r="K778" s="497"/>
    </row>
    <row r="779" spans="1:11">
      <c r="A779" s="479"/>
      <c r="B779" s="479"/>
      <c r="C779" s="479"/>
      <c r="D779" s="1854"/>
      <c r="E779" s="1854"/>
      <c r="F779" s="1854"/>
      <c r="H779" s="497"/>
      <c r="I779" s="479"/>
      <c r="J779" s="497"/>
      <c r="K779" s="497"/>
    </row>
    <row r="780" spans="1:11">
      <c r="A780" s="479"/>
      <c r="B780" s="479"/>
      <c r="C780" s="479"/>
      <c r="D780" s="1854"/>
      <c r="E780" s="1854"/>
      <c r="F780" s="1854"/>
      <c r="H780" s="497"/>
      <c r="I780" s="479"/>
      <c r="J780" s="497"/>
      <c r="K780" s="497"/>
    </row>
    <row r="781" spans="1:11">
      <c r="A781" s="479"/>
      <c r="B781" s="479"/>
      <c r="C781" s="479"/>
      <c r="D781" s="1859" t="s">
        <v>2602</v>
      </c>
      <c r="E781" s="1859"/>
      <c r="F781" s="1859"/>
      <c r="H781" s="497"/>
      <c r="I781" s="479"/>
      <c r="J781" s="497"/>
      <c r="K781" s="497"/>
    </row>
    <row r="782" spans="1:11">
      <c r="A782" s="479"/>
      <c r="B782" s="479"/>
      <c r="C782" s="479"/>
      <c r="D782" s="338"/>
      <c r="H782" s="497"/>
      <c r="I782" s="479"/>
      <c r="J782" s="497"/>
      <c r="K782" s="497"/>
    </row>
    <row r="783" spans="1:11">
      <c r="A783" s="1858" t="s">
        <v>1060</v>
      </c>
      <c r="B783" s="1858"/>
      <c r="C783" s="1858"/>
      <c r="D783" s="1858"/>
      <c r="E783" s="1858"/>
      <c r="F783" s="1858"/>
      <c r="G783" s="1858"/>
      <c r="H783" s="1020"/>
      <c r="I783" s="1146"/>
      <c r="J783" s="497"/>
      <c r="K783" s="497"/>
    </row>
    <row r="784" spans="1:11">
      <c r="A784" s="479"/>
      <c r="B784" s="479"/>
      <c r="C784" s="479"/>
      <c r="D784" s="488"/>
      <c r="G784" s="497"/>
      <c r="H784" s="497"/>
      <c r="I784" s="479"/>
      <c r="J784" s="497"/>
      <c r="K784" s="497"/>
    </row>
    <row r="785" spans="1:11" ht="13.7" customHeight="1">
      <c r="C785" s="479"/>
      <c r="D785" s="1873" t="s">
        <v>1070</v>
      </c>
      <c r="E785" s="1873"/>
      <c r="F785" s="1873"/>
      <c r="G785" s="497"/>
      <c r="H785" s="497"/>
      <c r="I785" s="479"/>
      <c r="J785" s="497"/>
      <c r="K785" s="497"/>
    </row>
    <row r="786" spans="1:11">
      <c r="A786" s="479"/>
      <c r="B786" s="479"/>
      <c r="C786" s="479"/>
      <c r="D786" s="1860" t="s">
        <v>1071</v>
      </c>
      <c r="E786" s="1860"/>
      <c r="F786" s="1860"/>
      <c r="G786" s="497"/>
      <c r="H786" s="497"/>
      <c r="I786" s="479"/>
      <c r="J786" s="497"/>
      <c r="K786" s="497"/>
    </row>
    <row r="787" spans="1:11">
      <c r="A787" s="479"/>
      <c r="B787" s="479"/>
      <c r="C787" s="479"/>
      <c r="G787" s="497"/>
      <c r="H787" s="497"/>
      <c r="I787" s="479"/>
      <c r="J787" s="497"/>
      <c r="K787" s="497"/>
    </row>
    <row r="788" spans="1:11" ht="14.25">
      <c r="A788" s="480"/>
      <c r="B788" s="481" t="s">
        <v>2829</v>
      </c>
      <c r="D788" s="1854" t="s">
        <v>1072</v>
      </c>
      <c r="E788" s="1854"/>
      <c r="F788" s="1854"/>
      <c r="G788" s="497"/>
      <c r="H788" s="497"/>
      <c r="I788" s="479"/>
      <c r="J788" s="497"/>
      <c r="K788" s="497"/>
    </row>
    <row r="789" spans="1:11" ht="10.5" customHeight="1">
      <c r="D789" s="1854"/>
      <c r="E789" s="1854"/>
      <c r="F789" s="1854"/>
      <c r="G789" s="497"/>
      <c r="H789" s="497"/>
      <c r="I789" s="479"/>
      <c r="J789" s="497"/>
      <c r="K789" s="497"/>
    </row>
    <row r="790" spans="1:11">
      <c r="D790" s="1854"/>
      <c r="E790" s="1854"/>
      <c r="F790" s="1854"/>
      <c r="G790" s="497"/>
      <c r="H790" s="497"/>
      <c r="I790" s="479"/>
      <c r="J790" s="497"/>
      <c r="K790" s="497"/>
    </row>
    <row r="791" spans="1:11">
      <c r="D791" s="1854"/>
      <c r="E791" s="1854"/>
      <c r="F791" s="1854"/>
      <c r="G791" s="497"/>
      <c r="H791" s="497"/>
      <c r="I791" s="479"/>
      <c r="J791" s="497"/>
      <c r="K791" s="497"/>
    </row>
    <row r="792" spans="1:11">
      <c r="D792" s="1854"/>
      <c r="E792" s="1854"/>
      <c r="F792" s="1854"/>
      <c r="G792" s="497"/>
      <c r="H792" s="497"/>
      <c r="I792" s="479"/>
      <c r="J792" s="497"/>
      <c r="K792" s="497"/>
    </row>
    <row r="793" spans="1:11" ht="15.6" customHeight="1">
      <c r="D793" s="1854"/>
      <c r="E793" s="1854"/>
      <c r="F793" s="1854"/>
      <c r="G793" s="497"/>
      <c r="H793" s="497"/>
      <c r="I793" s="479"/>
      <c r="J793" s="497"/>
      <c r="K793" s="497"/>
    </row>
    <row r="794" spans="1:11">
      <c r="D794" s="495"/>
      <c r="E794" s="442"/>
      <c r="F794" s="442"/>
      <c r="G794" s="497"/>
      <c r="H794" s="497"/>
      <c r="I794" s="479"/>
      <c r="J794" s="497"/>
      <c r="K794" s="497"/>
    </row>
    <row r="795" spans="1:11" s="501" customFormat="1" ht="14.25">
      <c r="A795" s="499"/>
      <c r="B795" s="481" t="s">
        <v>2830</v>
      </c>
      <c r="C795" s="500"/>
      <c r="D795" s="1854" t="s">
        <v>1240</v>
      </c>
      <c r="E795" s="1854"/>
      <c r="F795" s="1854"/>
      <c r="I795" s="1147"/>
    </row>
    <row r="796" spans="1:11" s="501" customFormat="1">
      <c r="A796" s="500"/>
      <c r="B796" s="500"/>
      <c r="C796" s="500"/>
      <c r="D796" s="1854"/>
      <c r="E796" s="1854"/>
      <c r="F796" s="1854"/>
      <c r="I796" s="1147"/>
    </row>
    <row r="797" spans="1:11" s="501" customFormat="1">
      <c r="A797" s="500"/>
      <c r="B797" s="500"/>
      <c r="C797" s="500"/>
      <c r="D797" s="1854"/>
      <c r="E797" s="1854"/>
      <c r="F797" s="1854"/>
      <c r="I797" s="1147"/>
    </row>
    <row r="798" spans="1:11" s="501" customFormat="1">
      <c r="A798" s="500"/>
      <c r="B798" s="500"/>
      <c r="C798" s="500"/>
      <c r="D798" s="1854"/>
      <c r="E798" s="1854"/>
      <c r="F798" s="1854"/>
      <c r="I798" s="1147"/>
    </row>
    <row r="799" spans="1:11" s="501" customFormat="1">
      <c r="A799" s="500"/>
      <c r="B799" s="500"/>
      <c r="C799" s="500"/>
      <c r="D799" s="495"/>
      <c r="I799" s="1147"/>
    </row>
    <row r="800" spans="1:11" s="501" customFormat="1" ht="14.25">
      <c r="A800" s="480"/>
      <c r="B800" s="481" t="s">
        <v>2830</v>
      </c>
      <c r="C800" s="500"/>
      <c r="D800" s="1844" t="s">
        <v>1241</v>
      </c>
      <c r="E800" s="1844"/>
      <c r="F800" s="1844"/>
      <c r="I800" s="1147"/>
    </row>
    <row r="801" spans="1:11" s="501" customFormat="1">
      <c r="A801" s="500"/>
      <c r="B801" s="500"/>
      <c r="C801" s="500"/>
      <c r="D801" s="1844"/>
      <c r="E801" s="1844"/>
      <c r="F801" s="1844"/>
      <c r="I801" s="1147"/>
    </row>
    <row r="802" spans="1:11" s="501" customFormat="1">
      <c r="A802" s="500"/>
      <c r="B802" s="500"/>
      <c r="C802" s="500"/>
      <c r="D802" s="1844"/>
      <c r="E802" s="1844"/>
      <c r="F802" s="1844"/>
      <c r="I802" s="1147"/>
    </row>
    <row r="803" spans="1:11">
      <c r="D803" s="495"/>
      <c r="E803" s="442"/>
      <c r="F803" s="442"/>
      <c r="G803" s="497"/>
      <c r="H803" s="497"/>
      <c r="I803" s="479"/>
      <c r="J803" s="497"/>
      <c r="K803" s="497"/>
    </row>
    <row r="804" spans="1:11" ht="14.25">
      <c r="A804" s="480"/>
      <c r="B804" s="481" t="s">
        <v>2830</v>
      </c>
      <c r="D804" s="1854" t="s">
        <v>1197</v>
      </c>
      <c r="E804" s="1854"/>
      <c r="F804" s="1854"/>
      <c r="G804" s="497"/>
      <c r="H804" s="497"/>
      <c r="I804" s="479"/>
      <c r="J804" s="497"/>
      <c r="K804" s="497"/>
    </row>
    <row r="805" spans="1:11">
      <c r="D805" s="1854"/>
      <c r="E805" s="1854"/>
      <c r="F805" s="1854"/>
      <c r="G805" s="497"/>
      <c r="H805" s="497"/>
      <c r="I805" s="479"/>
      <c r="J805" s="497"/>
      <c r="K805" s="497"/>
    </row>
    <row r="806" spans="1:11">
      <c r="D806" s="441"/>
      <c r="E806" s="441"/>
      <c r="F806" s="441"/>
      <c r="G806" s="497"/>
      <c r="H806" s="497"/>
      <c r="I806" s="479"/>
      <c r="J806" s="497"/>
      <c r="K806" s="497"/>
    </row>
    <row r="807" spans="1:11">
      <c r="B807" s="481" t="s">
        <v>2830</v>
      </c>
      <c r="D807" s="1854" t="s">
        <v>1214</v>
      </c>
      <c r="E807" s="1854"/>
      <c r="F807" s="1854"/>
      <c r="G807" s="497"/>
      <c r="H807" s="497"/>
      <c r="I807" s="479"/>
      <c r="J807" s="497"/>
      <c r="K807" s="497"/>
    </row>
    <row r="808" spans="1:11">
      <c r="D808" s="1854"/>
      <c r="E808" s="1854"/>
      <c r="F808" s="1854"/>
      <c r="G808" s="497"/>
      <c r="H808" s="497"/>
      <c r="I808" s="479"/>
      <c r="J808" s="497"/>
      <c r="K808" s="497"/>
    </row>
    <row r="809" spans="1:11">
      <c r="D809" s="1854"/>
      <c r="E809" s="1854"/>
      <c r="F809" s="1854"/>
      <c r="G809" s="497"/>
      <c r="H809" s="497"/>
      <c r="I809" s="479"/>
      <c r="J809" s="497"/>
      <c r="K809" s="497"/>
    </row>
    <row r="810" spans="1:11">
      <c r="D810" s="441"/>
      <c r="E810" s="441"/>
      <c r="F810" s="441"/>
      <c r="G810" s="497"/>
      <c r="H810" s="497"/>
      <c r="I810" s="479"/>
      <c r="J810" s="497"/>
      <c r="K810" s="497"/>
    </row>
    <row r="811" spans="1:11" hidden="1">
      <c r="A811" s="1872" t="s">
        <v>1788</v>
      </c>
      <c r="B811" s="1872"/>
      <c r="C811" s="1872"/>
      <c r="D811" s="1872"/>
      <c r="E811" s="1872"/>
      <c r="F811" s="1872"/>
      <c r="G811" s="1872"/>
      <c r="H811" s="1018"/>
      <c r="I811" s="1142"/>
    </row>
    <row r="812" spans="1:11" hidden="1">
      <c r="A812" s="57"/>
      <c r="B812" s="57"/>
      <c r="C812" s="350"/>
      <c r="D812" s="3"/>
      <c r="E812" s="3"/>
      <c r="F812" s="3"/>
      <c r="G812" s="3"/>
      <c r="I812" s="486"/>
    </row>
    <row r="813" spans="1:11" hidden="1">
      <c r="A813" s="57"/>
      <c r="B813" s="57"/>
      <c r="C813" s="350"/>
      <c r="D813" s="1871" t="s">
        <v>1824</v>
      </c>
      <c r="E813" s="1871"/>
      <c r="F813" s="1871"/>
      <c r="G813" s="3"/>
      <c r="I813" s="486"/>
    </row>
    <row r="814" spans="1:11" hidden="1">
      <c r="A814" s="57"/>
      <c r="B814" s="57"/>
      <c r="C814" s="350"/>
      <c r="D814" s="1864" t="s">
        <v>1742</v>
      </c>
      <c r="E814" s="1864"/>
      <c r="F814" s="1864"/>
      <c r="G814" s="3"/>
      <c r="I814" s="486"/>
    </row>
    <row r="815" spans="1:11" hidden="1">
      <c r="A815" s="57"/>
      <c r="B815" s="57"/>
      <c r="C815" s="350"/>
      <c r="D815" s="443"/>
      <c r="E815" s="443"/>
      <c r="F815" s="443"/>
      <c r="G815" s="3"/>
      <c r="I815" s="486"/>
    </row>
    <row r="816" spans="1:11" hidden="1">
      <c r="A816" s="57"/>
      <c r="B816" s="481" t="s">
        <v>307</v>
      </c>
      <c r="C816" s="350"/>
      <c r="D816" s="1850" t="s">
        <v>1743</v>
      </c>
      <c r="E816" s="1850"/>
      <c r="F816" s="1850"/>
      <c r="G816" s="3"/>
      <c r="I816" s="479"/>
    </row>
    <row r="817" spans="1:9" hidden="1">
      <c r="A817" s="57"/>
      <c r="B817" s="57"/>
      <c r="C817" s="350"/>
      <c r="D817" s="1850"/>
      <c r="E817" s="1850"/>
      <c r="F817" s="1850"/>
      <c r="G817" s="3"/>
      <c r="I817" s="486"/>
    </row>
    <row r="818" spans="1:9" hidden="1">
      <c r="A818" s="174"/>
      <c r="B818" s="174"/>
      <c r="C818" s="174"/>
      <c r="D818" s="1850"/>
      <c r="E818" s="1850"/>
      <c r="F818" s="1850"/>
      <c r="G818" s="118"/>
      <c r="I818" s="486"/>
    </row>
    <row r="819" spans="1:9" hidden="1">
      <c r="A819" s="350"/>
      <c r="B819" s="350"/>
      <c r="C819" s="350"/>
      <c r="D819" s="173"/>
      <c r="E819" s="3"/>
      <c r="F819" s="3"/>
      <c r="G819" s="3"/>
      <c r="I819" s="486"/>
    </row>
    <row r="820" spans="1:9" hidden="1">
      <c r="A820" s="172"/>
      <c r="B820" s="481" t="s">
        <v>307</v>
      </c>
      <c r="C820" s="172"/>
      <c r="D820" s="1850" t="s">
        <v>1744</v>
      </c>
      <c r="E820" s="1850"/>
      <c r="F820" s="1850"/>
      <c r="G820" s="3"/>
      <c r="I820" s="479"/>
    </row>
    <row r="821" spans="1:9" hidden="1">
      <c r="A821" s="172"/>
      <c r="B821" s="172"/>
      <c r="C821" s="172"/>
      <c r="D821" s="1850"/>
      <c r="E821" s="1850"/>
      <c r="F821" s="1850"/>
      <c r="G821" s="3"/>
      <c r="I821" s="486"/>
    </row>
    <row r="822" spans="1:9" hidden="1">
      <c r="A822" s="172"/>
      <c r="B822" s="172"/>
      <c r="C822" s="172"/>
      <c r="D822" s="1850"/>
      <c r="E822" s="1850"/>
      <c r="F822" s="1850"/>
      <c r="G822" s="3"/>
      <c r="I822" s="486"/>
    </row>
    <row r="823" spans="1:9" hidden="1">
      <c r="A823" s="174"/>
      <c r="B823" s="174"/>
      <c r="C823" s="174"/>
      <c r="D823" s="3"/>
      <c r="E823" s="978"/>
      <c r="F823" s="978"/>
      <c r="G823" s="978"/>
      <c r="I823" s="486"/>
    </row>
    <row r="824" spans="1:9" ht="14.25" hidden="1">
      <c r="A824" s="175"/>
      <c r="B824" s="481" t="s">
        <v>307</v>
      </c>
      <c r="C824" s="979"/>
      <c r="D824" s="1850" t="s">
        <v>1745</v>
      </c>
      <c r="E824" s="1850"/>
      <c r="F824" s="1850"/>
      <c r="G824" s="978"/>
      <c r="I824" s="479"/>
    </row>
    <row r="825" spans="1:9" ht="14.25" hidden="1">
      <c r="A825" s="175"/>
      <c r="B825" s="175"/>
      <c r="C825" s="979"/>
      <c r="D825" s="1850"/>
      <c r="E825" s="1850"/>
      <c r="F825" s="1850"/>
      <c r="G825" s="978"/>
      <c r="I825" s="486"/>
    </row>
    <row r="826" spans="1:9" ht="14.25" hidden="1">
      <c r="A826" s="175"/>
      <c r="B826" s="175"/>
      <c r="C826" s="979"/>
      <c r="D826" s="1850"/>
      <c r="E826" s="1850"/>
      <c r="F826" s="1850"/>
      <c r="G826" s="978"/>
      <c r="I826" s="486"/>
    </row>
    <row r="827" spans="1:9" ht="14.25" hidden="1">
      <c r="A827" s="175"/>
      <c r="B827" s="175"/>
      <c r="C827" s="979"/>
      <c r="D827" s="118"/>
      <c r="E827" s="3"/>
      <c r="F827" s="3"/>
      <c r="G827" s="978"/>
      <c r="I827" s="486"/>
    </row>
    <row r="828" spans="1:9" ht="14.25" hidden="1">
      <c r="A828" s="175"/>
      <c r="B828" s="481" t="s">
        <v>307</v>
      </c>
      <c r="C828" s="979"/>
      <c r="D828" s="1850" t="s">
        <v>1746</v>
      </c>
      <c r="E828" s="1850"/>
      <c r="F828" s="1850"/>
      <c r="G828" s="978"/>
      <c r="I828" s="479"/>
    </row>
    <row r="829" spans="1:9" ht="14.25" hidden="1">
      <c r="A829" s="175"/>
      <c r="B829" s="175"/>
      <c r="C829" s="979"/>
      <c r="D829" s="1850"/>
      <c r="E829" s="1850"/>
      <c r="F829" s="1850"/>
      <c r="G829" s="978"/>
      <c r="I829" s="486"/>
    </row>
    <row r="830" spans="1:9" ht="14.25" hidden="1">
      <c r="A830" s="175"/>
      <c r="B830" s="175"/>
      <c r="C830" s="979"/>
      <c r="D830" s="1850"/>
      <c r="E830" s="1850"/>
      <c r="F830" s="1850"/>
      <c r="G830" s="978"/>
      <c r="I830" s="486"/>
    </row>
    <row r="831" spans="1:9" ht="14.25" hidden="1">
      <c r="A831" s="175"/>
      <c r="B831" s="175"/>
      <c r="C831" s="979"/>
      <c r="D831" s="1850"/>
      <c r="E831" s="1850"/>
      <c r="F831" s="1850"/>
      <c r="G831" s="978"/>
      <c r="I831" s="486"/>
    </row>
    <row r="832" spans="1:9" ht="14.25" hidden="1">
      <c r="A832" s="175"/>
      <c r="B832" s="175"/>
      <c r="C832" s="979"/>
      <c r="D832" s="1850"/>
      <c r="E832" s="1850"/>
      <c r="F832" s="1850"/>
      <c r="G832" s="978"/>
      <c r="I832" s="486"/>
    </row>
    <row r="833" spans="1:9" ht="14.25" hidden="1">
      <c r="A833" s="175"/>
      <c r="B833" s="175"/>
      <c r="C833" s="979"/>
      <c r="D833" s="1850"/>
      <c r="E833" s="1850"/>
      <c r="F833" s="1850"/>
      <c r="G833" s="978"/>
      <c r="I833" s="486"/>
    </row>
    <row r="834" spans="1:9" ht="14.25" hidden="1">
      <c r="A834" s="175"/>
      <c r="B834" s="175"/>
      <c r="C834" s="979"/>
      <c r="D834" s="1850" t="s">
        <v>1789</v>
      </c>
      <c r="E834" s="1850"/>
      <c r="F834" s="1850"/>
      <c r="G834" s="978"/>
      <c r="I834" s="486"/>
    </row>
    <row r="835" spans="1:9" ht="14.25" hidden="1">
      <c r="A835" s="175"/>
      <c r="B835" s="175"/>
      <c r="C835" s="979"/>
      <c r="D835" s="1850"/>
      <c r="E835" s="1850"/>
      <c r="F835" s="1850"/>
      <c r="G835" s="978"/>
      <c r="I835" s="486"/>
    </row>
    <row r="836" spans="1:9" ht="14.25" hidden="1">
      <c r="A836" s="175"/>
      <c r="B836" s="175"/>
      <c r="C836" s="979"/>
      <c r="D836" s="1850"/>
      <c r="E836" s="1850"/>
      <c r="F836" s="1850"/>
      <c r="G836" s="978"/>
      <c r="I836" s="486"/>
    </row>
    <row r="837" spans="1:9" ht="14.25" hidden="1">
      <c r="A837" s="175"/>
      <c r="B837" s="350"/>
      <c r="C837" s="979"/>
      <c r="D837" s="980"/>
      <c r="E837" s="980"/>
      <c r="F837" s="980"/>
      <c r="G837" s="978"/>
      <c r="I837" s="486"/>
    </row>
    <row r="838" spans="1:9" ht="14.25" hidden="1">
      <c r="A838" s="175"/>
      <c r="B838" s="481" t="s">
        <v>307</v>
      </c>
      <c r="C838" s="979"/>
      <c r="D838" s="1850" t="s">
        <v>1747</v>
      </c>
      <c r="E838" s="1850"/>
      <c r="F838" s="1850"/>
      <c r="G838" s="978"/>
      <c r="I838" s="479"/>
    </row>
    <row r="839" spans="1:9" ht="14.25" hidden="1">
      <c r="A839" s="175"/>
      <c r="B839" s="175"/>
      <c r="C839" s="979"/>
      <c r="D839" s="1850"/>
      <c r="E839" s="1850"/>
      <c r="F839" s="1850"/>
      <c r="G839" s="978"/>
      <c r="I839" s="486"/>
    </row>
    <row r="840" spans="1:9" ht="14.25" hidden="1">
      <c r="A840" s="175"/>
      <c r="B840" s="175"/>
      <c r="C840" s="979"/>
      <c r="D840" s="1850"/>
      <c r="E840" s="1850"/>
      <c r="F840" s="1850"/>
      <c r="G840" s="978"/>
      <c r="I840" s="486"/>
    </row>
    <row r="841" spans="1:9" ht="14.25" hidden="1">
      <c r="A841" s="175"/>
      <c r="B841" s="175"/>
      <c r="C841" s="979"/>
      <c r="D841" s="1850"/>
      <c r="E841" s="1850"/>
      <c r="F841" s="1850"/>
      <c r="G841" s="978"/>
      <c r="I841" s="486"/>
    </row>
    <row r="842" spans="1:9" ht="14.25" hidden="1">
      <c r="A842" s="175"/>
      <c r="B842" s="175"/>
      <c r="C842" s="979"/>
      <c r="D842" s="1850"/>
      <c r="E842" s="1850"/>
      <c r="F842" s="1850"/>
      <c r="G842" s="978"/>
      <c r="I842" s="486"/>
    </row>
    <row r="843" spans="1:9" ht="14.25" hidden="1">
      <c r="A843" s="175"/>
      <c r="B843" s="175"/>
      <c r="C843" s="979"/>
      <c r="D843" s="1850"/>
      <c r="E843" s="1850"/>
      <c r="F843" s="1850"/>
      <c r="G843" s="978"/>
      <c r="I843" s="486"/>
    </row>
    <row r="844" spans="1:9" ht="14.25" hidden="1">
      <c r="A844" s="175"/>
      <c r="B844" s="175"/>
      <c r="C844" s="979"/>
      <c r="D844" s="972"/>
      <c r="E844" s="972"/>
      <c r="F844" s="972"/>
      <c r="G844" s="978"/>
      <c r="I844" s="486"/>
    </row>
    <row r="845" spans="1:9" ht="14.25" hidden="1">
      <c r="A845" s="175"/>
      <c r="B845" s="481" t="s">
        <v>307</v>
      </c>
      <c r="C845" s="979"/>
      <c r="D845" s="1850" t="s">
        <v>1748</v>
      </c>
      <c r="E845" s="1850"/>
      <c r="F845" s="1850"/>
      <c r="G845" s="978"/>
      <c r="I845" s="479"/>
    </row>
    <row r="846" spans="1:9" ht="14.25" hidden="1">
      <c r="A846" s="175"/>
      <c r="B846" s="175"/>
      <c r="C846" s="979"/>
      <c r="D846" s="1850"/>
      <c r="E846" s="1850"/>
      <c r="F846" s="1850"/>
      <c r="G846" s="978"/>
      <c r="I846" s="486"/>
    </row>
    <row r="847" spans="1:9" ht="14.25" hidden="1">
      <c r="A847" s="175"/>
      <c r="B847" s="175"/>
      <c r="C847" s="979"/>
      <c r="D847" s="1850"/>
      <c r="E847" s="1850"/>
      <c r="F847" s="1850"/>
      <c r="G847" s="978"/>
      <c r="I847" s="486"/>
    </row>
    <row r="848" spans="1:9" ht="14.25" hidden="1">
      <c r="A848" s="175"/>
      <c r="B848" s="175"/>
      <c r="C848" s="979"/>
      <c r="D848" s="1850"/>
      <c r="E848" s="1850"/>
      <c r="F848" s="1850"/>
      <c r="G848" s="978"/>
      <c r="I848" s="486"/>
    </row>
    <row r="849" spans="1:9" ht="14.25" hidden="1">
      <c r="A849" s="175"/>
      <c r="B849" s="175"/>
      <c r="C849" s="979"/>
      <c r="D849" s="1850"/>
      <c r="E849" s="1850"/>
      <c r="F849" s="1850"/>
      <c r="G849" s="978"/>
      <c r="I849" s="486"/>
    </row>
    <row r="850" spans="1:9" ht="14.25" hidden="1">
      <c r="A850" s="175"/>
      <c r="B850" s="175"/>
      <c r="C850" s="979"/>
      <c r="D850" s="1850"/>
      <c r="E850" s="1850"/>
      <c r="F850" s="1850"/>
      <c r="G850" s="978"/>
      <c r="I850" s="486"/>
    </row>
    <row r="851" spans="1:9" ht="14.25" hidden="1">
      <c r="A851" s="175"/>
      <c r="B851" s="175"/>
      <c r="C851" s="979"/>
      <c r="D851" s="972"/>
      <c r="E851" s="972"/>
      <c r="F851" s="972"/>
      <c r="G851" s="978"/>
      <c r="I851" s="486"/>
    </row>
    <row r="852" spans="1:9" ht="14.25" hidden="1">
      <c r="A852" s="175"/>
      <c r="B852" s="481" t="s">
        <v>307</v>
      </c>
      <c r="C852" s="979"/>
      <c r="D852" s="1839" t="s">
        <v>1749</v>
      </c>
      <c r="E852" s="1839"/>
      <c r="F852" s="1839"/>
      <c r="G852" s="978"/>
      <c r="I852" s="479"/>
    </row>
    <row r="853" spans="1:9" ht="14.25" hidden="1">
      <c r="A853" s="175"/>
      <c r="B853" s="175"/>
      <c r="C853" s="979"/>
      <c r="D853" s="1839"/>
      <c r="E853" s="1839"/>
      <c r="F853" s="1839"/>
      <c r="G853" s="978"/>
      <c r="I853" s="486"/>
    </row>
    <row r="854" spans="1:9" hidden="1">
      <c r="A854" s="13"/>
      <c r="B854" s="13"/>
      <c r="C854" s="979"/>
      <c r="D854" s="1839"/>
      <c r="E854" s="1839"/>
      <c r="F854" s="1839"/>
      <c r="G854" s="978"/>
      <c r="I854" s="486"/>
    </row>
    <row r="855" spans="1:9" ht="14.25" hidden="1">
      <c r="A855" s="175"/>
      <c r="B855" s="13"/>
      <c r="C855" s="979"/>
      <c r="D855" s="1839"/>
      <c r="E855" s="1839"/>
      <c r="F855" s="1839"/>
      <c r="G855" s="978"/>
      <c r="I855" s="486"/>
    </row>
    <row r="856" spans="1:9" ht="12.75" hidden="1" customHeight="1">
      <c r="A856" s="175"/>
      <c r="B856" s="13"/>
      <c r="C856" s="979"/>
      <c r="D856" s="1839"/>
      <c r="E856" s="1839"/>
      <c r="F856" s="1839"/>
      <c r="G856" s="978"/>
      <c r="I856" s="486"/>
    </row>
    <row r="857" spans="1:9" ht="12.75" hidden="1" customHeight="1">
      <c r="A857" s="175"/>
      <c r="B857" s="13"/>
      <c r="C857" s="979"/>
      <c r="D857" s="1839"/>
      <c r="E857" s="1839"/>
      <c r="F857" s="1839"/>
      <c r="G857" s="978"/>
      <c r="I857" s="486"/>
    </row>
    <row r="858" spans="1:9" ht="12.75" hidden="1" customHeight="1">
      <c r="A858" s="13"/>
      <c r="B858" s="13"/>
      <c r="C858" s="979"/>
      <c r="D858" s="978"/>
      <c r="E858" s="3"/>
      <c r="F858" s="3"/>
      <c r="G858" s="978"/>
      <c r="I858" s="486"/>
    </row>
    <row r="859" spans="1:9" ht="12.75" customHeight="1">
      <c r="A859" s="1841" t="s">
        <v>1750</v>
      </c>
      <c r="B859" s="1841"/>
      <c r="C859" s="1841"/>
      <c r="D859" s="1841"/>
      <c r="E859" s="1841"/>
      <c r="F859" s="1841"/>
      <c r="G859" s="1841"/>
      <c r="H859" s="1018"/>
      <c r="I859" s="1142"/>
    </row>
    <row r="860" spans="1:9" ht="12.75" customHeight="1">
      <c r="A860" s="172"/>
      <c r="B860" s="172"/>
      <c r="C860" s="979"/>
      <c r="D860" s="978"/>
      <c r="E860" s="978"/>
      <c r="F860" s="978"/>
      <c r="G860" s="978"/>
      <c r="I860" s="486"/>
    </row>
    <row r="861" spans="1:9" ht="12.75" customHeight="1">
      <c r="A861" s="175"/>
      <c r="B861" s="175"/>
      <c r="C861" s="350"/>
      <c r="D861" s="1862" t="s">
        <v>1790</v>
      </c>
      <c r="E861" s="1862"/>
      <c r="F861" s="1862"/>
      <c r="G861" s="3"/>
      <c r="I861" s="486"/>
    </row>
    <row r="862" spans="1:9" ht="14.25" customHeight="1">
      <c r="A862" s="175"/>
      <c r="B862" s="175"/>
      <c r="C862" s="350"/>
      <c r="D862" s="1465" t="s">
        <v>1751</v>
      </c>
      <c r="E862" s="1465"/>
      <c r="F862" s="1465"/>
      <c r="G862" s="3"/>
      <c r="I862" s="486"/>
    </row>
    <row r="863" spans="1:9" ht="12.75" customHeight="1">
      <c r="A863" s="175"/>
      <c r="B863" s="175"/>
      <c r="C863" s="350"/>
      <c r="D863" s="437"/>
      <c r="E863" s="437"/>
      <c r="F863" s="437"/>
      <c r="G863" s="3"/>
      <c r="I863" s="486"/>
    </row>
    <row r="864" spans="1:9" ht="12.75" customHeight="1">
      <c r="A864" s="350"/>
      <c r="B864" s="481" t="s">
        <v>2829</v>
      </c>
      <c r="C864" s="979"/>
      <c r="D864" s="1465" t="s">
        <v>1752</v>
      </c>
      <c r="E864" s="1465"/>
      <c r="F864" s="1465"/>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63" t="s">
        <v>2026</v>
      </c>
      <c r="E867" s="1863"/>
      <c r="F867" s="1863"/>
      <c r="G867" s="3"/>
      <c r="I867" s="486"/>
    </row>
    <row r="868" spans="1:9" ht="12.75" hidden="1" customHeight="1">
      <c r="A868" s="13"/>
      <c r="B868" s="13"/>
      <c r="C868" s="979"/>
      <c r="D868" s="1863"/>
      <c r="E868" s="1863"/>
      <c r="F868" s="1863"/>
      <c r="G868" s="3"/>
      <c r="I868" s="486"/>
    </row>
    <row r="869" spans="1:9" ht="12.75" hidden="1" customHeight="1">
      <c r="A869" s="13"/>
      <c r="B869" s="13"/>
      <c r="C869" s="979"/>
      <c r="D869" s="1863"/>
      <c r="E869" s="1863"/>
      <c r="F869" s="1863"/>
      <c r="G869" s="3"/>
      <c r="I869" s="486"/>
    </row>
    <row r="870" spans="1:9" ht="12.75" hidden="1" customHeight="1">
      <c r="A870" s="13"/>
      <c r="B870" s="13"/>
      <c r="C870" s="979"/>
      <c r="D870" s="1863"/>
      <c r="E870" s="1863"/>
      <c r="F870" s="1863"/>
      <c r="G870" s="3"/>
      <c r="I870" s="486"/>
    </row>
    <row r="871" spans="1:9" ht="12.75" hidden="1" customHeight="1">
      <c r="A871" s="13"/>
      <c r="B871" s="13"/>
      <c r="C871" s="979"/>
      <c r="D871" s="1863"/>
      <c r="E871" s="1863"/>
      <c r="F871" s="1863"/>
      <c r="G871" s="3"/>
      <c r="I871" s="486"/>
    </row>
    <row r="872" spans="1:9" ht="12.75" hidden="1" customHeight="1">
      <c r="A872" s="13"/>
      <c r="B872" s="13"/>
      <c r="C872" s="979"/>
      <c r="D872" s="1863"/>
      <c r="E872" s="1863"/>
      <c r="F872" s="1863"/>
      <c r="G872" s="3"/>
      <c r="I872" s="486"/>
    </row>
    <row r="873" spans="1:9" ht="12.75" hidden="1" customHeight="1">
      <c r="A873" s="13"/>
      <c r="B873" s="13"/>
      <c r="C873" s="979"/>
      <c r="D873" s="1863"/>
      <c r="E873" s="1863"/>
      <c r="F873" s="1863"/>
      <c r="G873" s="3"/>
      <c r="I873" s="486"/>
    </row>
    <row r="874" spans="1:9" ht="12.75" hidden="1" customHeight="1">
      <c r="A874" s="13"/>
      <c r="B874" s="13"/>
      <c r="C874" s="979"/>
      <c r="D874" s="1863"/>
      <c r="E874" s="1863"/>
      <c r="F874" s="1863"/>
      <c r="G874" s="3"/>
      <c r="I874" s="486"/>
    </row>
    <row r="875" spans="1:9" ht="12.75" hidden="1" customHeight="1">
      <c r="A875" s="13"/>
      <c r="B875" s="13"/>
      <c r="C875" s="979"/>
      <c r="D875" s="1863"/>
      <c r="E875" s="1863"/>
      <c r="F875" s="1863"/>
      <c r="G875" s="3"/>
      <c r="I875" s="486"/>
    </row>
    <row r="876" spans="1:9" ht="12.75" hidden="1" customHeight="1">
      <c r="A876" s="13"/>
      <c r="B876" s="13"/>
      <c r="C876" s="979"/>
      <c r="D876" s="1863"/>
      <c r="E876" s="1863"/>
      <c r="F876" s="1863"/>
      <c r="G876" s="3"/>
      <c r="I876" s="486"/>
    </row>
    <row r="877" spans="1:9" ht="12.75" hidden="1" customHeight="1">
      <c r="A877" s="13"/>
      <c r="B877" s="13"/>
      <c r="C877" s="979"/>
      <c r="D877" s="981"/>
      <c r="E877" s="3"/>
      <c r="F877" s="3"/>
      <c r="G877" s="3"/>
      <c r="I877" s="486"/>
    </row>
    <row r="878" spans="1:9" ht="12.75" customHeight="1">
      <c r="A878" s="175"/>
      <c r="B878" s="481" t="s">
        <v>2829</v>
      </c>
      <c r="C878" s="979"/>
      <c r="D878" s="1465" t="s">
        <v>1753</v>
      </c>
      <c r="E878" s="1465"/>
      <c r="F878" s="1465"/>
      <c r="G878" s="3"/>
      <c r="I878" s="486" t="s">
        <v>1851</v>
      </c>
    </row>
    <row r="879" spans="1:9" ht="12.75" customHeight="1">
      <c r="A879" s="175"/>
      <c r="B879" s="175"/>
      <c r="C879" s="979"/>
      <c r="D879" s="1465"/>
      <c r="E879" s="1465"/>
      <c r="F879" s="1465"/>
      <c r="G879" s="3"/>
      <c r="I879" s="486"/>
    </row>
    <row r="880" spans="1:9" ht="12.75" customHeight="1">
      <c r="A880" s="175"/>
      <c r="B880" s="175"/>
      <c r="C880" s="979"/>
      <c r="D880" s="1465"/>
      <c r="E880" s="1465"/>
      <c r="F880" s="1465"/>
      <c r="G880" s="3"/>
      <c r="I880" s="486"/>
    </row>
    <row r="881" spans="1:9" ht="12.75" customHeight="1">
      <c r="A881" s="175"/>
      <c r="B881" s="175"/>
      <c r="C881" s="979"/>
      <c r="D881" s="118"/>
      <c r="E881" s="3"/>
      <c r="F881" s="3"/>
      <c r="G881" s="3"/>
      <c r="I881" s="486"/>
    </row>
    <row r="882" spans="1:9" ht="12.75" customHeight="1">
      <c r="A882" s="982"/>
      <c r="B882" s="481" t="s">
        <v>2830</v>
      </c>
      <c r="C882" s="979"/>
      <c r="D882" s="1862" t="s">
        <v>1754</v>
      </c>
      <c r="E882" s="1862"/>
      <c r="F882" s="1862"/>
      <c r="G882" s="3"/>
      <c r="I882" s="486"/>
    </row>
    <row r="883" spans="1:9" ht="12.75" customHeight="1">
      <c r="A883" s="350"/>
      <c r="B883" s="982"/>
      <c r="C883" s="979"/>
      <c r="D883" s="1862"/>
      <c r="E883" s="1862"/>
      <c r="F883" s="1862"/>
      <c r="G883" s="3"/>
      <c r="I883" s="486"/>
    </row>
    <row r="884" spans="1:9" ht="12.75" customHeight="1">
      <c r="A884" s="175"/>
      <c r="B884" s="350"/>
      <c r="C884" s="979"/>
      <c r="D884" s="1465" t="s">
        <v>2021</v>
      </c>
      <c r="E884" s="1465"/>
      <c r="F884" s="1465"/>
      <c r="G884" s="3"/>
      <c r="I884" s="486"/>
    </row>
    <row r="885" spans="1:9" ht="12.75" customHeight="1">
      <c r="A885" s="175"/>
      <c r="B885" s="175"/>
      <c r="C885" s="979"/>
      <c r="D885" s="1465"/>
      <c r="E885" s="1465"/>
      <c r="F885" s="1465"/>
      <c r="G885" s="3"/>
      <c r="I885" s="486"/>
    </row>
    <row r="886" spans="1:9" ht="12.75" customHeight="1">
      <c r="A886" s="175"/>
      <c r="B886" s="175"/>
      <c r="C886" s="979"/>
      <c r="D886" s="1465"/>
      <c r="E886" s="1465"/>
      <c r="F886" s="1465"/>
      <c r="G886" s="3"/>
      <c r="I886" s="486"/>
    </row>
    <row r="887" spans="1:9" ht="12.75" customHeight="1">
      <c r="A887" s="175"/>
      <c r="B887" s="175"/>
      <c r="C887" s="979"/>
      <c r="D887" s="1465"/>
      <c r="E887" s="1465"/>
      <c r="F887" s="1465"/>
      <c r="G887" s="3"/>
      <c r="I887" s="486"/>
    </row>
    <row r="888" spans="1:9" ht="12.75" customHeight="1">
      <c r="A888" s="175"/>
      <c r="B888" s="175"/>
      <c r="C888" s="979"/>
      <c r="D888" s="1465"/>
      <c r="E888" s="1465"/>
      <c r="F888" s="1465"/>
      <c r="G888" s="3"/>
      <c r="I888" s="486"/>
    </row>
    <row r="889" spans="1:9" ht="12.75" customHeight="1">
      <c r="A889" s="175"/>
      <c r="B889" s="175"/>
      <c r="C889" s="979"/>
      <c r="D889" s="1465"/>
      <c r="E889" s="1465"/>
      <c r="F889" s="1465"/>
      <c r="G889" s="3"/>
      <c r="I889" s="486"/>
    </row>
    <row r="890" spans="1:9" ht="12.75" customHeight="1">
      <c r="A890" s="175"/>
      <c r="B890" s="175"/>
      <c r="C890" s="979"/>
      <c r="D890" s="118"/>
      <c r="E890" s="3"/>
      <c r="F890" s="3"/>
      <c r="G890" s="3"/>
      <c r="I890" s="486"/>
    </row>
    <row r="891" spans="1:9" ht="12.75" customHeight="1">
      <c r="A891" s="175"/>
      <c r="B891" s="481" t="s">
        <v>2830</v>
      </c>
      <c r="C891" s="979"/>
      <c r="D891" s="1465" t="s">
        <v>1755</v>
      </c>
      <c r="E891" s="1465"/>
      <c r="F891" s="1465"/>
      <c r="G891" s="3"/>
      <c r="I891" s="486" t="s">
        <v>1849</v>
      </c>
    </row>
    <row r="892" spans="1:9" ht="12.75" customHeight="1">
      <c r="A892" s="175"/>
      <c r="B892" s="175"/>
      <c r="C892" s="979"/>
      <c r="D892" s="1465" t="s">
        <v>1756</v>
      </c>
      <c r="E892" s="1465"/>
      <c r="F892" s="1465"/>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2830</v>
      </c>
      <c r="C895" s="979"/>
      <c r="D895" s="1465" t="s">
        <v>1757</v>
      </c>
      <c r="E895" s="1465"/>
      <c r="F895" s="1465"/>
      <c r="G895" s="3"/>
      <c r="I895" s="486" t="s">
        <v>1852</v>
      </c>
    </row>
    <row r="896" spans="1:9" ht="12.75" customHeight="1">
      <c r="A896" s="175"/>
      <c r="B896" s="175"/>
      <c r="C896" s="979"/>
      <c r="D896" s="1465"/>
      <c r="E896" s="1465"/>
      <c r="F896" s="1465"/>
      <c r="G896" s="3"/>
      <c r="I896" s="486"/>
    </row>
    <row r="897" spans="1:9" ht="12.75" customHeight="1">
      <c r="A897" s="175"/>
      <c r="B897" s="175"/>
      <c r="C897" s="979"/>
      <c r="D897" s="1465"/>
      <c r="E897" s="1465"/>
      <c r="F897" s="1465"/>
      <c r="G897" s="3"/>
      <c r="I897" s="486"/>
    </row>
    <row r="898" spans="1:9" ht="12.75" customHeight="1">
      <c r="A898" s="175"/>
      <c r="B898" s="175"/>
      <c r="C898" s="979"/>
      <c r="D898" s="1465"/>
      <c r="E898" s="1465"/>
      <c r="F898" s="1465"/>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8" t="s">
        <v>1791</v>
      </c>
      <c r="E902" s="1838"/>
      <c r="F902" s="1838"/>
      <c r="G902" s="978"/>
      <c r="I902" s="486"/>
    </row>
    <row r="903" spans="1:9" ht="12.75" customHeight="1">
      <c r="A903" s="350"/>
      <c r="B903" s="350"/>
      <c r="C903" s="174"/>
      <c r="D903" s="1861" t="s">
        <v>1759</v>
      </c>
      <c r="E903" s="1861"/>
      <c r="F903" s="1861"/>
      <c r="G903" s="978"/>
      <c r="I903" s="486"/>
    </row>
    <row r="904" spans="1:9" ht="12.75" customHeight="1">
      <c r="A904" s="350"/>
      <c r="B904" s="350"/>
      <c r="C904" s="174"/>
      <c r="D904" s="985"/>
      <c r="E904" s="985"/>
      <c r="F904" s="985"/>
      <c r="G904" s="978"/>
      <c r="I904" s="486"/>
    </row>
    <row r="905" spans="1:9" ht="12.75" customHeight="1">
      <c r="A905" s="175"/>
      <c r="B905" s="481" t="s">
        <v>2829</v>
      </c>
      <c r="C905" s="350"/>
      <c r="D905" s="1835" t="s">
        <v>1760</v>
      </c>
      <c r="E905" s="1835"/>
      <c r="F905" s="1835"/>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2829</v>
      </c>
      <c r="C908" s="350"/>
      <c r="D908" s="1465" t="s">
        <v>1761</v>
      </c>
      <c r="E908" s="1868"/>
      <c r="F908" s="1868"/>
      <c r="G908" s="3"/>
      <c r="I908" s="486" t="s">
        <v>1852</v>
      </c>
    </row>
    <row r="909" spans="1:9" ht="12.75" customHeight="1">
      <c r="A909" s="350"/>
      <c r="B909" s="350"/>
      <c r="C909" s="350"/>
      <c r="D909" s="1868"/>
      <c r="E909" s="1868"/>
      <c r="F909" s="1868"/>
      <c r="G909" s="3"/>
      <c r="I909" s="486"/>
    </row>
    <row r="910" spans="1:9" ht="12.75" customHeight="1">
      <c r="A910" s="350"/>
      <c r="B910" s="350"/>
      <c r="C910" s="350"/>
      <c r="D910" s="118"/>
      <c r="E910" s="3"/>
      <c r="F910" s="3"/>
      <c r="G910" s="3"/>
      <c r="I910" s="486"/>
    </row>
    <row r="911" spans="1:9" ht="12.75" customHeight="1">
      <c r="A911" s="350"/>
      <c r="B911" s="481" t="s">
        <v>2830</v>
      </c>
      <c r="C911" s="350"/>
      <c r="D911" s="1869" t="s">
        <v>1762</v>
      </c>
      <c r="E911" s="1869"/>
      <c r="F911" s="1869"/>
      <c r="G911" s="978"/>
      <c r="I911" s="486"/>
    </row>
    <row r="912" spans="1:9" ht="12.75" customHeight="1">
      <c r="A912" s="350"/>
      <c r="B912" s="986"/>
      <c r="C912" s="350"/>
      <c r="D912" s="1869"/>
      <c r="E912" s="1869"/>
      <c r="F912" s="1869"/>
      <c r="G912" s="978"/>
      <c r="I912" s="486"/>
    </row>
    <row r="913" spans="1:9" ht="12.75" customHeight="1">
      <c r="A913" s="175"/>
      <c r="B913"/>
      <c r="C913" s="350"/>
      <c r="D913" s="1465" t="s">
        <v>2021</v>
      </c>
      <c r="E913" s="1465"/>
      <c r="F913" s="1465"/>
      <c r="G913" s="978"/>
      <c r="I913" s="486"/>
    </row>
    <row r="914" spans="1:9" ht="12.75" customHeight="1">
      <c r="A914" s="175"/>
      <c r="B914" s="175"/>
      <c r="C914" s="350"/>
      <c r="D914" s="1465"/>
      <c r="E914" s="1465"/>
      <c r="F914" s="1465"/>
      <c r="G914" s="978"/>
      <c r="I914" s="486"/>
    </row>
    <row r="915" spans="1:9" ht="12.75" customHeight="1">
      <c r="A915" s="175"/>
      <c r="B915" s="175"/>
      <c r="C915" s="350"/>
      <c r="D915" s="1465"/>
      <c r="E915" s="1465"/>
      <c r="F915" s="1465"/>
      <c r="G915" s="978"/>
      <c r="I915" s="486"/>
    </row>
    <row r="916" spans="1:9" ht="12.75" customHeight="1">
      <c r="A916" s="175"/>
      <c r="B916" s="175"/>
      <c r="C916" s="350"/>
      <c r="D916" s="1465"/>
      <c r="E916" s="1465"/>
      <c r="F916" s="1465"/>
      <c r="G916" s="978"/>
      <c r="I916" s="486"/>
    </row>
    <row r="917" spans="1:9" ht="12.75" customHeight="1">
      <c r="A917" s="175"/>
      <c r="B917" s="175"/>
      <c r="C917" s="350"/>
      <c r="D917" s="1465"/>
      <c r="E917" s="1465"/>
      <c r="F917" s="1465"/>
      <c r="G917" s="978"/>
      <c r="I917" s="486"/>
    </row>
    <row r="918" spans="1:9" ht="12.75" customHeight="1">
      <c r="A918" s="175"/>
      <c r="B918" s="175"/>
      <c r="C918" s="350"/>
      <c r="D918" s="1465"/>
      <c r="E918" s="1465"/>
      <c r="F918" s="1465"/>
      <c r="G918" s="978"/>
      <c r="I918" s="486"/>
    </row>
    <row r="919" spans="1:9" ht="12.75" customHeight="1">
      <c r="A919" s="175"/>
      <c r="B919" s="175"/>
      <c r="C919" s="350"/>
      <c r="D919" s="118"/>
      <c r="E919" s="978"/>
      <c r="F919" s="978"/>
      <c r="G919" s="978"/>
      <c r="I919" s="486"/>
    </row>
    <row r="920" spans="1:9" ht="12.75" customHeight="1">
      <c r="A920" s="175"/>
      <c r="B920" s="481" t="s">
        <v>2830</v>
      </c>
      <c r="C920" s="350"/>
      <c r="D920" s="1837" t="s">
        <v>1755</v>
      </c>
      <c r="E920" s="1837"/>
      <c r="F920" s="1837"/>
      <c r="G920" s="978"/>
      <c r="I920" s="486"/>
    </row>
    <row r="921" spans="1:9" ht="12.75" customHeight="1">
      <c r="A921" s="175"/>
      <c r="B921" s="175"/>
      <c r="C921" s="350"/>
      <c r="D921" s="1837" t="s">
        <v>1756</v>
      </c>
      <c r="E921" s="1837"/>
      <c r="F921" s="1837"/>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2830</v>
      </c>
      <c r="C924" s="350"/>
      <c r="D924" s="1465" t="s">
        <v>1757</v>
      </c>
      <c r="E924" s="1465"/>
      <c r="F924" s="1465"/>
      <c r="G924" s="978"/>
      <c r="I924" s="486"/>
    </row>
    <row r="925" spans="1:9" ht="12.75" customHeight="1">
      <c r="A925" s="175"/>
      <c r="B925" s="175"/>
      <c r="C925" s="350"/>
      <c r="D925" s="1465"/>
      <c r="E925" s="1465"/>
      <c r="F925" s="1465"/>
      <c r="G925" s="978"/>
      <c r="I925" s="486"/>
    </row>
    <row r="926" spans="1:9" ht="12.75" customHeight="1">
      <c r="A926" s="175"/>
      <c r="B926" s="175"/>
      <c r="C926" s="350"/>
      <c r="D926" s="1465"/>
      <c r="E926" s="1465"/>
      <c r="F926" s="1465"/>
      <c r="G926" s="978"/>
      <c r="I926" s="486"/>
    </row>
    <row r="927" spans="1:9" ht="12.75" customHeight="1">
      <c r="A927" s="175"/>
      <c r="B927" s="175"/>
      <c r="C927" s="350"/>
      <c r="D927" s="1465"/>
      <c r="E927" s="1465"/>
      <c r="F927" s="1465"/>
      <c r="G927" s="978"/>
      <c r="I927" s="486"/>
    </row>
    <row r="928" spans="1:9" ht="12.75" customHeight="1">
      <c r="A928" s="118"/>
      <c r="B928" s="118"/>
      <c r="C928" s="979"/>
      <c r="D928" s="978"/>
      <c r="E928" s="978"/>
      <c r="F928" s="978"/>
      <c r="G928" s="978"/>
      <c r="I928" s="486"/>
    </row>
    <row r="929" spans="1:9" ht="12.75" customHeight="1">
      <c r="A929" s="1841" t="s">
        <v>2645</v>
      </c>
      <c r="B929" s="1841"/>
      <c r="C929" s="1841"/>
      <c r="D929" s="1841"/>
      <c r="E929" s="1841"/>
      <c r="F929" s="1841"/>
      <c r="G929" s="1841"/>
      <c r="H929" s="1018"/>
      <c r="I929" s="1142"/>
    </row>
    <row r="930" spans="1:9" ht="12.75" customHeight="1">
      <c r="A930" s="57"/>
      <c r="B930" s="57"/>
      <c r="C930" s="57"/>
      <c r="D930" s="57"/>
      <c r="E930" s="57"/>
      <c r="F930" s="57"/>
      <c r="G930" s="57"/>
      <c r="I930" s="486"/>
    </row>
    <row r="931" spans="1:9" ht="12.75" customHeight="1">
      <c r="A931" s="57"/>
      <c r="B931" s="57"/>
      <c r="C931" s="57"/>
      <c r="D931" s="1842" t="s">
        <v>2644</v>
      </c>
      <c r="E931" s="1842"/>
      <c r="F931" s="1842"/>
      <c r="G931" s="57"/>
      <c r="I931" s="486"/>
    </row>
    <row r="932" spans="1:9" ht="12.75" customHeight="1">
      <c r="A932" s="57"/>
      <c r="B932" s="57"/>
      <c r="C932" s="57"/>
      <c r="D932" s="971"/>
      <c r="E932" s="971"/>
      <c r="F932" s="971"/>
      <c r="G932" s="57"/>
      <c r="I932" s="486"/>
    </row>
    <row r="933" spans="1:9" ht="12.75" customHeight="1">
      <c r="A933" s="57"/>
      <c r="B933" s="481" t="s">
        <v>2829</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2" t="s">
        <v>1792</v>
      </c>
      <c r="E935" s="1842"/>
      <c r="F935" s="1842"/>
      <c r="G935" s="978"/>
      <c r="I935" s="486"/>
    </row>
    <row r="936" spans="1:9" ht="12.75" customHeight="1">
      <c r="A936" s="172"/>
      <c r="B936" s="172"/>
      <c r="C936" s="172"/>
      <c r="D936" s="1835" t="s">
        <v>1763</v>
      </c>
      <c r="E936" s="1835"/>
      <c r="F936" s="1835"/>
      <c r="G936" s="978"/>
      <c r="I936" s="486"/>
    </row>
    <row r="937" spans="1:9" ht="12.75" customHeight="1">
      <c r="A937" s="979"/>
      <c r="B937" s="979"/>
      <c r="C937" s="979"/>
      <c r="D937" s="2"/>
      <c r="E937" s="978"/>
      <c r="F937" s="978"/>
      <c r="G937" s="978"/>
      <c r="I937" s="486"/>
    </row>
    <row r="938" spans="1:9" ht="12.75" customHeight="1">
      <c r="A938" s="175"/>
      <c r="B938" s="481" t="s">
        <v>2829</v>
      </c>
      <c r="C938" s="350"/>
      <c r="D938" s="1465" t="s">
        <v>1767</v>
      </c>
      <c r="E938" s="1465"/>
      <c r="F938" s="1465"/>
      <c r="G938" s="3"/>
      <c r="I938" s="486"/>
    </row>
    <row r="939" spans="1:9" ht="12.75" customHeight="1">
      <c r="A939" s="350"/>
      <c r="B939" s="350"/>
      <c r="C939" s="350"/>
      <c r="D939" s="1465"/>
      <c r="E939" s="1465"/>
      <c r="F939" s="1465"/>
      <c r="G939" s="3"/>
      <c r="I939" s="486"/>
    </row>
    <row r="940" spans="1:9" ht="12.75" customHeight="1">
      <c r="A940" s="172"/>
      <c r="B940" s="172"/>
      <c r="C940" s="172"/>
      <c r="D940" s="1465" t="s">
        <v>1766</v>
      </c>
      <c r="E940" s="1465"/>
      <c r="F940" s="1465"/>
      <c r="G940" s="978"/>
      <c r="I940" s="486"/>
    </row>
    <row r="941" spans="1:9" ht="12.75" customHeight="1">
      <c r="A941" s="172"/>
      <c r="B941" s="172"/>
      <c r="C941" s="172"/>
      <c r="D941" s="1465"/>
      <c r="E941" s="1465"/>
      <c r="F941" s="1465"/>
      <c r="G941" s="978"/>
      <c r="I941" s="486"/>
    </row>
    <row r="942" spans="1:9" ht="12.75" customHeight="1">
      <c r="A942" s="172"/>
      <c r="B942" s="172"/>
      <c r="C942" s="172"/>
      <c r="D942" s="3"/>
      <c r="E942" s="3"/>
      <c r="F942" s="978"/>
      <c r="G942" s="978"/>
      <c r="I942" s="486"/>
    </row>
    <row r="943" spans="1:9" ht="12.75" customHeight="1">
      <c r="A943" s="175"/>
      <c r="B943" s="481" t="s">
        <v>2829</v>
      </c>
      <c r="C943" s="174"/>
      <c r="D943" s="1827" t="s">
        <v>1764</v>
      </c>
      <c r="E943" s="1827"/>
      <c r="F943" s="1827"/>
      <c r="G943" s="978"/>
      <c r="I943" s="486"/>
    </row>
    <row r="944" spans="1:9" ht="12.75" customHeight="1">
      <c r="A944" s="175"/>
      <c r="B944" s="175"/>
      <c r="C944" s="174"/>
      <c r="D944" s="1827"/>
      <c r="E944" s="1827"/>
      <c r="F944" s="1827"/>
      <c r="G944" s="978"/>
      <c r="I944" s="486"/>
    </row>
    <row r="945" spans="1:9" ht="12.75" customHeight="1">
      <c r="A945" s="175"/>
      <c r="B945" s="175"/>
      <c r="C945" s="174"/>
      <c r="D945" s="1827"/>
      <c r="E945" s="1827"/>
      <c r="F945" s="1827"/>
      <c r="G945" s="978"/>
      <c r="I945" s="486"/>
    </row>
    <row r="946" spans="1:9" ht="12.75" customHeight="1">
      <c r="A946" s="175"/>
      <c r="B946" s="175"/>
      <c r="C946" s="174"/>
      <c r="D946" s="1827"/>
      <c r="E946" s="1827"/>
      <c r="F946" s="1827"/>
      <c r="G946" s="978"/>
      <c r="I946" s="486"/>
    </row>
    <row r="947" spans="1:9" ht="12.75" customHeight="1">
      <c r="A947" s="175"/>
      <c r="B947" s="175"/>
      <c r="C947" s="174"/>
      <c r="D947" s="1827"/>
      <c r="E947" s="1827"/>
      <c r="F947" s="1827"/>
      <c r="G947" s="978"/>
      <c r="I947" s="486"/>
    </row>
    <row r="948" spans="1:9" ht="12.75" customHeight="1">
      <c r="A948" s="174"/>
      <c r="B948" s="174"/>
      <c r="C948" s="174"/>
      <c r="D948" s="1827"/>
      <c r="E948" s="1827"/>
      <c r="F948" s="1827"/>
      <c r="G948" s="978"/>
      <c r="I948" s="486"/>
    </row>
    <row r="949" spans="1:9" ht="12.75" customHeight="1">
      <c r="A949" s="174"/>
      <c r="B949" s="174"/>
      <c r="C949" s="174"/>
      <c r="D949" s="1827"/>
      <c r="E949" s="1827"/>
      <c r="F949" s="1827"/>
      <c r="G949" s="978"/>
      <c r="I949" s="486"/>
    </row>
    <row r="950" spans="1:9" ht="12.75" customHeight="1">
      <c r="A950" s="174"/>
      <c r="B950" s="174"/>
      <c r="C950" s="174"/>
      <c r="D950" s="1827"/>
      <c r="E950" s="1827"/>
      <c r="F950" s="1827"/>
      <c r="G950" s="978"/>
      <c r="I950" s="486"/>
    </row>
    <row r="951" spans="1:9" ht="12.75" customHeight="1">
      <c r="A951" s="174"/>
      <c r="B951" s="174"/>
      <c r="C951" s="174"/>
      <c r="D951" s="332"/>
      <c r="E951" s="332"/>
      <c r="F951" s="332"/>
      <c r="G951" s="978"/>
      <c r="I951" s="486"/>
    </row>
    <row r="952" spans="1:9" ht="12.75" customHeight="1">
      <c r="A952" s="979"/>
      <c r="B952" s="481" t="s">
        <v>2830</v>
      </c>
      <c r="C952" s="979"/>
      <c r="D952" s="1465" t="s">
        <v>1768</v>
      </c>
      <c r="E952" s="1465"/>
      <c r="F952" s="1465"/>
      <c r="G952" s="978"/>
      <c r="I952" s="486"/>
    </row>
    <row r="953" spans="1:9" ht="12.75" customHeight="1">
      <c r="A953" s="979"/>
      <c r="B953" s="979"/>
      <c r="C953" s="979"/>
      <c r="D953" s="1465"/>
      <c r="E953" s="1465"/>
      <c r="F953" s="1465"/>
      <c r="G953" s="978"/>
      <c r="I953" s="486"/>
    </row>
    <row r="954" spans="1:9" ht="12.75" customHeight="1">
      <c r="A954" s="979"/>
      <c r="B954" s="979"/>
      <c r="C954" s="979"/>
      <c r="D954" s="978"/>
      <c r="E954" s="978"/>
      <c r="F954" s="978"/>
      <c r="G954" s="978"/>
      <c r="I954" s="486"/>
    </row>
    <row r="955" spans="1:9" ht="12.75" customHeight="1">
      <c r="A955" s="979"/>
      <c r="B955" s="481" t="s">
        <v>2830</v>
      </c>
      <c r="C955" s="979"/>
      <c r="D955" s="1839" t="s">
        <v>1769</v>
      </c>
      <c r="E955" s="1839"/>
      <c r="F955" s="1839"/>
      <c r="G955" s="978"/>
      <c r="I955" s="486"/>
    </row>
    <row r="956" spans="1:9" ht="12.75" customHeight="1">
      <c r="A956" s="979"/>
      <c r="B956" s="979"/>
      <c r="C956" s="979"/>
      <c r="D956" s="1839"/>
      <c r="E956" s="1839"/>
      <c r="F956" s="1839"/>
      <c r="G956" s="978"/>
      <c r="I956" s="486"/>
    </row>
    <row r="957" spans="1:9" ht="12.75" customHeight="1">
      <c r="A957" s="979"/>
      <c r="B957" s="979"/>
      <c r="C957" s="979"/>
      <c r="D957" s="1839"/>
      <c r="E957" s="1839"/>
      <c r="F957" s="1839"/>
      <c r="G957" s="978"/>
      <c r="I957" s="486"/>
    </row>
    <row r="958" spans="1:9" ht="12.75" customHeight="1">
      <c r="A958" s="979"/>
      <c r="B958" s="979"/>
      <c r="C958" s="979"/>
      <c r="D958" s="1839"/>
      <c r="E958" s="1839"/>
      <c r="F958" s="1839"/>
      <c r="G958" s="978"/>
      <c r="I958" s="486"/>
    </row>
    <row r="959" spans="1:9" ht="12.75" customHeight="1">
      <c r="A959" s="979"/>
      <c r="B959" s="979"/>
      <c r="C959" s="979"/>
      <c r="D959" s="118"/>
      <c r="E959" s="978"/>
      <c r="F959" s="978"/>
      <c r="G959" s="978"/>
      <c r="I959" s="486"/>
    </row>
    <row r="960" spans="1:9" ht="12.75" customHeight="1">
      <c r="A960" s="979"/>
      <c r="B960" s="481" t="s">
        <v>2830</v>
      </c>
      <c r="C960" s="979"/>
      <c r="D960" s="1835" t="s">
        <v>2022</v>
      </c>
      <c r="E960" s="1835"/>
      <c r="F960" s="1835"/>
      <c r="G960" s="978"/>
      <c r="I960" s="486"/>
    </row>
    <row r="961" spans="1:9" ht="12.75" customHeight="1">
      <c r="A961" s="979"/>
      <c r="B961" s="979"/>
      <c r="C961" s="979"/>
      <c r="D961" s="118"/>
      <c r="E961" s="978"/>
      <c r="F961" s="978"/>
      <c r="G961" s="978"/>
      <c r="I961" s="486"/>
    </row>
    <row r="962" spans="1:9" ht="12.75" customHeight="1">
      <c r="A962" s="979"/>
      <c r="B962" s="481" t="s">
        <v>2830</v>
      </c>
      <c r="C962" s="979"/>
      <c r="D962" s="1835" t="s">
        <v>2023</v>
      </c>
      <c r="E962" s="1835"/>
      <c r="F962" s="1835"/>
      <c r="G962" s="978"/>
      <c r="I962" s="486"/>
    </row>
    <row r="963" spans="1:9" ht="12.75" customHeight="1">
      <c r="A963" s="174"/>
      <c r="B963" s="174"/>
      <c r="C963" s="174"/>
      <c r="D963" s="2"/>
      <c r="E963" s="3"/>
      <c r="F963" s="978"/>
      <c r="G963" s="978"/>
      <c r="I963" s="486"/>
    </row>
    <row r="964" spans="1:9" customFormat="1">
      <c r="A964" s="979"/>
      <c r="B964" s="350"/>
      <c r="C964" s="979"/>
      <c r="D964" s="1838" t="s">
        <v>2647</v>
      </c>
      <c r="E964" s="1838"/>
      <c r="F964" s="1838"/>
      <c r="G964" s="978"/>
      <c r="H964" s="1264"/>
      <c r="I964" s="1264"/>
    </row>
    <row r="965" spans="1:9" customFormat="1">
      <c r="A965" s="979"/>
      <c r="B965" s="350"/>
      <c r="C965" s="979"/>
      <c r="D965" s="173"/>
      <c r="E965" s="978"/>
      <c r="F965" s="978"/>
      <c r="G965" s="978"/>
      <c r="H965" s="1264"/>
      <c r="I965" s="1264"/>
    </row>
    <row r="966" spans="1:9" customFormat="1" ht="14.25">
      <c r="A966" s="175"/>
      <c r="B966" s="481" t="s">
        <v>2829</v>
      </c>
      <c r="C966" s="979"/>
      <c r="D966" s="1465" t="s">
        <v>2650</v>
      </c>
      <c r="E966" s="1465"/>
      <c r="F966" s="1465"/>
      <c r="G966" s="978"/>
      <c r="H966" s="1264"/>
      <c r="I966" s="1264"/>
    </row>
    <row r="967" spans="1:9" customFormat="1">
      <c r="A967" s="979"/>
      <c r="B967" s="979"/>
      <c r="C967" s="979"/>
      <c r="D967" s="1465"/>
      <c r="E967" s="1465"/>
      <c r="F967" s="1465"/>
      <c r="G967" s="978"/>
      <c r="H967" s="1264"/>
      <c r="I967" s="1264"/>
    </row>
    <row r="968" spans="1:9" customFormat="1">
      <c r="A968" s="979"/>
      <c r="B968" s="979"/>
      <c r="C968" s="979"/>
      <c r="D968" s="1465"/>
      <c r="E968" s="1465"/>
      <c r="F968" s="1465"/>
      <c r="G968" s="978"/>
      <c r="H968" s="1264"/>
      <c r="I968" s="1264"/>
    </row>
    <row r="969" spans="1:9" customFormat="1">
      <c r="A969" s="979"/>
      <c r="B969" s="979"/>
      <c r="C969" s="979"/>
      <c r="D969" s="1465"/>
      <c r="E969" s="1465"/>
      <c r="F969" s="1465"/>
      <c r="G969" s="978"/>
      <c r="H969" s="1264"/>
      <c r="I969" s="1264"/>
    </row>
    <row r="970" spans="1:9" customFormat="1">
      <c r="A970" s="979"/>
      <c r="B970" s="979"/>
      <c r="C970" s="979"/>
      <c r="D970" s="1465"/>
      <c r="E970" s="1465"/>
      <c r="F970" s="1465"/>
      <c r="G970" s="978"/>
      <c r="H970" s="1264"/>
      <c r="I970" s="1264"/>
    </row>
    <row r="971" spans="1:9" customFormat="1">
      <c r="A971" s="979"/>
      <c r="B971" s="979"/>
      <c r="C971" s="979"/>
      <c r="D971" s="1465"/>
      <c r="E971" s="1465"/>
      <c r="F971" s="1465"/>
      <c r="G971" s="978"/>
      <c r="H971" s="1264"/>
      <c r="I971" s="1264"/>
    </row>
    <row r="972" spans="1:9" customFormat="1">
      <c r="A972" s="979"/>
      <c r="B972" s="979"/>
      <c r="C972" s="979"/>
      <c r="D972" s="1465"/>
      <c r="E972" s="1465"/>
      <c r="F972" s="1465"/>
      <c r="G972" s="978"/>
      <c r="H972" s="1264"/>
      <c r="I972" s="1264"/>
    </row>
    <row r="973" spans="1:9" customFormat="1">
      <c r="A973" s="979"/>
      <c r="B973" s="979"/>
      <c r="C973" s="979"/>
      <c r="D973" s="3"/>
      <c r="E973" s="3"/>
      <c r="F973" s="3"/>
      <c r="G973" s="978"/>
      <c r="H973" s="1264"/>
      <c r="I973" s="1264"/>
    </row>
    <row r="974" spans="1:9" ht="12.75" customHeight="1">
      <c r="A974" s="987"/>
      <c r="B974" s="481" t="s">
        <v>2830</v>
      </c>
      <c r="C974" s="988"/>
      <c r="D974" s="1827" t="s">
        <v>1765</v>
      </c>
      <c r="E974" s="1827"/>
      <c r="F974" s="1827"/>
      <c r="G974" s="989"/>
      <c r="I974" s="486"/>
    </row>
    <row r="975" spans="1:9" ht="12.75" customHeight="1">
      <c r="A975" s="987"/>
      <c r="B975" s="987"/>
      <c r="C975" s="988"/>
      <c r="D975" s="1827"/>
      <c r="E975" s="1827"/>
      <c r="F975" s="1827"/>
      <c r="G975" s="989"/>
      <c r="I975" s="486"/>
    </row>
    <row r="976" spans="1:9" ht="12.75" customHeight="1">
      <c r="A976" s="987"/>
      <c r="B976" s="987"/>
      <c r="C976" s="988"/>
      <c r="D976" s="1827"/>
      <c r="E976" s="1827"/>
      <c r="F976" s="1827"/>
      <c r="G976" s="989"/>
      <c r="I976" s="486"/>
    </row>
    <row r="977" spans="1:9" ht="12.75" customHeight="1">
      <c r="A977" s="987"/>
      <c r="B977" s="987"/>
      <c r="C977" s="988"/>
      <c r="D977" s="1827"/>
      <c r="E977" s="1827"/>
      <c r="F977" s="1827"/>
      <c r="G977" s="989"/>
      <c r="I977" s="486"/>
    </row>
    <row r="978" spans="1:9" ht="12.75" customHeight="1">
      <c r="A978" s="987"/>
      <c r="B978" s="987"/>
      <c r="C978" s="988"/>
      <c r="D978" s="1827"/>
      <c r="E978" s="1827"/>
      <c r="F978" s="1827"/>
      <c r="G978" s="989"/>
      <c r="I978" s="486"/>
    </row>
    <row r="979" spans="1:9" ht="12.75" customHeight="1">
      <c r="A979" s="987"/>
      <c r="B979" s="987"/>
      <c r="C979" s="988"/>
      <c r="D979" s="1827"/>
      <c r="E979" s="1827"/>
      <c r="F979" s="1827"/>
      <c r="G979" s="989"/>
      <c r="I979" s="486"/>
    </row>
    <row r="980" spans="1:9" ht="12.75" customHeight="1">
      <c r="A980" s="987"/>
      <c r="B980" s="987"/>
      <c r="C980" s="988"/>
      <c r="D980" s="1827"/>
      <c r="E980" s="1827"/>
      <c r="F980" s="1827"/>
      <c r="G980" s="989"/>
      <c r="I980" s="486"/>
    </row>
    <row r="981" spans="1:9" ht="12.75" customHeight="1">
      <c r="A981" s="987"/>
      <c r="B981" s="987"/>
      <c r="C981" s="988"/>
      <c r="D981" s="1827"/>
      <c r="E981" s="1827"/>
      <c r="F981" s="1827"/>
      <c r="G981" s="989"/>
      <c r="I981" s="486"/>
    </row>
    <row r="982" spans="1:9" ht="12.75" customHeight="1">
      <c r="A982" s="987"/>
      <c r="B982" s="987"/>
      <c r="C982" s="988"/>
      <c r="D982" s="1827"/>
      <c r="E982" s="1827"/>
      <c r="F982" s="1827"/>
      <c r="G982" s="989"/>
      <c r="I982" s="486"/>
    </row>
    <row r="983" spans="1:9" ht="12.75" customHeight="1">
      <c r="A983" s="174"/>
      <c r="B983" s="174"/>
      <c r="C983" s="174"/>
      <c r="D983" s="2"/>
      <c r="E983" s="3"/>
      <c r="F983" s="978"/>
      <c r="G983" s="978"/>
      <c r="I983" s="486"/>
    </row>
    <row r="984" spans="1:9" customFormat="1">
      <c r="A984" s="979"/>
      <c r="B984" s="481" t="s">
        <v>2830</v>
      </c>
      <c r="C984" s="979"/>
      <c r="D984" s="1839" t="s">
        <v>2651</v>
      </c>
      <c r="E984" s="1839"/>
      <c r="F984" s="1839"/>
      <c r="G984" s="978"/>
    </row>
    <row r="985" spans="1:9" customFormat="1">
      <c r="A985" s="979"/>
      <c r="B985" s="979"/>
      <c r="C985" s="979"/>
      <c r="D985" s="1839"/>
      <c r="E985" s="1839"/>
      <c r="F985" s="1839"/>
      <c r="G985" s="978"/>
    </row>
    <row r="986" spans="1:9" customFormat="1">
      <c r="A986" s="979"/>
      <c r="B986" s="979"/>
      <c r="C986" s="979"/>
      <c r="D986" s="1839"/>
      <c r="E986" s="1839"/>
      <c r="F986" s="1839"/>
      <c r="G986" s="978"/>
    </row>
    <row r="987" spans="1:9" customFormat="1">
      <c r="A987" s="979"/>
      <c r="B987" s="979"/>
      <c r="C987" s="979"/>
      <c r="D987" s="978"/>
      <c r="E987" s="978"/>
      <c r="F987" s="978"/>
      <c r="G987" s="978"/>
    </row>
    <row r="988" spans="1:9" customFormat="1" ht="14.25">
      <c r="A988" s="175"/>
      <c r="B988" s="481" t="s">
        <v>2830</v>
      </c>
      <c r="C988" s="492"/>
      <c r="D988" s="1840" t="s">
        <v>2652</v>
      </c>
      <c r="E988" s="1840"/>
      <c r="F988" s="1840"/>
      <c r="G988" s="1265"/>
    </row>
    <row r="989" spans="1:9" customFormat="1">
      <c r="A989" s="492"/>
      <c r="B989" s="492"/>
      <c r="C989" s="492"/>
      <c r="D989" s="1840"/>
      <c r="E989" s="1840"/>
      <c r="F989" s="1840"/>
      <c r="G989" s="1265"/>
    </row>
    <row r="990" spans="1:9" customFormat="1">
      <c r="A990" s="492"/>
      <c r="B990" s="492"/>
      <c r="C990" s="492"/>
      <c r="D990" s="1840"/>
      <c r="E990" s="1840"/>
      <c r="F990" s="1840"/>
      <c r="G990" s="1265"/>
    </row>
    <row r="991" spans="1:9" customFormat="1">
      <c r="A991" s="492"/>
      <c r="B991" s="492"/>
      <c r="C991" s="492"/>
      <c r="D991" s="1840"/>
      <c r="E991" s="1840"/>
      <c r="F991" s="1840"/>
      <c r="G991" s="1265"/>
    </row>
    <row r="992" spans="1:9" customFormat="1">
      <c r="A992" s="492"/>
      <c r="B992" s="492"/>
      <c r="C992" s="492"/>
      <c r="D992" s="1260"/>
      <c r="E992" s="1260"/>
      <c r="F992" s="1260"/>
      <c r="G992" s="1265"/>
    </row>
    <row r="993" spans="1:9" customFormat="1">
      <c r="A993" s="979"/>
      <c r="B993" s="979"/>
      <c r="C993" s="979"/>
      <c r="D993" s="1838" t="s">
        <v>2648</v>
      </c>
      <c r="E993" s="1838"/>
      <c r="F993" s="1838"/>
      <c r="G993" s="978"/>
      <c r="H993" s="1264"/>
      <c r="I993" s="1264"/>
    </row>
    <row r="994" spans="1:9" customFormat="1">
      <c r="A994" s="979"/>
      <c r="B994" s="979"/>
      <c r="C994" s="979"/>
      <c r="D994" s="173"/>
      <c r="E994" s="978"/>
      <c r="F994" s="978"/>
      <c r="G994" s="978"/>
      <c r="H994" s="1264"/>
      <c r="I994" s="1264"/>
    </row>
    <row r="995" spans="1:9" customFormat="1" ht="14.25">
      <c r="A995" s="175"/>
      <c r="B995" s="481" t="s">
        <v>2829</v>
      </c>
      <c r="C995" s="979"/>
      <c r="D995" s="1465" t="s">
        <v>2649</v>
      </c>
      <c r="E995" s="1465"/>
      <c r="F995" s="1465"/>
      <c r="G995" s="978"/>
      <c r="H995" s="1264"/>
      <c r="I995" s="1264"/>
    </row>
    <row r="996" spans="1:9" customFormat="1">
      <c r="A996" s="979"/>
      <c r="B996" s="979"/>
      <c r="C996" s="979"/>
      <c r="D996" s="1465"/>
      <c r="E996" s="1465"/>
      <c r="F996" s="1465"/>
      <c r="G996" s="978"/>
      <c r="H996" s="1264"/>
      <c r="I996" s="1264"/>
    </row>
    <row r="997" spans="1:9" customFormat="1">
      <c r="A997" s="979"/>
      <c r="B997" s="979"/>
      <c r="C997" s="979"/>
      <c r="D997" s="1465"/>
      <c r="E997" s="1465"/>
      <c r="F997" s="1465"/>
      <c r="G997" s="978"/>
      <c r="H997" s="1264"/>
      <c r="I997" s="1264"/>
    </row>
    <row r="998" spans="1:9" customFormat="1">
      <c r="A998" s="979"/>
      <c r="B998" s="979"/>
      <c r="C998" s="979"/>
      <c r="D998" s="3"/>
      <c r="E998" s="3"/>
      <c r="F998" s="3"/>
      <c r="G998" s="978"/>
      <c r="H998" s="1264"/>
      <c r="I998" s="1264"/>
    </row>
    <row r="999" spans="1:9" ht="12.75" customHeight="1">
      <c r="A999" s="175"/>
      <c r="B999" s="481" t="s">
        <v>2829</v>
      </c>
      <c r="C999" s="174"/>
      <c r="D999" s="1843" t="s">
        <v>1855</v>
      </c>
      <c r="E999" s="1843"/>
      <c r="F999" s="1843"/>
      <c r="G999" s="978"/>
      <c r="I999" s="486"/>
    </row>
    <row r="1000" spans="1:9" ht="12.75" customHeight="1">
      <c r="A1000" s="175"/>
      <c r="B1000" s="175"/>
      <c r="C1000" s="174"/>
      <c r="D1000" s="1843"/>
      <c r="E1000" s="1843"/>
      <c r="F1000" s="1843"/>
      <c r="G1000" s="978"/>
      <c r="I1000" s="486"/>
    </row>
    <row r="1001" spans="1:9" ht="12.75" customHeight="1">
      <c r="A1001" s="175"/>
      <c r="B1001" s="175"/>
      <c r="C1001" s="174"/>
      <c r="D1001" s="1843"/>
      <c r="E1001" s="1843"/>
      <c r="F1001" s="1843"/>
      <c r="G1001" s="978"/>
      <c r="I1001" s="486"/>
    </row>
    <row r="1002" spans="1:9" ht="12.75" customHeight="1">
      <c r="A1002" s="175"/>
      <c r="B1002" s="175"/>
      <c r="C1002" s="174"/>
      <c r="D1002" s="1843"/>
      <c r="E1002" s="1843"/>
      <c r="F1002" s="1843"/>
      <c r="G1002" s="978"/>
      <c r="I1002" s="486"/>
    </row>
    <row r="1003" spans="1:9" ht="12.75" customHeight="1">
      <c r="A1003" s="175"/>
      <c r="B1003" s="175"/>
      <c r="C1003" s="174"/>
      <c r="D1003" s="1843"/>
      <c r="E1003" s="1843"/>
      <c r="F1003" s="1843"/>
      <c r="G1003" s="978"/>
      <c r="I1003" s="486"/>
    </row>
    <row r="1004" spans="1:9" ht="12.75" customHeight="1">
      <c r="A1004" s="175"/>
      <c r="B1004" s="175"/>
      <c r="C1004" s="174"/>
      <c r="D1004" s="1843"/>
      <c r="E1004" s="1843"/>
      <c r="F1004" s="1843"/>
      <c r="G1004" s="978"/>
      <c r="I1004" s="486"/>
    </row>
    <row r="1005" spans="1:9" ht="12.75" customHeight="1">
      <c r="A1005" s="175"/>
      <c r="B1005" s="175"/>
      <c r="C1005" s="174"/>
      <c r="D1005" s="1843"/>
      <c r="E1005" s="1843"/>
      <c r="F1005" s="1843"/>
      <c r="G1005" s="978"/>
      <c r="I1005" s="486"/>
    </row>
    <row r="1006" spans="1:9" ht="12.75" customHeight="1">
      <c r="A1006" s="175"/>
      <c r="B1006" s="175"/>
      <c r="C1006" s="174"/>
      <c r="D1006" s="1016"/>
      <c r="E1006" s="1016"/>
      <c r="F1006" s="1016"/>
      <c r="G1006" s="978"/>
      <c r="I1006" s="486"/>
    </row>
    <row r="1007" spans="1:9" customFormat="1" ht="12.75" customHeight="1">
      <c r="A1007" s="979"/>
      <c r="B1007" s="481" t="s">
        <v>2829</v>
      </c>
      <c r="C1007" s="979"/>
      <c r="D1007" s="1826" t="s">
        <v>2646</v>
      </c>
      <c r="E1007" s="1826"/>
      <c r="F1007" s="1826"/>
      <c r="G1007" s="1263"/>
      <c r="H1007" s="1264"/>
      <c r="I1007" s="1264"/>
    </row>
    <row r="1008" spans="1:9" customFormat="1">
      <c r="A1008" s="979"/>
      <c r="B1008" s="979"/>
      <c r="C1008" s="979"/>
      <c r="D1008" s="1826"/>
      <c r="E1008" s="1826"/>
      <c r="F1008" s="1826"/>
      <c r="G1008" s="1263"/>
      <c r="H1008" s="1264"/>
      <c r="I1008" s="1264"/>
    </row>
    <row r="1009" spans="1:9" customFormat="1">
      <c r="A1009" s="979"/>
      <c r="B1009" s="979"/>
      <c r="C1009" s="979"/>
      <c r="D1009" s="1826"/>
      <c r="E1009" s="1826"/>
      <c r="F1009" s="1826"/>
      <c r="G1009" s="1263"/>
      <c r="H1009" s="1264"/>
      <c r="I1009" s="1264"/>
    </row>
    <row r="1010" spans="1:9" customFormat="1">
      <c r="A1010" s="979"/>
      <c r="B1010" s="979"/>
      <c r="C1010" s="979"/>
      <c r="D1010" s="1826"/>
      <c r="E1010" s="1826"/>
      <c r="F1010" s="1826"/>
      <c r="G1010" s="1263"/>
      <c r="H1010" s="1264"/>
      <c r="I1010" s="1264"/>
    </row>
    <row r="1011" spans="1:9" customFormat="1">
      <c r="A1011" s="979"/>
      <c r="B1011" s="979"/>
      <c r="C1011" s="979"/>
      <c r="D1011" s="1826"/>
      <c r="E1011" s="1826"/>
      <c r="F1011" s="1826"/>
      <c r="G1011" s="1263"/>
      <c r="H1011" s="1264"/>
      <c r="I1011" s="1264"/>
    </row>
    <row r="1012" spans="1:9" customFormat="1">
      <c r="A1012" s="979"/>
      <c r="B1012" s="979"/>
      <c r="C1012" s="979"/>
      <c r="D1012" s="1826"/>
      <c r="E1012" s="1826"/>
      <c r="F1012" s="1826"/>
      <c r="G1012" s="1263"/>
      <c r="H1012" s="1264"/>
      <c r="I1012" s="1264"/>
    </row>
    <row r="1013" spans="1:9" customFormat="1">
      <c r="A1013" s="979"/>
      <c r="B1013" s="979"/>
      <c r="C1013" s="979"/>
      <c r="D1013" s="1826"/>
      <c r="E1013" s="1826"/>
      <c r="F1013" s="1826"/>
      <c r="G1013" s="1263"/>
      <c r="H1013" s="1264"/>
      <c r="I1013" s="1264"/>
    </row>
    <row r="1014" spans="1:9" customFormat="1">
      <c r="A1014" s="979"/>
      <c r="B1014" s="979"/>
      <c r="C1014" s="979"/>
      <c r="D1014" s="1826"/>
      <c r="E1014" s="1826"/>
      <c r="F1014" s="1826"/>
      <c r="G1014" s="1263"/>
      <c r="H1014" s="1264"/>
      <c r="I1014" s="1264"/>
    </row>
    <row r="1015" spans="1:9" customFormat="1">
      <c r="A1015" s="979"/>
      <c r="B1015" s="979"/>
      <c r="C1015" s="979"/>
      <c r="D1015" s="1826"/>
      <c r="E1015" s="1826"/>
      <c r="F1015" s="1826"/>
      <c r="G1015" s="1263"/>
      <c r="H1015" s="1264"/>
      <c r="I1015" s="1264"/>
    </row>
    <row r="1016" spans="1:9" customFormat="1">
      <c r="A1016" s="979"/>
      <c r="B1016" s="979"/>
      <c r="C1016" s="979"/>
      <c r="D1016" s="1826"/>
      <c r="E1016" s="1826"/>
      <c r="F1016" s="1826"/>
      <c r="G1016" s="1263"/>
      <c r="H1016" s="1264"/>
      <c r="I1016" s="1264"/>
    </row>
    <row r="1017" spans="1:9" customFormat="1">
      <c r="A1017" s="979"/>
      <c r="B1017" s="979"/>
      <c r="C1017" s="979"/>
      <c r="D1017" s="1826"/>
      <c r="E1017" s="1826"/>
      <c r="F1017" s="1826"/>
      <c r="G1017" s="1263"/>
      <c r="H1017" s="1264"/>
      <c r="I1017" s="1264"/>
    </row>
    <row r="1018" spans="1:9" customFormat="1" ht="14.25" customHeight="1">
      <c r="A1018" s="979"/>
      <c r="B1018" s="979"/>
      <c r="C1018" s="979"/>
      <c r="D1018" s="1826"/>
      <c r="E1018" s="1826"/>
      <c r="F1018" s="1826"/>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2829</v>
      </c>
      <c r="C1020" s="174"/>
      <c r="D1020" s="1826" t="s">
        <v>2087</v>
      </c>
      <c r="E1020" s="1826"/>
      <c r="F1020" s="1826"/>
      <c r="G1020" s="978"/>
      <c r="I1020" s="486"/>
    </row>
    <row r="1021" spans="1:9" ht="12.75" customHeight="1">
      <c r="A1021" s="175"/>
      <c r="B1021" s="175"/>
      <c r="C1021" s="174"/>
      <c r="D1021" s="1826"/>
      <c r="E1021" s="1826"/>
      <c r="F1021" s="1826"/>
      <c r="G1021" s="978"/>
      <c r="I1021" s="486"/>
    </row>
    <row r="1022" spans="1:9" ht="12.75" customHeight="1">
      <c r="A1022" s="175"/>
      <c r="B1022" s="175"/>
      <c r="C1022" s="174"/>
      <c r="D1022" s="1826"/>
      <c r="E1022" s="1826"/>
      <c r="F1022" s="1826"/>
      <c r="G1022" s="978"/>
      <c r="I1022" s="486"/>
    </row>
    <row r="1023" spans="1:9" ht="12.75" customHeight="1">
      <c r="A1023" s="175"/>
      <c r="B1023" s="175"/>
      <c r="C1023" s="174"/>
      <c r="D1023" s="1826"/>
      <c r="E1023" s="1826"/>
      <c r="F1023" s="1826"/>
      <c r="G1023" s="978"/>
      <c r="I1023" s="486"/>
    </row>
    <row r="1024" spans="1:9" ht="12.75" customHeight="1">
      <c r="A1024" s="175"/>
      <c r="B1024" s="175"/>
      <c r="C1024" s="174"/>
      <c r="D1024" s="1826"/>
      <c r="E1024" s="1826"/>
      <c r="F1024" s="1826"/>
      <c r="G1024" s="978"/>
      <c r="I1024" s="486"/>
    </row>
    <row r="1025" spans="1:9" ht="12.75" customHeight="1">
      <c r="A1025" s="175"/>
      <c r="B1025" s="175"/>
      <c r="C1025" s="174"/>
      <c r="D1025" s="1826"/>
      <c r="E1025" s="1826"/>
      <c r="F1025" s="1826"/>
      <c r="G1025" s="978"/>
      <c r="I1025" s="486"/>
    </row>
    <row r="1026" spans="1:9" ht="12.75" customHeight="1">
      <c r="A1026" s="175"/>
      <c r="B1026" s="175"/>
      <c r="C1026" s="174"/>
      <c r="D1026" s="1016"/>
      <c r="E1026" s="1016"/>
      <c r="F1026" s="1016"/>
      <c r="G1026" s="978"/>
      <c r="I1026" s="486"/>
    </row>
    <row r="1027" spans="1:9" ht="12.75" customHeight="1">
      <c r="A1027" s="979"/>
      <c r="B1027" s="481" t="s">
        <v>2830</v>
      </c>
      <c r="C1027" s="979"/>
      <c r="D1027" s="1839" t="s">
        <v>1770</v>
      </c>
      <c r="E1027" s="1839"/>
      <c r="F1027" s="1839"/>
      <c r="G1027" s="978"/>
      <c r="I1027" s="486"/>
    </row>
    <row r="1028" spans="1:9" ht="12.75" customHeight="1">
      <c r="A1028" s="979"/>
      <c r="B1028" s="979"/>
      <c r="C1028" s="979"/>
      <c r="D1028" s="1839"/>
      <c r="E1028" s="1839"/>
      <c r="F1028" s="1839"/>
      <c r="G1028" s="978"/>
      <c r="I1028" s="486"/>
    </row>
    <row r="1029" spans="1:9" ht="12.75" customHeight="1">
      <c r="A1029" s="979"/>
      <c r="B1029" s="979"/>
      <c r="C1029" s="979"/>
      <c r="D1029" s="1839"/>
      <c r="E1029" s="1839"/>
      <c r="F1029" s="1839"/>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2830</v>
      </c>
      <c r="C1032" s="174"/>
      <c r="D1032" s="1827" t="s">
        <v>1854</v>
      </c>
      <c r="E1032" s="1827"/>
      <c r="F1032" s="1827"/>
      <c r="G1032" s="978"/>
      <c r="I1032" s="486"/>
    </row>
    <row r="1033" spans="1:9" ht="12.75" customHeight="1">
      <c r="A1033" s="175"/>
      <c r="B1033" s="175"/>
      <c r="C1033" s="174"/>
      <c r="D1033" s="1827"/>
      <c r="E1033" s="1827"/>
      <c r="F1033" s="1827"/>
      <c r="G1033" s="978"/>
      <c r="I1033" s="486"/>
    </row>
    <row r="1034" spans="1:9" ht="12.75" customHeight="1">
      <c r="A1034" s="175"/>
      <c r="B1034" s="175"/>
      <c r="C1034" s="174"/>
      <c r="D1034" s="1827"/>
      <c r="E1034" s="1827"/>
      <c r="F1034" s="1827"/>
      <c r="G1034" s="978"/>
      <c r="I1034" s="486"/>
    </row>
    <row r="1035" spans="1:9" ht="12.75" customHeight="1">
      <c r="A1035" s="175"/>
      <c r="B1035" s="175"/>
      <c r="C1035" s="174"/>
      <c r="D1035" s="1827"/>
      <c r="E1035" s="1827"/>
      <c r="F1035" s="1827"/>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8" t="s">
        <v>1771</v>
      </c>
      <c r="E1037" s="1838"/>
      <c r="F1037" s="1838"/>
      <c r="G1037" s="3"/>
      <c r="I1037" s="486"/>
    </row>
    <row r="1038" spans="1:9" customFormat="1" ht="14.25">
      <c r="A1038" s="175"/>
      <c r="B1038" s="481" t="s">
        <v>2830</v>
      </c>
      <c r="C1038" s="350"/>
      <c r="D1038" s="1835" t="s">
        <v>2653</v>
      </c>
      <c r="E1038" s="1835"/>
      <c r="F1038" s="1835"/>
      <c r="G1038" s="3"/>
    </row>
    <row r="1039" spans="1:9" customFormat="1">
      <c r="A1039" s="350"/>
      <c r="B1039" s="350"/>
      <c r="C1039" s="350"/>
      <c r="D1039" s="3"/>
      <c r="E1039" s="3"/>
      <c r="F1039" s="3"/>
      <c r="G1039" s="3"/>
    </row>
    <row r="1040" spans="1:9" customFormat="1" ht="14.25">
      <c r="A1040" s="175"/>
      <c r="B1040" s="481" t="s">
        <v>2830</v>
      </c>
      <c r="C1040" s="350"/>
      <c r="D1040" s="1465" t="s">
        <v>2654</v>
      </c>
      <c r="E1040" s="1465"/>
      <c r="F1040" s="1465"/>
      <c r="G1040" s="3"/>
    </row>
    <row r="1041" spans="1:9" customFormat="1" ht="14.25">
      <c r="A1041" s="175"/>
      <c r="B1041" s="175"/>
      <c r="C1041" s="350"/>
      <c r="D1041" s="1465"/>
      <c r="E1041" s="1465"/>
      <c r="F1041" s="1465"/>
      <c r="G1041" s="3"/>
    </row>
    <row r="1042" spans="1:9" ht="12.75" customHeight="1">
      <c r="A1042" s="350"/>
      <c r="B1042" s="350"/>
      <c r="C1042" s="350"/>
      <c r="D1042" s="3"/>
      <c r="E1042" s="3"/>
      <c r="F1042" s="3"/>
      <c r="G1042" s="3"/>
      <c r="I1042" s="486"/>
    </row>
    <row r="1043" spans="1:9" ht="12.75" customHeight="1">
      <c r="A1043" s="350"/>
      <c r="B1043" s="350"/>
      <c r="C1043" s="350"/>
      <c r="D1043" s="1838" t="s">
        <v>1772</v>
      </c>
      <c r="E1043" s="1838"/>
      <c r="F1043" s="1838"/>
      <c r="G1043"/>
      <c r="I1043" s="486"/>
    </row>
    <row r="1044" spans="1:9" ht="12.75" customHeight="1">
      <c r="A1044" s="175"/>
      <c r="B1044" s="481" t="s">
        <v>2830</v>
      </c>
      <c r="C1044" s="350"/>
      <c r="D1044" s="1465" t="s">
        <v>2024</v>
      </c>
      <c r="E1044" s="1465"/>
      <c r="F1044" s="1465"/>
      <c r="G1044"/>
      <c r="I1044" s="486"/>
    </row>
    <row r="1045" spans="1:9" ht="12.75" customHeight="1">
      <c r="A1045" s="175"/>
      <c r="B1045" s="175"/>
      <c r="C1045" s="350"/>
      <c r="D1045" s="1465"/>
      <c r="E1045" s="1465"/>
      <c r="F1045" s="1465"/>
      <c r="G1045"/>
      <c r="I1045" s="486"/>
    </row>
    <row r="1046" spans="1:9" ht="12.75" customHeight="1">
      <c r="A1046" s="175"/>
      <c r="B1046" s="175"/>
      <c r="C1046" s="350"/>
      <c r="D1046" s="1465"/>
      <c r="E1046" s="1465"/>
      <c r="F1046" s="1465"/>
      <c r="G1046"/>
      <c r="I1046" s="486"/>
    </row>
    <row r="1047" spans="1:9" ht="12.75" customHeight="1">
      <c r="A1047" s="175"/>
      <c r="B1047" s="175"/>
      <c r="C1047" s="350"/>
      <c r="D1047" s="1465"/>
      <c r="E1047" s="1465"/>
      <c r="F1047" s="1465"/>
      <c r="G1047"/>
      <c r="I1047" s="486"/>
    </row>
    <row r="1048" spans="1:9" ht="12.75" customHeight="1">
      <c r="A1048" s="175"/>
      <c r="B1048" s="175"/>
      <c r="C1048" s="350"/>
      <c r="D1048" s="1465"/>
      <c r="E1048" s="1465"/>
      <c r="F1048" s="1465"/>
      <c r="G1048"/>
      <c r="I1048" s="486"/>
    </row>
    <row r="1049" spans="1:9" ht="12.75" customHeight="1">
      <c r="A1049" s="175"/>
      <c r="B1049" s="175"/>
      <c r="C1049" s="350"/>
      <c r="D1049" s="1465"/>
      <c r="E1049" s="1465"/>
      <c r="F1049" s="1465"/>
      <c r="G1049"/>
      <c r="I1049" s="486"/>
    </row>
    <row r="1050" spans="1:9" ht="12.75" customHeight="1">
      <c r="A1050" s="175"/>
      <c r="B1050" s="175"/>
      <c r="C1050" s="350"/>
      <c r="D1050" s="1465"/>
      <c r="E1050" s="1465"/>
      <c r="F1050" s="1465"/>
      <c r="G1050"/>
      <c r="I1050" s="486"/>
    </row>
    <row r="1051" spans="1:9" ht="12.75" customHeight="1">
      <c r="A1051" s="175"/>
      <c r="B1051" s="175"/>
      <c r="C1051" s="350"/>
      <c r="D1051" s="1465"/>
      <c r="E1051" s="1465"/>
      <c r="F1051" s="1465"/>
      <c r="G1051"/>
      <c r="I1051" s="486"/>
    </row>
    <row r="1052" spans="1:9" ht="12.75" customHeight="1">
      <c r="A1052" s="175"/>
      <c r="B1052" s="175"/>
      <c r="C1052" s="350"/>
      <c r="D1052" s="1465"/>
      <c r="E1052" s="1465"/>
      <c r="F1052" s="1465"/>
      <c r="G1052"/>
      <c r="I1052" s="486"/>
    </row>
    <row r="1053" spans="1:9" ht="12.75" customHeight="1">
      <c r="A1053" s="175"/>
      <c r="B1053" s="175"/>
      <c r="C1053" s="350"/>
      <c r="D1053" s="1465"/>
      <c r="E1053" s="1465"/>
      <c r="F1053" s="1465"/>
      <c r="G1053"/>
      <c r="I1053" s="486"/>
    </row>
    <row r="1054" spans="1:9" ht="12.75" customHeight="1">
      <c r="A1054" s="175"/>
      <c r="B1054" s="175"/>
      <c r="C1054" s="350"/>
      <c r="D1054" s="1465"/>
      <c r="E1054" s="1465"/>
      <c r="F1054" s="1465"/>
      <c r="G1054"/>
      <c r="I1054" s="486"/>
    </row>
    <row r="1055" spans="1:9" ht="12.75" customHeight="1">
      <c r="A1055" s="175"/>
      <c r="B1055" s="175"/>
      <c r="C1055" s="350"/>
      <c r="D1055" s="1465"/>
      <c r="E1055" s="1465"/>
      <c r="F1055" s="1465"/>
      <c r="G1055"/>
      <c r="I1055" s="486"/>
    </row>
    <row r="1056" spans="1:9" ht="12.75" customHeight="1">
      <c r="A1056" s="175"/>
      <c r="B1056" s="175"/>
      <c r="C1056" s="350"/>
      <c r="D1056" s="1465"/>
      <c r="E1056" s="1465"/>
      <c r="F1056" s="1465"/>
      <c r="G1056"/>
      <c r="I1056" s="486"/>
    </row>
    <row r="1057" spans="1:9" ht="12.75" customHeight="1">
      <c r="A1057" s="175"/>
      <c r="B1057" s="175"/>
      <c r="C1057" s="350"/>
      <c r="D1057" s="1465"/>
      <c r="E1057" s="1465"/>
      <c r="F1057" s="1465"/>
      <c r="G1057"/>
      <c r="I1057" s="486"/>
    </row>
    <row r="1058" spans="1:9" ht="12.75" customHeight="1">
      <c r="A1058" s="175"/>
      <c r="B1058" s="175"/>
      <c r="C1058" s="350"/>
      <c r="D1058" s="1465"/>
      <c r="E1058" s="1465"/>
      <c r="F1058" s="1465"/>
      <c r="G1058" s="3"/>
      <c r="I1058" s="486"/>
    </row>
    <row r="1059" spans="1:9" ht="12.75" customHeight="1">
      <c r="A1059" s="350"/>
      <c r="B1059" s="350"/>
      <c r="C1059" s="350"/>
      <c r="D1059" s="3"/>
      <c r="E1059" s="3"/>
      <c r="F1059" s="3"/>
      <c r="G1059" s="3"/>
      <c r="I1059" s="486"/>
    </row>
    <row r="1060" spans="1:9" ht="12.75" customHeight="1">
      <c r="A1060" s="1841" t="s">
        <v>1773</v>
      </c>
      <c r="B1060" s="1841"/>
      <c r="C1060" s="1841"/>
      <c r="D1060" s="1841"/>
      <c r="E1060" s="1841"/>
      <c r="F1060" s="1841"/>
      <c r="G1060" s="1841"/>
      <c r="H1060" s="1018"/>
      <c r="I1060" s="1142"/>
    </row>
    <row r="1061" spans="1:9" ht="12.75" customHeight="1">
      <c r="A1061" s="118"/>
      <c r="B1061" s="118"/>
      <c r="C1061" s="350"/>
      <c r="D1061" s="3"/>
      <c r="E1061" s="3"/>
      <c r="F1061" s="3"/>
      <c r="G1061" s="3"/>
      <c r="I1061" s="486"/>
    </row>
    <row r="1062" spans="1:9" ht="12.75" customHeight="1">
      <c r="A1062" s="350"/>
      <c r="B1062" s="350"/>
      <c r="C1062" s="979"/>
      <c r="D1062" s="1838" t="s">
        <v>1793</v>
      </c>
      <c r="E1062" s="1838"/>
      <c r="F1062" s="1838"/>
      <c r="G1062" s="3"/>
      <c r="I1062" s="486"/>
    </row>
    <row r="1063" spans="1:9" ht="12.75" customHeight="1">
      <c r="A1063" s="172"/>
      <c r="B1063" s="172"/>
      <c r="C1063" s="172"/>
      <c r="D1063" s="1835" t="s">
        <v>1774</v>
      </c>
      <c r="E1063" s="1835"/>
      <c r="F1063" s="1835"/>
      <c r="G1063" s="3"/>
      <c r="I1063" s="486"/>
    </row>
    <row r="1064" spans="1:9" ht="12.75" customHeight="1">
      <c r="A1064" s="172"/>
      <c r="B1064" s="172"/>
      <c r="C1064" s="172"/>
      <c r="D1064" s="3"/>
      <c r="E1064" s="3"/>
      <c r="F1064" s="978"/>
      <c r="G1064"/>
      <c r="I1064" s="486"/>
    </row>
    <row r="1065" spans="1:9" ht="12.75" customHeight="1">
      <c r="A1065" s="350"/>
      <c r="B1065" s="481" t="s">
        <v>2829</v>
      </c>
      <c r="C1065" s="350"/>
      <c r="D1065" s="1849" t="s">
        <v>1883</v>
      </c>
      <c r="E1065" s="1849"/>
      <c r="F1065" s="1849"/>
      <c r="G1065"/>
      <c r="I1065" s="486"/>
    </row>
    <row r="1066" spans="1:9" ht="12.75" customHeight="1">
      <c r="A1066" s="350"/>
      <c r="B1066" s="350"/>
      <c r="C1066" s="350"/>
      <c r="D1066" s="1849"/>
      <c r="E1066" s="1849"/>
      <c r="F1066" s="1849"/>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303" t="s">
        <v>1882</v>
      </c>
      <c r="E1068" s="1303"/>
      <c r="F1068" s="1303"/>
      <c r="G1068"/>
      <c r="I1068" s="486"/>
    </row>
    <row r="1069" spans="1:9" ht="12.75" customHeight="1">
      <c r="A1069" s="350"/>
      <c r="B1069" s="350"/>
      <c r="C1069" s="350"/>
      <c r="D1069" s="1303"/>
      <c r="E1069" s="1303"/>
      <c r="F1069" s="1303"/>
      <c r="G1069"/>
      <c r="I1069" s="486"/>
    </row>
    <row r="1070" spans="1:9" ht="12.75" customHeight="1">
      <c r="A1070" s="174"/>
      <c r="B1070" s="174"/>
      <c r="C1070" s="174"/>
      <c r="D1070" s="1303"/>
      <c r="E1070" s="1303"/>
      <c r="F1070" s="1303"/>
      <c r="G1070"/>
      <c r="I1070" s="486"/>
    </row>
    <row r="1071" spans="1:9" ht="12.75" customHeight="1">
      <c r="A1071" s="174"/>
      <c r="B1071" s="174"/>
      <c r="C1071" s="174"/>
      <c r="D1071" s="1303"/>
      <c r="E1071" s="1303"/>
      <c r="F1071" s="1303"/>
      <c r="G1071"/>
      <c r="I1071" s="486"/>
    </row>
    <row r="1072" spans="1:9" ht="12.75" customHeight="1">
      <c r="A1072" s="174"/>
      <c r="B1072" s="174"/>
      <c r="C1072" s="174"/>
      <c r="D1072" s="332"/>
      <c r="E1072" s="332"/>
      <c r="F1072" s="332"/>
      <c r="G1072"/>
      <c r="I1072" s="486"/>
    </row>
    <row r="1073" spans="1:9" ht="12.75" customHeight="1">
      <c r="A1073" s="174"/>
      <c r="B1073" s="481" t="s">
        <v>2830</v>
      </c>
      <c r="C1073" s="174"/>
      <c r="D1073" s="1465" t="s">
        <v>1775</v>
      </c>
      <c r="E1073" s="1465"/>
      <c r="F1073" s="1465"/>
      <c r="G1073"/>
      <c r="I1073" s="486"/>
    </row>
    <row r="1074" spans="1:9" ht="12.75" customHeight="1">
      <c r="A1074" s="174"/>
      <c r="B1074" s="174"/>
      <c r="C1074" s="174"/>
      <c r="D1074" s="1465"/>
      <c r="E1074" s="1465"/>
      <c r="F1074" s="1465"/>
      <c r="G1074"/>
      <c r="I1074" s="486"/>
    </row>
    <row r="1075" spans="1:9" ht="12.75" customHeight="1">
      <c r="A1075" s="174"/>
      <c r="B1075" s="174"/>
      <c r="C1075" s="174"/>
      <c r="D1075" s="1465"/>
      <c r="E1075" s="1465"/>
      <c r="F1075" s="1465"/>
      <c r="G1075"/>
      <c r="I1075" s="486"/>
    </row>
    <row r="1076" spans="1:9" ht="12.75" customHeight="1">
      <c r="A1076" s="174"/>
      <c r="B1076" s="174"/>
      <c r="C1076" s="174"/>
      <c r="D1076" s="1465"/>
      <c r="E1076" s="1465"/>
      <c r="F1076" s="1465"/>
      <c r="G1076"/>
      <c r="I1076" s="486"/>
    </row>
    <row r="1077" spans="1:9" ht="12.75" customHeight="1">
      <c r="A1077" s="174"/>
      <c r="B1077" s="174"/>
      <c r="C1077" s="174"/>
      <c r="D1077" s="437"/>
      <c r="E1077" s="437"/>
      <c r="F1077" s="437"/>
      <c r="G1077"/>
      <c r="I1077" s="486"/>
    </row>
    <row r="1078" spans="1:9" ht="12.75" customHeight="1">
      <c r="A1078" s="174"/>
      <c r="B1078" s="481" t="s">
        <v>2830</v>
      </c>
      <c r="C1078" s="174"/>
      <c r="D1078" s="1465" t="s">
        <v>2178</v>
      </c>
      <c r="E1078" s="1465"/>
      <c r="F1078" s="1465"/>
      <c r="G1078"/>
      <c r="I1078" s="486"/>
    </row>
    <row r="1079" spans="1:9" ht="12.75" customHeight="1">
      <c r="A1079" s="174"/>
      <c r="B1079" s="174"/>
      <c r="C1079" s="174"/>
      <c r="D1079" s="1465"/>
      <c r="E1079" s="1465"/>
      <c r="F1079" s="1465"/>
      <c r="G1079"/>
      <c r="I1079" s="486"/>
    </row>
    <row r="1080" spans="1:9" ht="12.75" customHeight="1">
      <c r="A1080" s="174"/>
      <c r="B1080" s="174"/>
      <c r="C1080" s="174"/>
      <c r="D1080" s="437"/>
      <c r="E1080" s="437"/>
      <c r="F1080" s="437"/>
      <c r="G1080"/>
      <c r="I1080" s="486"/>
    </row>
    <row r="1081" spans="1:9" ht="12.75" customHeight="1">
      <c r="A1081" s="175"/>
      <c r="B1081" s="481" t="s">
        <v>2830</v>
      </c>
      <c r="C1081" s="350"/>
      <c r="D1081" s="1835" t="s">
        <v>1776</v>
      </c>
      <c r="E1081" s="1835"/>
      <c r="F1081" s="1835"/>
      <c r="G1081"/>
      <c r="I1081" s="486"/>
    </row>
    <row r="1082" spans="1:9" ht="12.75" customHeight="1">
      <c r="A1082" s="350"/>
      <c r="B1082" s="350"/>
      <c r="C1082" s="350"/>
      <c r="D1082" s="3"/>
      <c r="E1082" s="3"/>
      <c r="F1082" s="3"/>
      <c r="G1082"/>
      <c r="I1082" s="486"/>
    </row>
    <row r="1083" spans="1:9" ht="12.75" customHeight="1">
      <c r="A1083" s="175"/>
      <c r="B1083" s="481" t="s">
        <v>2830</v>
      </c>
      <c r="C1083" s="350"/>
      <c r="D1083" s="1835" t="s">
        <v>1777</v>
      </c>
      <c r="E1083" s="1835"/>
      <c r="F1083" s="1835"/>
      <c r="G1083"/>
      <c r="I1083" s="486"/>
    </row>
    <row r="1084" spans="1:9" ht="12.75" customHeight="1">
      <c r="A1084" s="350"/>
      <c r="B1084" s="350"/>
      <c r="C1084" s="350"/>
      <c r="D1084" s="118"/>
      <c r="E1084" s="3"/>
      <c r="F1084" s="3"/>
      <c r="G1084"/>
      <c r="I1084" s="486"/>
    </row>
    <row r="1085" spans="1:9" ht="12.75" customHeight="1">
      <c r="A1085" s="175"/>
      <c r="B1085" s="481" t="s">
        <v>2829</v>
      </c>
      <c r="C1085" s="350"/>
      <c r="D1085" s="1835" t="s">
        <v>1778</v>
      </c>
      <c r="E1085" s="1835"/>
      <c r="F1085" s="1835"/>
      <c r="G1085"/>
      <c r="I1085" s="486"/>
    </row>
    <row r="1086" spans="1:9" ht="12.75" customHeight="1">
      <c r="A1086" s="350"/>
      <c r="B1086" s="350"/>
      <c r="C1086" s="350"/>
      <c r="D1086" s="118"/>
      <c r="E1086" s="3"/>
      <c r="F1086" s="3"/>
      <c r="G1086"/>
      <c r="I1086" s="486"/>
    </row>
    <row r="1087" spans="1:9" ht="12.75" customHeight="1">
      <c r="A1087" s="175"/>
      <c r="B1087" s="481" t="s">
        <v>2829</v>
      </c>
      <c r="C1087" s="350"/>
      <c r="D1087" s="1465" t="s">
        <v>1779</v>
      </c>
      <c r="E1087" s="1465"/>
      <c r="F1087" s="1465"/>
      <c r="G1087"/>
      <c r="I1087" s="486"/>
    </row>
    <row r="1088" spans="1:9" ht="12.75" customHeight="1">
      <c r="A1088" s="175"/>
      <c r="B1088" s="175"/>
      <c r="C1088" s="350"/>
      <c r="D1088" s="1465"/>
      <c r="E1088" s="1465"/>
      <c r="F1088" s="1465"/>
      <c r="G1088"/>
      <c r="I1088" s="486"/>
    </row>
    <row r="1089" spans="1:9" ht="12.75" customHeight="1">
      <c r="A1089" s="175"/>
      <c r="B1089" s="175"/>
      <c r="C1089" s="350"/>
      <c r="D1089" s="118"/>
      <c r="E1089" s="3"/>
      <c r="F1089" s="3"/>
      <c r="G1089" s="3"/>
      <c r="I1089" s="486"/>
    </row>
    <row r="1090" spans="1:9" ht="12.75" customHeight="1">
      <c r="A1090" s="254"/>
      <c r="B1090" s="481" t="s">
        <v>2830</v>
      </c>
      <c r="C1090" s="990"/>
      <c r="D1090" s="1850" t="s">
        <v>1780</v>
      </c>
      <c r="E1090" s="1850"/>
      <c r="F1090" s="1850"/>
      <c r="G1090" s="991"/>
      <c r="I1090" s="486"/>
    </row>
    <row r="1091" spans="1:9" ht="12.75" customHeight="1">
      <c r="A1091" s="990"/>
      <c r="B1091" s="990"/>
      <c r="C1091" s="990"/>
      <c r="D1091" s="1850"/>
      <c r="E1091" s="1850"/>
      <c r="F1091" s="1850"/>
      <c r="G1091" s="991"/>
      <c r="I1091" s="486"/>
    </row>
    <row r="1092" spans="1:9" ht="12.75" customHeight="1">
      <c r="A1092" s="990"/>
      <c r="B1092" s="990"/>
      <c r="C1092" s="990"/>
      <c r="D1092" s="974"/>
      <c r="E1092" s="991"/>
      <c r="F1092" s="991"/>
      <c r="G1092" s="991"/>
      <c r="I1092" s="486"/>
    </row>
    <row r="1093" spans="1:9" ht="12.75" customHeight="1">
      <c r="A1093" s="254"/>
      <c r="B1093" s="481" t="s">
        <v>2830</v>
      </c>
      <c r="C1093" s="990"/>
      <c r="D1093" s="1847" t="s">
        <v>1781</v>
      </c>
      <c r="E1093" s="1847"/>
      <c r="F1093" s="1847"/>
      <c r="G1093" s="991"/>
      <c r="I1093" s="486"/>
    </row>
    <row r="1094" spans="1:9" ht="12.75" customHeight="1">
      <c r="A1094" s="990"/>
      <c r="B1094" s="990"/>
      <c r="C1094" s="990"/>
      <c r="D1094" s="974"/>
      <c r="E1094" s="991"/>
      <c r="F1094" s="991"/>
      <c r="G1094" s="991"/>
      <c r="I1094" s="486"/>
    </row>
    <row r="1095" spans="1:9" ht="12.75" customHeight="1">
      <c r="A1095" s="175"/>
      <c r="B1095" s="481" t="s">
        <v>2830</v>
      </c>
      <c r="C1095" s="350"/>
      <c r="D1095" s="1835" t="s">
        <v>1782</v>
      </c>
      <c r="E1095" s="1835"/>
      <c r="F1095" s="1835"/>
      <c r="G1095" s="3"/>
      <c r="I1095" s="486"/>
    </row>
    <row r="1096" spans="1:9" ht="12.75" customHeight="1">
      <c r="A1096" s="175"/>
      <c r="B1096" s="175"/>
      <c r="C1096" s="350"/>
      <c r="D1096" s="118"/>
      <c r="E1096" s="3"/>
      <c r="F1096" s="3"/>
      <c r="G1096" s="3"/>
      <c r="I1096" s="486"/>
    </row>
    <row r="1097" spans="1:9" ht="12.75" customHeight="1">
      <c r="A1097" s="175"/>
      <c r="B1097" s="481" t="s">
        <v>2830</v>
      </c>
      <c r="C1097" s="350"/>
      <c r="D1097" s="1465" t="s">
        <v>1783</v>
      </c>
      <c r="E1097" s="1465"/>
      <c r="F1097" s="1465"/>
      <c r="G1097" s="3"/>
      <c r="I1097" s="486"/>
    </row>
    <row r="1098" spans="1:9" ht="12.75" customHeight="1">
      <c r="A1098" s="175"/>
      <c r="B1098" s="175"/>
      <c r="C1098" s="350"/>
      <c r="D1098" s="1465"/>
      <c r="E1098" s="1465"/>
      <c r="F1098" s="1465"/>
      <c r="G1098" s="3"/>
      <c r="I1098" s="486"/>
    </row>
    <row r="1099" spans="1:9" ht="12.75" customHeight="1">
      <c r="A1099" s="350"/>
      <c r="B1099" s="350"/>
      <c r="C1099" s="350"/>
      <c r="D1099" s="3"/>
      <c r="E1099" s="3"/>
      <c r="F1099" s="3"/>
      <c r="G1099" s="3"/>
      <c r="I1099" s="486"/>
    </row>
    <row r="1100" spans="1:9" ht="12.75" customHeight="1">
      <c r="A1100" s="1841" t="s">
        <v>1784</v>
      </c>
      <c r="B1100" s="1841"/>
      <c r="C1100" s="1841"/>
      <c r="D1100" s="1841"/>
      <c r="E1100" s="1841"/>
      <c r="F1100" s="1841"/>
      <c r="G1100" s="1841"/>
      <c r="H1100" s="1018"/>
      <c r="I1100" s="1142"/>
    </row>
    <row r="1101" spans="1:9" ht="12.75" customHeight="1">
      <c r="A1101" s="350"/>
      <c r="B1101" s="350"/>
      <c r="C1101" s="350"/>
      <c r="D1101" s="3"/>
      <c r="E1101" s="3"/>
      <c r="F1101" s="3"/>
      <c r="G1101" s="3"/>
      <c r="I1101" s="486"/>
    </row>
    <row r="1102" spans="1:9" ht="12.75" customHeight="1">
      <c r="A1102" s="350"/>
      <c r="B1102" s="350"/>
      <c r="C1102" s="350"/>
      <c r="D1102" s="1842" t="s">
        <v>1785</v>
      </c>
      <c r="E1102" s="1842"/>
      <c r="F1102" s="1842"/>
      <c r="G1102" s="3"/>
      <c r="I1102" s="486"/>
    </row>
    <row r="1103" spans="1:9" ht="12.75" customHeight="1">
      <c r="A1103" s="350"/>
      <c r="B1103" s="350"/>
      <c r="C1103" s="350"/>
      <c r="D1103" s="1847" t="s">
        <v>1786</v>
      </c>
      <c r="E1103" s="1847"/>
      <c r="F1103" s="1847"/>
      <c r="G1103" s="3"/>
      <c r="I1103" s="486"/>
    </row>
    <row r="1104" spans="1:9" ht="12.75" customHeight="1">
      <c r="A1104" s="172"/>
      <c r="B1104" s="172"/>
      <c r="C1104" s="172"/>
      <c r="D1104" s="3"/>
      <c r="E1104" s="3"/>
      <c r="F1104" s="3"/>
      <c r="G1104" s="3"/>
      <c r="I1104" s="486"/>
    </row>
    <row r="1105" spans="1:9" ht="12.75" customHeight="1">
      <c r="A1105" s="175"/>
      <c r="B1105" s="175"/>
      <c r="C1105" s="174"/>
      <c r="D1105" s="1842" t="s">
        <v>1797</v>
      </c>
      <c r="E1105" s="1842"/>
      <c r="F1105" s="1842"/>
      <c r="G1105" s="3"/>
      <c r="I1105" s="486"/>
    </row>
    <row r="1106" spans="1:9" ht="12.75" customHeight="1">
      <c r="A1106" s="350"/>
      <c r="B1106" s="481" t="s">
        <v>2829</v>
      </c>
      <c r="C1106" s="350"/>
      <c r="D1106" s="1847" t="s">
        <v>1270</v>
      </c>
      <c r="E1106" s="1847"/>
      <c r="F1106" s="1847"/>
      <c r="G1106" s="3"/>
      <c r="I1106" s="486"/>
    </row>
    <row r="1107" spans="1:9" ht="12.75" customHeight="1">
      <c r="A1107" s="350"/>
      <c r="B1107" s="175"/>
      <c r="C1107" s="350"/>
      <c r="D1107" s="1847" t="s">
        <v>1787</v>
      </c>
      <c r="E1107" s="1847"/>
      <c r="F1107" s="1847"/>
      <c r="G1107" s="3"/>
      <c r="I1107" s="486"/>
    </row>
    <row r="1108" spans="1:9" ht="12.75" customHeight="1">
      <c r="A1108" s="350"/>
      <c r="B1108" s="350"/>
      <c r="C1108" s="350"/>
      <c r="D1108" s="1847"/>
      <c r="E1108" s="1847"/>
      <c r="F1108" s="1847"/>
      <c r="G1108" s="3"/>
      <c r="I1108" s="486"/>
    </row>
    <row r="1109" spans="1:9" ht="12.75" customHeight="1">
      <c r="A1109" s="1841" t="s">
        <v>1794</v>
      </c>
      <c r="B1109" s="1841"/>
      <c r="C1109" s="1841"/>
      <c r="D1109" s="1841"/>
      <c r="E1109" s="1841"/>
      <c r="F1109" s="1841"/>
      <c r="G1109" s="1841"/>
      <c r="H1109" s="1018"/>
      <c r="I1109" s="1142"/>
    </row>
    <row r="1110" spans="1:9" ht="12.75" customHeight="1">
      <c r="A1110" s="118"/>
      <c r="B1110" s="118"/>
      <c r="C1110" s="350"/>
      <c r="D1110" s="3"/>
      <c r="E1110" s="3"/>
      <c r="F1110" s="3"/>
      <c r="G1110" s="3"/>
      <c r="I1110" s="486"/>
    </row>
    <row r="1111" spans="1:9" ht="12.75" hidden="1" customHeight="1">
      <c r="A1111" s="118"/>
      <c r="B1111" s="398"/>
      <c r="D1111" s="1846" t="s">
        <v>1271</v>
      </c>
      <c r="E1111" s="1846"/>
      <c r="F1111" s="1846"/>
      <c r="G1111" s="3"/>
      <c r="I1111" s="486"/>
    </row>
    <row r="1112" spans="1:9" ht="12.75" hidden="1" customHeight="1">
      <c r="A1112" s="118"/>
      <c r="B1112" s="481" t="s">
        <v>307</v>
      </c>
      <c r="D1112" s="1845" t="s">
        <v>1270</v>
      </c>
      <c r="E1112" s="1845"/>
      <c r="F1112" s="1845"/>
      <c r="G1112" s="3"/>
      <c r="I1112" s="486"/>
    </row>
    <row r="1113" spans="1:9" ht="12.75" hidden="1" customHeight="1">
      <c r="A1113" s="118"/>
      <c r="B1113" s="398"/>
      <c r="D1113" s="1845" t="s">
        <v>1795</v>
      </c>
      <c r="E1113" s="1845"/>
      <c r="F1113" s="1845"/>
      <c r="G1113" s="3"/>
      <c r="I1113" s="486"/>
    </row>
    <row r="1114" spans="1:9" ht="12.75" hidden="1" customHeight="1">
      <c r="A1114" s="118"/>
      <c r="B1114" s="398"/>
      <c r="D1114" s="440"/>
      <c r="E1114" s="440"/>
      <c r="F1114" s="440"/>
      <c r="G1114" s="3"/>
      <c r="I1114" s="486"/>
    </row>
    <row r="1115" spans="1:9" ht="12.75" customHeight="1">
      <c r="A1115" s="118"/>
      <c r="B1115" s="118"/>
      <c r="C1115" s="350"/>
      <c r="D1115" s="1848" t="s">
        <v>1066</v>
      </c>
      <c r="E1115" s="1848"/>
      <c r="F1115" s="1848"/>
      <c r="G1115" s="3"/>
      <c r="I1115" s="486"/>
    </row>
    <row r="1116" spans="1:9" ht="12.75" customHeight="1">
      <c r="A1116" s="316"/>
      <c r="B1116" s="316"/>
      <c r="C1116" s="316"/>
      <c r="D1116" s="1837" t="s">
        <v>2195</v>
      </c>
      <c r="E1116" s="1837"/>
      <c r="F1116" s="1837"/>
      <c r="G1116" s="98"/>
      <c r="I1116" s="486"/>
    </row>
    <row r="1117" spans="1:9" ht="12.75" customHeight="1">
      <c r="A1117" s="175"/>
      <c r="B1117" s="481" t="s">
        <v>2830</v>
      </c>
      <c r="C1117" s="350"/>
      <c r="D1117" s="1837" t="s">
        <v>985</v>
      </c>
      <c r="E1117" s="1837"/>
      <c r="F1117" s="1837"/>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41" t="s">
        <v>2605</v>
      </c>
      <c r="B1120" s="1841"/>
      <c r="C1120" s="1841"/>
      <c r="D1120" s="1841"/>
      <c r="E1120" s="1841"/>
      <c r="F1120" s="1841"/>
      <c r="G1120" s="1841"/>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2830</v>
      </c>
      <c r="C1125" s="398"/>
      <c r="D1125" s="1852" t="s">
        <v>2655</v>
      </c>
      <c r="E1125" s="1852"/>
      <c r="F1125" s="1852"/>
      <c r="I1125" s="486"/>
    </row>
    <row r="1126" spans="1:9">
      <c r="A1126" s="398"/>
      <c r="B1126" s="398"/>
      <c r="C1126" s="398"/>
      <c r="D1126" s="1852"/>
      <c r="E1126" s="1852"/>
      <c r="F1126" s="1852"/>
      <c r="I1126" s="486"/>
    </row>
    <row r="1127" spans="1:9">
      <c r="A1127" s="398"/>
      <c r="B1127" s="398"/>
      <c r="C1127" s="398"/>
      <c r="D1127" s="1852"/>
      <c r="E1127" s="1852"/>
      <c r="F1127" s="1852"/>
      <c r="I1127" s="486"/>
    </row>
    <row r="1128" spans="1:9">
      <c r="A1128" s="398"/>
      <c r="B1128" s="398"/>
      <c r="C1128" s="398"/>
      <c r="D1128" s="1852"/>
      <c r="E1128" s="1852"/>
      <c r="F1128" s="1852"/>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2830</v>
      </c>
      <c r="C1133" s="398"/>
      <c r="D1133" s="398" t="s">
        <v>1796</v>
      </c>
      <c r="I1133" s="486"/>
    </row>
    <row r="1134" spans="1:9">
      <c r="A1134" s="398"/>
      <c r="B1134" s="398"/>
      <c r="C1134" s="398"/>
      <c r="I1134" s="486"/>
    </row>
    <row r="1135" spans="1:9">
      <c r="A1135" s="398"/>
      <c r="B1135" s="481" t="s">
        <v>2829</v>
      </c>
      <c r="C1135" s="398"/>
      <c r="D1135" s="1852" t="s">
        <v>1798</v>
      </c>
      <c r="E1135" s="1852"/>
      <c r="F1135" s="1852"/>
      <c r="I1135" s="486"/>
    </row>
    <row r="1136" spans="1:9">
      <c r="A1136" s="398"/>
      <c r="B1136" s="398"/>
      <c r="C1136" s="398"/>
      <c r="D1136" s="1852"/>
      <c r="E1136" s="1852"/>
      <c r="F1136" s="1852"/>
      <c r="I1136" s="486"/>
    </row>
    <row r="1137" spans="1:9">
      <c r="A1137" s="398"/>
      <c r="B1137" s="398"/>
      <c r="C1137" s="398"/>
      <c r="D1137" s="1852"/>
      <c r="E1137" s="1852"/>
      <c r="F1137" s="1852"/>
      <c r="I1137" s="486"/>
    </row>
    <row r="1138" spans="1:9">
      <c r="A1138" s="398"/>
      <c r="B1138" s="398"/>
      <c r="C1138" s="398"/>
      <c r="D1138" s="1852"/>
      <c r="E1138" s="1852"/>
      <c r="F1138" s="1852"/>
      <c r="I1138" s="486"/>
    </row>
    <row r="1139" spans="1:9">
      <c r="A1139" s="398"/>
      <c r="B1139" s="398"/>
      <c r="C1139" s="398"/>
      <c r="D1139" s="1852"/>
      <c r="E1139" s="1852"/>
      <c r="F1139" s="1852"/>
      <c r="I1139" s="486"/>
    </row>
    <row r="1140" spans="1:9">
      <c r="A1140" s="398"/>
      <c r="B1140" s="398"/>
      <c r="C1140" s="398"/>
      <c r="I1140" s="486"/>
    </row>
    <row r="1141" spans="1:9">
      <c r="A1141" s="1841" t="s">
        <v>1799</v>
      </c>
      <c r="B1141" s="1841"/>
      <c r="C1141" s="1841"/>
      <c r="D1141" s="1841"/>
      <c r="E1141" s="1841"/>
      <c r="F1141" s="1841"/>
      <c r="G1141" s="1841"/>
      <c r="H1141" s="1018"/>
      <c r="I1141" s="1142"/>
    </row>
    <row r="1142" spans="1:9">
      <c r="A1142" s="398"/>
      <c r="B1142" s="398"/>
      <c r="C1142" s="398"/>
      <c r="I1142" s="486"/>
    </row>
    <row r="1143" spans="1:9">
      <c r="A1143" s="398"/>
      <c r="B1143" s="398"/>
      <c r="C1143" s="398"/>
      <c r="I1143" s="486"/>
    </row>
    <row r="1144" spans="1:9">
      <c r="A1144" s="398"/>
      <c r="B1144" s="481" t="s">
        <v>2829</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2829</v>
      </c>
      <c r="C1147" s="398"/>
      <c r="D1147" s="1312" t="s">
        <v>2611</v>
      </c>
      <c r="E1147" s="1312"/>
      <c r="F1147" s="1312"/>
      <c r="I1147" s="486"/>
    </row>
    <row r="1148" spans="1:9">
      <c r="A1148" s="398"/>
      <c r="B1148" s="398"/>
      <c r="C1148" s="398"/>
      <c r="D1148" s="1312"/>
      <c r="E1148" s="1312"/>
      <c r="F1148" s="1312"/>
      <c r="I1148" s="486"/>
    </row>
    <row r="1149" spans="1:9">
      <c r="A1149" s="398"/>
      <c r="B1149" s="398"/>
      <c r="C1149" s="398"/>
      <c r="D1149" s="523" t="s">
        <v>2610</v>
      </c>
      <c r="I1149" s="486"/>
    </row>
    <row r="1150" spans="1:9">
      <c r="A1150" s="398"/>
      <c r="B1150" s="398"/>
      <c r="C1150" s="398"/>
      <c r="D1150" s="523"/>
      <c r="I1150" s="486"/>
    </row>
    <row r="1151" spans="1:9">
      <c r="A1151" s="398"/>
      <c r="B1151" s="481" t="s">
        <v>2830</v>
      </c>
      <c r="C1151" s="398"/>
      <c r="D1151" s="119" t="s">
        <v>2619</v>
      </c>
      <c r="I1151" s="486"/>
    </row>
    <row r="1152" spans="1:9">
      <c r="A1152" s="398"/>
      <c r="B1152" s="398"/>
      <c r="C1152" s="398"/>
      <c r="D1152" s="1465" t="s">
        <v>2621</v>
      </c>
      <c r="E1152" s="1465"/>
      <c r="F1152" s="1465"/>
      <c r="I1152" s="486"/>
    </row>
    <row r="1153" spans="1:9">
      <c r="A1153" s="398"/>
      <c r="B1153" s="398"/>
      <c r="C1153" s="398"/>
      <c r="D1153" s="1465"/>
      <c r="E1153" s="1465"/>
      <c r="F1153" s="1465"/>
      <c r="I1153" s="486"/>
    </row>
    <row r="1154" spans="1:9">
      <c r="A1154" s="398"/>
      <c r="B1154" s="398"/>
      <c r="C1154" s="398"/>
      <c r="D1154" s="1465"/>
      <c r="E1154" s="1465"/>
      <c r="F1154" s="1465"/>
      <c r="I1154" s="486"/>
    </row>
    <row r="1155" spans="1:9">
      <c r="A1155" s="398"/>
      <c r="B1155" s="398"/>
      <c r="C1155" s="398"/>
      <c r="D1155" s="1465"/>
      <c r="E1155" s="1465"/>
      <c r="F1155" s="1465"/>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2830</v>
      </c>
      <c r="C1159" s="398"/>
      <c r="D1159" s="1851" t="s">
        <v>1801</v>
      </c>
      <c r="E1159" s="1851"/>
      <c r="F1159" s="1851"/>
      <c r="I1159" s="486"/>
    </row>
    <row r="1160" spans="1:9">
      <c r="A1160" s="398"/>
      <c r="B1160" s="398"/>
      <c r="C1160" s="398"/>
      <c r="D1160" s="1851"/>
      <c r="E1160" s="1851"/>
      <c r="F1160" s="1851"/>
      <c r="I1160" s="486"/>
    </row>
    <row r="1161" spans="1:9">
      <c r="A1161" s="398"/>
      <c r="B1161" s="398"/>
      <c r="C1161" s="398"/>
      <c r="D1161" s="1851"/>
      <c r="E1161" s="1851"/>
      <c r="F1161" s="1851"/>
      <c r="I1161" s="486"/>
    </row>
    <row r="1162" spans="1:9">
      <c r="A1162" s="398"/>
      <c r="B1162" s="398"/>
      <c r="C1162" s="398"/>
      <c r="D1162" s="1851"/>
      <c r="E1162" s="1851"/>
      <c r="F1162" s="1851"/>
      <c r="I1162" s="486"/>
    </row>
    <row r="1163" spans="1:9">
      <c r="A1163" s="398"/>
      <c r="B1163" s="398"/>
      <c r="C1163" s="398"/>
      <c r="D1163" s="1851"/>
      <c r="E1163" s="1851"/>
      <c r="F1163" s="1851"/>
      <c r="I1163" s="486"/>
    </row>
    <row r="1164" spans="1:9">
      <c r="A1164" s="398"/>
      <c r="B1164" s="398"/>
      <c r="C1164" s="398"/>
      <c r="D1164" s="523" t="s">
        <v>2622</v>
      </c>
      <c r="I1164" s="486"/>
    </row>
    <row r="1165" spans="1:9">
      <c r="A1165" s="398"/>
      <c r="B1165" s="398"/>
      <c r="C1165" s="398"/>
      <c r="I1165" s="486"/>
    </row>
    <row r="1166" spans="1:9">
      <c r="A1166" s="398"/>
      <c r="B1166" s="481" t="s">
        <v>2830</v>
      </c>
      <c r="C1166" s="398"/>
      <c r="D1166" s="1830" t="s">
        <v>2216</v>
      </c>
      <c r="E1166" s="1830"/>
      <c r="F1166" s="1830"/>
      <c r="I1166" s="486"/>
    </row>
    <row r="1167" spans="1:9">
      <c r="A1167" s="398"/>
      <c r="B1167" s="398"/>
      <c r="C1167" s="398"/>
      <c r="D1167" s="1830"/>
      <c r="E1167" s="1830"/>
      <c r="F1167" s="1830"/>
      <c r="I1167" s="486"/>
    </row>
    <row r="1168" spans="1:9">
      <c r="A1168" s="398"/>
      <c r="B1168" s="398"/>
      <c r="C1168" s="398"/>
      <c r="D1168" s="1830"/>
      <c r="E1168" s="1830"/>
      <c r="F1168" s="1830"/>
      <c r="I1168" s="486"/>
    </row>
    <row r="1169" spans="1:9">
      <c r="A1169" s="398"/>
      <c r="B1169" s="398"/>
      <c r="C1169" s="398"/>
      <c r="I1169" s="486"/>
    </row>
    <row r="1170" spans="1:9">
      <c r="A1170" s="1841" t="s">
        <v>1803</v>
      </c>
      <c r="B1170" s="1841"/>
      <c r="C1170" s="1841"/>
      <c r="D1170" s="1841"/>
      <c r="E1170" s="1841"/>
      <c r="F1170" s="1841"/>
      <c r="G1170" s="1841"/>
      <c r="H1170" s="1018"/>
      <c r="I1170" s="1142"/>
    </row>
    <row r="1171" spans="1:9">
      <c r="A1171" s="398"/>
      <c r="B1171" s="398"/>
      <c r="C1171" s="398"/>
      <c r="I1171" s="486"/>
    </row>
    <row r="1172" spans="1:9">
      <c r="A1172" s="398"/>
      <c r="B1172" s="398"/>
      <c r="C1172" s="398"/>
      <c r="I1172" s="486"/>
    </row>
    <row r="1173" spans="1:9" ht="12.75" customHeight="1">
      <c r="A1173" s="398"/>
      <c r="B1173" s="481" t="s">
        <v>2830</v>
      </c>
      <c r="C1173" s="398"/>
      <c r="D1173" s="1315" t="s">
        <v>1897</v>
      </c>
      <c r="E1173" s="1315"/>
      <c r="F1173" s="1315"/>
      <c r="I1173" s="486"/>
    </row>
    <row r="1174" spans="1:9">
      <c r="A1174" s="398"/>
      <c r="B1174" s="398"/>
      <c r="C1174" s="398"/>
      <c r="D1174" s="1315"/>
      <c r="E1174" s="1315"/>
      <c r="F1174" s="1315"/>
      <c r="I1174" s="486"/>
    </row>
    <row r="1175" spans="1:9">
      <c r="A1175" s="398"/>
      <c r="B1175" s="398"/>
      <c r="C1175" s="398"/>
      <c r="D1175" s="1853" t="s">
        <v>2626</v>
      </c>
      <c r="E1175" s="1465"/>
      <c r="F1175" s="1465"/>
      <c r="I1175" s="486"/>
    </row>
    <row r="1176" spans="1:9">
      <c r="A1176" s="398"/>
      <c r="B1176" s="398"/>
      <c r="C1176" s="398"/>
      <c r="D1176" s="523"/>
      <c r="I1176" s="486"/>
    </row>
    <row r="1177" spans="1:9">
      <c r="A1177" s="398"/>
      <c r="B1177" s="481" t="s">
        <v>2830</v>
      </c>
      <c r="C1177" s="398"/>
      <c r="D1177" s="1851" t="s">
        <v>2575</v>
      </c>
      <c r="E1177" s="1851"/>
      <c r="F1177" s="1851"/>
      <c r="I1177" s="486"/>
    </row>
    <row r="1178" spans="1:9">
      <c r="A1178" s="398"/>
      <c r="B1178" s="398"/>
      <c r="C1178" s="398"/>
      <c r="D1178" s="1851"/>
      <c r="E1178" s="1851"/>
      <c r="F1178" s="1851"/>
      <c r="I1178" s="486"/>
    </row>
    <row r="1179" spans="1:9">
      <c r="A1179" s="398"/>
      <c r="B1179" s="398"/>
      <c r="C1179" s="398"/>
      <c r="D1179" s="1851"/>
      <c r="E1179" s="1851"/>
      <c r="F1179" s="1851"/>
      <c r="I1179" s="486"/>
    </row>
    <row r="1180" spans="1:9">
      <c r="A1180" s="398"/>
      <c r="B1180" s="398"/>
      <c r="C1180" s="398"/>
      <c r="D1180" s="523"/>
      <c r="I1180" s="486"/>
    </row>
    <row r="1181" spans="1:9">
      <c r="A1181" s="398"/>
      <c r="B1181" s="481" t="s">
        <v>2830</v>
      </c>
      <c r="C1181" s="398"/>
      <c r="D1181" s="1851" t="s">
        <v>2594</v>
      </c>
      <c r="E1181" s="1851"/>
      <c r="F1181" s="1851"/>
      <c r="I1181" s="486"/>
    </row>
    <row r="1182" spans="1:9">
      <c r="A1182" s="398"/>
      <c r="B1182" s="398"/>
      <c r="C1182" s="398"/>
      <c r="D1182" s="1851"/>
      <c r="E1182" s="1851"/>
      <c r="F1182" s="1851"/>
      <c r="I1182" s="486"/>
    </row>
    <row r="1183" spans="1:9">
      <c r="A1183" s="398"/>
      <c r="B1183" s="398"/>
      <c r="C1183" s="398"/>
      <c r="D1183" s="1851"/>
      <c r="E1183" s="1851"/>
      <c r="F1183" s="1851"/>
      <c r="I1183" s="486"/>
    </row>
    <row r="1184" spans="1:9">
      <c r="A1184" s="398"/>
      <c r="B1184" s="398"/>
      <c r="C1184" s="398"/>
      <c r="D1184" s="1851"/>
      <c r="E1184" s="1851"/>
      <c r="F1184" s="1851"/>
      <c r="I1184" s="486"/>
    </row>
    <row r="1185" spans="1:9">
      <c r="A1185" s="398"/>
      <c r="B1185" s="398"/>
      <c r="C1185" s="398"/>
      <c r="D1185" s="1851"/>
      <c r="E1185" s="1851"/>
      <c r="F1185" s="1851"/>
      <c r="I1185" s="486"/>
    </row>
    <row r="1186" spans="1:9">
      <c r="A1186" s="398"/>
      <c r="B1186" s="398"/>
      <c r="C1186" s="398"/>
      <c r="D1186" s="523"/>
      <c r="I1186" s="476"/>
    </row>
    <row r="1187" spans="1:9">
      <c r="A1187" s="398"/>
      <c r="B1187" s="481" t="s">
        <v>2830</v>
      </c>
      <c r="C1187" s="398"/>
      <c r="D1187" s="1851" t="s">
        <v>1804</v>
      </c>
      <c r="E1187" s="1851"/>
      <c r="F1187" s="1851"/>
      <c r="I1187" s="486"/>
    </row>
    <row r="1188" spans="1:9">
      <c r="A1188" s="398"/>
      <c r="B1188" s="398"/>
      <c r="C1188" s="398"/>
      <c r="D1188" s="1851"/>
      <c r="E1188" s="1851"/>
      <c r="F1188" s="1851"/>
      <c r="I1188" s="486"/>
    </row>
    <row r="1189" spans="1:9">
      <c r="A1189" s="398"/>
      <c r="B1189" s="398"/>
      <c r="C1189" s="398"/>
      <c r="D1189" s="1851"/>
      <c r="E1189" s="1851"/>
      <c r="F1189" s="1851"/>
      <c r="I1189" s="486"/>
    </row>
    <row r="1190" spans="1:9">
      <c r="A1190" s="398"/>
      <c r="B1190" s="398"/>
      <c r="C1190" s="398"/>
      <c r="D1190" s="523"/>
      <c r="I1190" s="486"/>
    </row>
    <row r="1191" spans="1:9">
      <c r="A1191" s="398"/>
      <c r="B1191" s="481" t="s">
        <v>2830</v>
      </c>
      <c r="C1191" s="398"/>
      <c r="D1191" s="1303" t="s">
        <v>1856</v>
      </c>
      <c r="E1191" s="1303"/>
      <c r="F1191" s="1303"/>
      <c r="I1191" s="486"/>
    </row>
    <row r="1192" spans="1:9">
      <c r="A1192" s="398"/>
      <c r="B1192" s="398"/>
      <c r="C1192" s="398"/>
      <c r="D1192" s="1303"/>
      <c r="E1192" s="1303"/>
      <c r="F1192" s="1303"/>
      <c r="I1192" s="486"/>
    </row>
    <row r="1193" spans="1:9">
      <c r="A1193" s="398"/>
      <c r="B1193" s="398"/>
      <c r="C1193" s="398"/>
      <c r="D1193" s="1303"/>
      <c r="E1193" s="1303"/>
      <c r="F1193" s="1303"/>
      <c r="I1193" s="486"/>
    </row>
    <row r="1194" spans="1:9">
      <c r="A1194" s="398"/>
      <c r="B1194" s="398"/>
      <c r="C1194" s="398"/>
      <c r="D1194" s="970"/>
      <c r="E1194" s="970"/>
      <c r="F1194" s="970"/>
      <c r="I1194" s="486"/>
    </row>
    <row r="1195" spans="1:9" ht="15.75" customHeight="1">
      <c r="A1195" s="398"/>
      <c r="B1195" s="481" t="s">
        <v>2830</v>
      </c>
      <c r="C1195" s="398"/>
      <c r="D1195" s="1465" t="s">
        <v>1857</v>
      </c>
      <c r="E1195" s="1465"/>
      <c r="F1195" s="1465"/>
      <c r="I1195" s="486"/>
    </row>
    <row r="1196" spans="1:9">
      <c r="A1196" s="398"/>
      <c r="B1196" s="398"/>
      <c r="C1196" s="398"/>
      <c r="D1196" s="1465"/>
      <c r="E1196" s="1465"/>
      <c r="F1196" s="1465"/>
      <c r="I1196" s="486"/>
    </row>
    <row r="1197" spans="1:9">
      <c r="A1197" s="398"/>
      <c r="B1197" s="398"/>
      <c r="C1197" s="398"/>
      <c r="D1197" s="1465"/>
      <c r="E1197" s="1465"/>
      <c r="F1197" s="1465"/>
      <c r="I1197" s="486"/>
    </row>
    <row r="1198" spans="1:9">
      <c r="A1198" s="398"/>
      <c r="B1198" s="398"/>
      <c r="C1198" s="398"/>
      <c r="D1198" s="1465"/>
      <c r="E1198" s="1465"/>
      <c r="F1198" s="1465"/>
      <c r="I1198" s="486"/>
    </row>
    <row r="1199" spans="1:9">
      <c r="A1199" s="398"/>
      <c r="B1199" s="398"/>
      <c r="C1199" s="398"/>
      <c r="D1199" s="970"/>
      <c r="E1199" s="970"/>
      <c r="F1199" s="970"/>
      <c r="I1199" s="486"/>
    </row>
    <row r="1200" spans="1:9">
      <c r="A1200" s="398"/>
      <c r="B1200" s="481" t="s">
        <v>2830</v>
      </c>
      <c r="C1200" s="398"/>
      <c r="D1200" s="1303" t="s">
        <v>2603</v>
      </c>
      <c r="E1200" s="1303"/>
      <c r="F1200" s="1303"/>
      <c r="I1200" s="486"/>
    </row>
    <row r="1201" spans="1:9">
      <c r="A1201" s="398"/>
      <c r="B1201" s="398"/>
      <c r="C1201" s="398"/>
      <c r="D1201" s="1303"/>
      <c r="E1201" s="1303"/>
      <c r="F1201" s="1303"/>
      <c r="I1201" s="486"/>
    </row>
    <row r="1202" spans="1:9">
      <c r="A1202" s="398"/>
      <c r="B1202" s="398"/>
      <c r="C1202" s="398"/>
      <c r="D1202" s="1303"/>
      <c r="E1202" s="1303"/>
      <c r="F1202" s="1303"/>
      <c r="I1202" s="486"/>
    </row>
    <row r="1203" spans="1:9">
      <c r="A1203" s="398"/>
      <c r="B1203" s="398"/>
      <c r="C1203" s="398"/>
      <c r="D1203" s="1303"/>
      <c r="E1203" s="1303"/>
      <c r="F1203" s="1303"/>
      <c r="I1203" s="486"/>
    </row>
    <row r="1204" spans="1:9">
      <c r="A1204" s="398"/>
      <c r="B1204" s="398"/>
      <c r="C1204" s="398"/>
      <c r="D1204" s="1303"/>
      <c r="E1204" s="1303"/>
      <c r="F1204" s="1303"/>
      <c r="I1204" s="486"/>
    </row>
    <row r="1205" spans="1:9">
      <c r="A1205" s="398"/>
      <c r="B1205" s="398"/>
      <c r="C1205" s="398"/>
      <c r="D1205" s="1303"/>
      <c r="E1205" s="1303"/>
      <c r="F1205" s="1303"/>
      <c r="I1205" s="486"/>
    </row>
    <row r="1206" spans="1:9">
      <c r="A1206" s="398"/>
      <c r="B1206" s="398"/>
      <c r="C1206" s="398"/>
      <c r="D1206" s="970"/>
      <c r="E1206" s="970"/>
      <c r="F1206" s="970"/>
      <c r="I1206" s="486"/>
    </row>
    <row r="1207" spans="1:9">
      <c r="A1207" s="398"/>
      <c r="B1207" s="481" t="s">
        <v>2830</v>
      </c>
      <c r="C1207" s="398"/>
      <c r="D1207" s="1852" t="s">
        <v>2576</v>
      </c>
      <c r="E1207" s="1852"/>
      <c r="F1207" s="1852"/>
      <c r="I1207" s="1148"/>
    </row>
    <row r="1208" spans="1:9">
      <c r="A1208" s="398"/>
      <c r="B1208" s="398"/>
      <c r="C1208" s="398"/>
      <c r="D1208" s="1852"/>
      <c r="E1208" s="1852"/>
      <c r="F1208" s="1852"/>
      <c r="I1208" s="486"/>
    </row>
    <row r="1209" spans="1:9">
      <c r="A1209" s="398"/>
      <c r="B1209" s="398"/>
      <c r="C1209" s="398"/>
      <c r="D1209" s="1852"/>
      <c r="E1209" s="1852"/>
      <c r="F1209" s="1852"/>
    </row>
    <row r="1210" spans="1:9">
      <c r="A1210" s="398"/>
      <c r="B1210" s="398"/>
      <c r="C1210" s="398"/>
      <c r="D1210" s="1852"/>
      <c r="E1210" s="1852"/>
      <c r="F1210" s="1852"/>
    </row>
    <row r="1211" spans="1:9">
      <c r="A1211" s="398"/>
      <c r="B1211" s="398"/>
      <c r="C1211" s="398"/>
      <c r="D1211" s="1852"/>
      <c r="E1211" s="1852"/>
      <c r="F1211" s="1852"/>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7"/>
      <c r="H1619" s="1857"/>
      <c r="I1619" s="1857"/>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158" workbookViewId="0">
      <selection activeCell="AF1038" sqref="AF1038"/>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 xml:space="preserve">Coastal (Monterey, Napa, Orange, San Benito, San Diego, San Luis Obispo, Santa Barbara, Sonoma, and Ventura Counties) </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11</v>
      </c>
    </row>
    <row r="8" spans="1:58" ht="26.25" customHeight="1">
      <c r="A8" s="1460" t="s">
        <v>100</v>
      </c>
      <c r="B8" s="1460"/>
      <c r="C8" s="1460"/>
      <c r="D8" s="1460"/>
      <c r="E8" s="1460"/>
      <c r="F8" s="1460"/>
      <c r="G8" s="1460"/>
      <c r="H8" s="1460"/>
      <c r="I8" s="1460"/>
      <c r="J8" s="1460"/>
      <c r="K8" s="1460"/>
      <c r="L8" s="1460"/>
      <c r="M8" s="1460"/>
      <c r="N8" s="1460"/>
      <c r="O8" s="1460"/>
      <c r="P8" s="1460"/>
      <c r="Q8" s="1460"/>
      <c r="R8" s="1460"/>
      <c r="S8" s="1460"/>
      <c r="T8" s="1460"/>
      <c r="U8" s="1460"/>
      <c r="V8" s="1460"/>
      <c r="W8" s="1460"/>
      <c r="X8" s="1460"/>
      <c r="Y8" s="1460"/>
      <c r="Z8" s="1460"/>
      <c r="AA8" s="1460"/>
      <c r="AB8" s="1460"/>
      <c r="AC8" s="1460"/>
      <c r="AD8" s="1460"/>
      <c r="AE8" s="1460"/>
      <c r="AF8" s="1460"/>
      <c r="AG8" s="1460"/>
      <c r="AH8" s="1460"/>
      <c r="AI8" s="1460"/>
      <c r="AJ8" s="1460"/>
      <c r="AK8" s="1460"/>
      <c r="AL8" s="1460"/>
      <c r="AM8" s="1460"/>
      <c r="AN8" s="1460"/>
      <c r="AO8" s="1460"/>
      <c r="AP8" s="1460"/>
      <c r="AQ8" s="1460"/>
      <c r="AR8" s="1460"/>
      <c r="AS8" s="1460"/>
      <c r="AT8" s="1460"/>
      <c r="AU8" s="889"/>
      <c r="AV8" s="889"/>
      <c r="AW8" s="889"/>
      <c r="AX8" s="889"/>
      <c r="AY8" s="889"/>
      <c r="BD8" s="3" t="s">
        <v>2434</v>
      </c>
      <c r="BE8" s="1178">
        <f>SUMIF($AC$726:$AC$760,"&lt;=35%",$G$726:G$760)-SUM($BE$5:BE7)</f>
        <v>0</v>
      </c>
    </row>
    <row r="9" spans="1:58" ht="12.95" customHeight="1">
      <c r="A9" s="1286" t="s">
        <v>2027</v>
      </c>
      <c r="B9" s="1286"/>
      <c r="C9" s="1286"/>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1286"/>
      <c r="AM9" s="1286"/>
      <c r="AN9" s="1286"/>
      <c r="AO9" s="1286"/>
      <c r="AP9" s="1286"/>
      <c r="AQ9" s="1286"/>
      <c r="AR9" s="1286"/>
      <c r="AS9" s="1286"/>
      <c r="AT9" s="1286"/>
      <c r="AU9" s="13"/>
      <c r="AV9" s="13"/>
      <c r="AW9" s="13"/>
      <c r="AX9" s="13"/>
      <c r="AY9" s="13"/>
      <c r="BD9" s="1177" t="s">
        <v>2426</v>
      </c>
      <c r="BE9" s="1178">
        <f>SUMIF($AC$726:$AC$760,"&lt;=40%",$G$726:G$760)-SUM($BE$5:BE8)</f>
        <v>0</v>
      </c>
    </row>
    <row r="10" spans="1:58" ht="12.95" customHeight="1">
      <c r="A10" s="1286" t="s">
        <v>2596</v>
      </c>
      <c r="B10" s="1286"/>
      <c r="C10" s="1286"/>
      <c r="D10" s="1286"/>
      <c r="E10" s="1286"/>
      <c r="F10" s="1286"/>
      <c r="G10" s="1286"/>
      <c r="H10" s="1286"/>
      <c r="I10" s="1286"/>
      <c r="J10" s="1286"/>
      <c r="K10" s="1286"/>
      <c r="L10" s="1286"/>
      <c r="M10" s="1286"/>
      <c r="N10" s="1286"/>
      <c r="O10" s="1286"/>
      <c r="P10" s="1286"/>
      <c r="Q10" s="1286"/>
      <c r="R10" s="1286"/>
      <c r="S10" s="1286"/>
      <c r="T10" s="1286"/>
      <c r="U10" s="1286"/>
      <c r="V10" s="1286"/>
      <c r="W10" s="1286"/>
      <c r="X10" s="1286"/>
      <c r="Y10" s="1286"/>
      <c r="Z10" s="1286"/>
      <c r="AA10" s="1286"/>
      <c r="AB10" s="1286"/>
      <c r="AC10" s="1286"/>
      <c r="AD10" s="1286"/>
      <c r="AE10" s="1286"/>
      <c r="AF10" s="1286"/>
      <c r="AG10" s="1286"/>
      <c r="AH10" s="1286"/>
      <c r="AI10" s="1286"/>
      <c r="AJ10" s="1286"/>
      <c r="AK10" s="1286"/>
      <c r="AL10" s="1286"/>
      <c r="AM10" s="1286"/>
      <c r="AN10" s="1286"/>
      <c r="AO10" s="1286"/>
      <c r="AP10" s="1286"/>
      <c r="AQ10" s="1286"/>
      <c r="AR10" s="1286"/>
      <c r="AS10" s="1286"/>
      <c r="AT10" s="1286"/>
      <c r="AU10" s="13"/>
      <c r="AV10" s="13"/>
      <c r="AW10" s="13"/>
      <c r="AX10" s="13"/>
      <c r="AY10" s="13"/>
      <c r="BD10" s="3" t="s">
        <v>2435</v>
      </c>
      <c r="BE10" s="1178">
        <f>SUMIF($AC$726:$AC$760,"&lt;=45%",$G$726:G$760)-SUM($BE$5:BE9)</f>
        <v>0</v>
      </c>
    </row>
    <row r="11" spans="1:58" ht="12.95" customHeight="1">
      <c r="A11" s="1286" t="s">
        <v>2523</v>
      </c>
      <c r="B11" s="1286"/>
      <c r="C11" s="1286"/>
      <c r="D11" s="1286"/>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1286"/>
      <c r="AM11" s="1286"/>
      <c r="AN11" s="1286"/>
      <c r="AO11" s="1286"/>
      <c r="AP11" s="1286"/>
      <c r="AQ11" s="1286"/>
      <c r="AR11" s="1286"/>
      <c r="AS11" s="1286"/>
      <c r="AT11" s="1286"/>
      <c r="AU11" s="13"/>
      <c r="AV11" s="13"/>
      <c r="AW11" s="13"/>
      <c r="AX11" s="13"/>
      <c r="AY11" s="13"/>
      <c r="BD11" s="1176" t="s">
        <v>2427</v>
      </c>
      <c r="BE11" s="1178">
        <f>SUMIF($AC$726:$AC$760,"&lt;=50%",$G$726:G$760)-SUM($BE$5:BE10)</f>
        <v>11</v>
      </c>
    </row>
    <row r="12" spans="1:58" ht="12.95" customHeight="1">
      <c r="A12" s="1461" t="s">
        <v>2662</v>
      </c>
      <c r="B12" s="1461"/>
      <c r="C12" s="1461"/>
      <c r="D12" s="1461"/>
      <c r="E12" s="1461"/>
      <c r="F12" s="1461"/>
      <c r="G12" s="1461"/>
      <c r="H12" s="1461"/>
      <c r="I12" s="1461"/>
      <c r="J12" s="1461"/>
      <c r="K12" s="1461"/>
      <c r="L12" s="1461"/>
      <c r="M12" s="1461"/>
      <c r="N12" s="1461"/>
      <c r="O12" s="1461"/>
      <c r="P12" s="1461"/>
      <c r="Q12" s="1461"/>
      <c r="R12" s="1461"/>
      <c r="S12" s="1461"/>
      <c r="T12" s="1461"/>
      <c r="U12" s="1461"/>
      <c r="V12" s="1461"/>
      <c r="W12" s="1461"/>
      <c r="X12" s="1461"/>
      <c r="Y12" s="1461"/>
      <c r="Z12" s="1461"/>
      <c r="AA12" s="1461"/>
      <c r="AB12" s="1461"/>
      <c r="AC12" s="1461"/>
      <c r="AD12" s="1461"/>
      <c r="AE12" s="1461"/>
      <c r="AF12" s="1461"/>
      <c r="AG12" s="1461"/>
      <c r="AH12" s="1461"/>
      <c r="AI12" s="1461"/>
      <c r="AJ12" s="1461"/>
      <c r="AK12" s="1461"/>
      <c r="AL12" s="1461"/>
      <c r="AM12" s="1461"/>
      <c r="AN12" s="1461"/>
      <c r="AO12" s="1461"/>
      <c r="AP12" s="1461"/>
      <c r="AQ12" s="1461"/>
      <c r="AR12" s="1461"/>
      <c r="AS12" s="1461"/>
      <c r="AT12" s="1461"/>
      <c r="AU12" s="6"/>
      <c r="AV12" s="6"/>
      <c r="AW12" s="6"/>
      <c r="AX12" s="6"/>
      <c r="AY12" s="6"/>
      <c r="BD12" s="3" t="s">
        <v>2436</v>
      </c>
      <c r="BE12" s="1178">
        <f>SUMIF($AC$726:$AC$760,"&lt;=55%",$G$726:G$760)-SUM($BE$5:BE11)</f>
        <v>0</v>
      </c>
    </row>
    <row r="13" spans="1:58" ht="12.95" customHeight="1">
      <c r="A13" s="1485" t="s">
        <v>2028</v>
      </c>
      <c r="B13" s="1485"/>
      <c r="C13" s="1485"/>
      <c r="D13" s="1485"/>
      <c r="E13" s="1485"/>
      <c r="F13" s="1485"/>
      <c r="G13" s="1485"/>
      <c r="H13" s="1485"/>
      <c r="I13" s="1485"/>
      <c r="J13" s="1485"/>
      <c r="K13" s="1485"/>
      <c r="L13" s="1485"/>
      <c r="M13" s="1485"/>
      <c r="N13" s="1485"/>
      <c r="O13" s="1485"/>
      <c r="P13" s="1485"/>
      <c r="Q13" s="1485"/>
      <c r="R13" s="1485"/>
      <c r="S13" s="1485"/>
      <c r="T13" s="1485"/>
      <c r="U13" s="1485"/>
      <c r="V13" s="1485"/>
      <c r="W13" s="1485"/>
      <c r="X13" s="1485"/>
      <c r="Y13" s="1485"/>
      <c r="Z13" s="1485"/>
      <c r="AA13" s="1485"/>
      <c r="AB13" s="1485"/>
      <c r="AC13" s="1485"/>
      <c r="AD13" s="1485"/>
      <c r="AE13" s="1485"/>
      <c r="AF13" s="1485"/>
      <c r="AG13" s="1485"/>
      <c r="AH13" s="1485"/>
      <c r="AI13" s="1485"/>
      <c r="AJ13" s="1485"/>
      <c r="AK13" s="1485"/>
      <c r="AL13" s="1485"/>
      <c r="AM13" s="1485"/>
      <c r="AN13" s="1485"/>
      <c r="AO13" s="1485"/>
      <c r="AP13" s="1485"/>
      <c r="AQ13" s="1485"/>
      <c r="AR13" s="1485"/>
      <c r="AS13" s="1485"/>
      <c r="AT13" s="1485"/>
      <c r="AU13" s="890"/>
      <c r="AV13" s="890"/>
      <c r="AW13" s="890"/>
      <c r="AX13" s="890"/>
      <c r="AY13" s="890"/>
      <c r="BD13" s="1177" t="s">
        <v>2428</v>
      </c>
      <c r="BE13" s="1178">
        <f>SUMIF($AC$726:$AC$760,"&lt;=60%",$G$726:G$760)-SUM($BE$5:BE12)</f>
        <v>42</v>
      </c>
    </row>
    <row r="14" spans="1:58" ht="12.95" customHeight="1">
      <c r="A14" s="1485"/>
      <c r="B14" s="1485"/>
      <c r="C14" s="1485"/>
      <c r="D14" s="1485"/>
      <c r="E14" s="1485"/>
      <c r="F14" s="1485"/>
      <c r="G14" s="1485"/>
      <c r="H14" s="1485"/>
      <c r="I14" s="1485"/>
      <c r="J14" s="1485"/>
      <c r="K14" s="1485"/>
      <c r="L14" s="1485"/>
      <c r="M14" s="1485"/>
      <c r="N14" s="1485"/>
      <c r="O14" s="1485"/>
      <c r="P14" s="1485"/>
      <c r="Q14" s="1485"/>
      <c r="R14" s="1485"/>
      <c r="S14" s="1485"/>
      <c r="T14" s="1485"/>
      <c r="U14" s="1485"/>
      <c r="V14" s="1485"/>
      <c r="W14" s="1485"/>
      <c r="X14" s="1485"/>
      <c r="Y14" s="1485"/>
      <c r="Z14" s="1485"/>
      <c r="AA14" s="1485"/>
      <c r="AB14" s="1485"/>
      <c r="AC14" s="1485"/>
      <c r="AD14" s="1485"/>
      <c r="AE14" s="1485"/>
      <c r="AF14" s="1485"/>
      <c r="AG14" s="1485"/>
      <c r="AH14" s="1485"/>
      <c r="AI14" s="1485"/>
      <c r="AJ14" s="1485"/>
      <c r="AK14" s="1485"/>
      <c r="AL14" s="1485"/>
      <c r="AM14" s="1485"/>
      <c r="AN14" s="1485"/>
      <c r="AO14" s="1485"/>
      <c r="AP14" s="1485"/>
      <c r="AQ14" s="1485"/>
      <c r="AR14" s="1485"/>
      <c r="AS14" s="1485"/>
      <c r="AT14" s="1485"/>
      <c r="AU14" s="890"/>
      <c r="AV14" s="890"/>
      <c r="AW14" s="890"/>
      <c r="AX14" s="890"/>
      <c r="AY14" s="890"/>
      <c r="BD14" s="1176" t="s">
        <v>2429</v>
      </c>
      <c r="BE14" s="1178">
        <f>SUMIF($AC$726:$AC$760,"&lt;=70%",$G$726:G$760)-SUM($BE$5:BE13)</f>
        <v>43</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470" t="s">
        <v>2698</v>
      </c>
      <c r="I16" s="1471"/>
      <c r="J16" s="1471"/>
      <c r="K16" s="1471"/>
      <c r="L16" s="1471"/>
      <c r="M16" s="1471"/>
      <c r="N16" s="1471"/>
      <c r="O16" s="1471"/>
      <c r="P16" s="1471"/>
      <c r="Q16" s="1471"/>
      <c r="R16" s="1471"/>
      <c r="S16" s="1471"/>
      <c r="T16" s="1471"/>
      <c r="U16" s="1471"/>
      <c r="V16" s="1471"/>
      <c r="W16" s="1471"/>
      <c r="X16" s="1471"/>
      <c r="Y16" s="1471"/>
      <c r="Z16" s="1471"/>
      <c r="AA16" s="1471"/>
      <c r="AB16" s="1471"/>
      <c r="AC16" s="1471"/>
      <c r="AD16" s="1471"/>
      <c r="AE16" s="1471"/>
      <c r="AF16" s="1471"/>
      <c r="AG16" s="1471"/>
      <c r="AH16" s="1471"/>
      <c r="AI16" s="1471"/>
      <c r="AJ16" s="1471"/>
      <c r="BD16" s="1177" t="s">
        <v>656</v>
      </c>
      <c r="BE16" s="1178" t="str">
        <f>Application!H18</f>
        <v>Euclid Avenue Apartments</v>
      </c>
    </row>
    <row r="17" spans="1:58" ht="12.95" customHeight="1">
      <c r="BD17" s="1176" t="s">
        <v>2442</v>
      </c>
      <c r="BE17" s="1178">
        <f>Application!AA943</f>
        <v>0</v>
      </c>
    </row>
    <row r="18" spans="1:58" ht="12.95" customHeight="1">
      <c r="A18" s="57" t="s">
        <v>101</v>
      </c>
      <c r="C18" s="4"/>
      <c r="D18" s="4"/>
      <c r="E18" s="4"/>
      <c r="F18" s="4"/>
      <c r="G18" s="4"/>
      <c r="H18" s="1467" t="s">
        <v>2689</v>
      </c>
      <c r="I18" s="1468"/>
      <c r="J18" s="1468"/>
      <c r="K18" s="1468"/>
      <c r="L18" s="1468"/>
      <c r="M18" s="1468"/>
      <c r="N18" s="1468"/>
      <c r="O18" s="1468"/>
      <c r="P18" s="1468"/>
      <c r="Q18" s="1468"/>
      <c r="R18" s="1468"/>
      <c r="S18" s="1468"/>
      <c r="T18" s="1468"/>
      <c r="U18" s="1468"/>
      <c r="V18" s="1468"/>
      <c r="W18" s="1468"/>
      <c r="X18" s="1468"/>
      <c r="Y18" s="1468"/>
      <c r="Z18" s="1468"/>
      <c r="AA18" s="1468"/>
      <c r="AB18" s="1468"/>
      <c r="AC18" s="1468"/>
      <c r="AD18" s="1468"/>
      <c r="AE18" s="1468"/>
      <c r="AF18" s="1468"/>
      <c r="AG18" s="1468"/>
      <c r="AH18" s="1468"/>
      <c r="AI18" s="1468"/>
      <c r="AJ18" s="1468"/>
      <c r="BD18" s="1177" t="s">
        <v>2443</v>
      </c>
      <c r="BE18" s="1178">
        <f>AA943</f>
        <v>0</v>
      </c>
    </row>
    <row r="19" spans="1:58" ht="12.95" customHeight="1">
      <c r="BD19" s="1176" t="s">
        <v>2444</v>
      </c>
      <c r="BE19" s="1178">
        <f>Application!M26</f>
        <v>2592503</v>
      </c>
    </row>
    <row r="20" spans="1:58" ht="12.95" customHeight="1">
      <c r="A20" s="1462" t="s">
        <v>873</v>
      </c>
      <c r="B20" s="1462"/>
      <c r="C20" s="1462"/>
      <c r="D20" s="1462"/>
      <c r="E20" s="1462"/>
      <c r="F20" s="1462"/>
      <c r="G20" s="1462"/>
      <c r="H20" s="1462"/>
      <c r="I20" s="1462"/>
      <c r="J20" s="1462"/>
      <c r="K20" s="1462"/>
      <c r="L20" s="1462"/>
      <c r="M20" s="1462"/>
      <c r="N20" s="1462"/>
      <c r="O20" s="1462"/>
      <c r="P20" s="1462"/>
      <c r="Q20" s="1462"/>
      <c r="R20" s="1462"/>
      <c r="S20" s="1462"/>
      <c r="T20" s="1462"/>
      <c r="U20" s="1462"/>
      <c r="V20" s="1462"/>
      <c r="W20" s="1462"/>
      <c r="X20" s="1462"/>
      <c r="Y20" s="1462"/>
      <c r="Z20" s="1462"/>
      <c r="AA20" s="1462"/>
      <c r="AB20" s="1462"/>
      <c r="AC20" s="1462"/>
      <c r="AD20" s="1462"/>
      <c r="AE20" s="1462"/>
      <c r="AF20" s="1462"/>
      <c r="AG20" s="1462"/>
      <c r="AH20" s="1462"/>
      <c r="AI20" s="1462"/>
      <c r="AJ20" s="1462"/>
      <c r="AK20" s="1462"/>
      <c r="AL20" s="1462"/>
      <c r="AM20" s="1462"/>
      <c r="AN20" s="1462"/>
      <c r="AO20" s="1462"/>
      <c r="AP20" s="1462"/>
      <c r="AQ20" s="1462"/>
      <c r="AR20" s="1462"/>
      <c r="AS20" s="1462"/>
      <c r="AT20" s="1462"/>
      <c r="AU20" s="891"/>
      <c r="AV20" s="891"/>
      <c r="AW20" s="891"/>
      <c r="AX20" s="891"/>
      <c r="AY20" s="891"/>
      <c r="BD20" s="1177" t="s">
        <v>2445</v>
      </c>
      <c r="BE20" s="1178">
        <f>Application!M27</f>
        <v>0</v>
      </c>
    </row>
    <row r="21" spans="1:58" ht="12.95" customHeight="1">
      <c r="A21" s="1372" t="s">
        <v>1009</v>
      </c>
      <c r="B21" s="1372"/>
      <c r="C21" s="1372"/>
      <c r="D21" s="1372"/>
      <c r="E21" s="1372"/>
      <c r="F21" s="1372"/>
      <c r="G21" s="1372"/>
      <c r="H21" s="1372"/>
      <c r="I21" s="1372"/>
      <c r="J21" s="1372"/>
      <c r="K21" s="1372"/>
      <c r="L21" s="1372"/>
      <c r="M21" s="1372"/>
      <c r="N21" s="1372"/>
      <c r="O21" s="1372"/>
      <c r="P21" s="1372"/>
      <c r="Q21" s="1372"/>
      <c r="R21" s="1372"/>
      <c r="S21" s="1372"/>
      <c r="T21" s="1372"/>
      <c r="U21" s="1372"/>
      <c r="V21" s="1372"/>
      <c r="W21" s="1372"/>
      <c r="X21" s="1372"/>
      <c r="Y21" s="1372"/>
      <c r="Z21" s="1372"/>
      <c r="AA21" s="1372"/>
      <c r="AB21" s="1372"/>
      <c r="AC21" s="1372"/>
      <c r="AD21" s="1372"/>
      <c r="AE21" s="1372"/>
      <c r="AF21" s="1372"/>
      <c r="AG21" s="1372"/>
      <c r="AH21" s="1372"/>
      <c r="AI21" s="1372"/>
      <c r="AJ21" s="1372"/>
      <c r="AK21" s="1372"/>
      <c r="AL21" s="1372"/>
      <c r="AM21" s="892"/>
      <c r="AN21" s="892"/>
      <c r="AO21" s="892"/>
      <c r="AP21" s="892"/>
      <c r="AQ21" s="892"/>
      <c r="AR21" s="892"/>
      <c r="AS21" s="892"/>
      <c r="AT21" s="892"/>
      <c r="AU21" s="892"/>
      <c r="AV21" s="892"/>
      <c r="AW21" s="892"/>
      <c r="AX21" s="892"/>
      <c r="AY21" s="892"/>
      <c r="BD21" s="1176" t="s">
        <v>2446</v>
      </c>
      <c r="BE21" s="1178">
        <f>Application!AM562</f>
        <v>14900000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55906573</v>
      </c>
      <c r="BF22" s="3" t="s">
        <v>2517</v>
      </c>
    </row>
    <row r="23" spans="1:58" ht="12.95" customHeight="1">
      <c r="A23" s="1315" t="s">
        <v>2095</v>
      </c>
      <c r="B23" s="1315"/>
      <c r="C23" s="1315"/>
      <c r="D23" s="1315"/>
      <c r="E23" s="1315"/>
      <c r="F23" s="1315"/>
      <c r="G23" s="1315"/>
      <c r="H23" s="1315"/>
      <c r="I23" s="1315"/>
      <c r="J23" s="1315"/>
      <c r="K23" s="1315"/>
      <c r="L23" s="1315"/>
      <c r="M23" s="1315"/>
      <c r="N23" s="1315"/>
      <c r="O23" s="1315"/>
      <c r="P23" s="1315"/>
      <c r="Q23" s="1315"/>
      <c r="R23" s="1315"/>
      <c r="S23" s="1315"/>
      <c r="T23" s="1315"/>
      <c r="U23" s="1315"/>
      <c r="V23" s="1315"/>
      <c r="W23" s="1315"/>
      <c r="X23" s="1315"/>
      <c r="Y23" s="1315"/>
      <c r="Z23" s="1315"/>
      <c r="AA23" s="1315"/>
      <c r="AB23" s="1315"/>
      <c r="AC23" s="1315"/>
      <c r="AD23" s="1315"/>
      <c r="AE23" s="1315"/>
      <c r="AF23" s="1315"/>
      <c r="AG23" s="1315"/>
      <c r="AH23" s="1315"/>
      <c r="AI23" s="1315"/>
      <c r="AJ23" s="1315"/>
      <c r="AK23" s="1315"/>
      <c r="AL23" s="1315"/>
      <c r="AM23" s="1315"/>
      <c r="AN23" s="1315"/>
      <c r="AO23" s="1315"/>
      <c r="AP23" s="1315"/>
      <c r="AQ23" s="1315"/>
      <c r="AR23" s="1315"/>
      <c r="AS23" s="1315"/>
      <c r="AT23" s="1315"/>
      <c r="AU23" s="18"/>
      <c r="AV23" s="18"/>
      <c r="AW23" s="18"/>
      <c r="AX23" s="18"/>
      <c r="AY23" s="18"/>
      <c r="AZ23" s="18"/>
      <c r="BD23" s="1176" t="s">
        <v>2447</v>
      </c>
      <c r="BE23" s="1178">
        <f>'Sources and Uses Budget'!B4</f>
        <v>4500000</v>
      </c>
    </row>
    <row r="24" spans="1:58" ht="12.95" customHeight="1">
      <c r="A24" s="1315"/>
      <c r="B24" s="1315"/>
      <c r="C24" s="1315"/>
      <c r="D24" s="1315"/>
      <c r="E24" s="1315"/>
      <c r="F24" s="1315"/>
      <c r="G24" s="1315"/>
      <c r="H24" s="1315"/>
      <c r="I24" s="1315"/>
      <c r="J24" s="1315"/>
      <c r="K24" s="1315"/>
      <c r="L24" s="1315"/>
      <c r="M24" s="1315"/>
      <c r="N24" s="1315"/>
      <c r="O24" s="1315"/>
      <c r="P24" s="1315"/>
      <c r="Q24" s="1315"/>
      <c r="R24" s="1315"/>
      <c r="S24" s="1315"/>
      <c r="T24" s="1315"/>
      <c r="U24" s="1315"/>
      <c r="V24" s="1315"/>
      <c r="W24" s="1315"/>
      <c r="X24" s="1315"/>
      <c r="Y24" s="1315"/>
      <c r="Z24" s="1315"/>
      <c r="AA24" s="1315"/>
      <c r="AB24" s="1315"/>
      <c r="AC24" s="1315"/>
      <c r="AD24" s="1315"/>
      <c r="AE24" s="1315"/>
      <c r="AF24" s="1315"/>
      <c r="AG24" s="1315"/>
      <c r="AH24" s="1315"/>
      <c r="AI24" s="1315"/>
      <c r="AJ24" s="1315"/>
      <c r="AK24" s="1315"/>
      <c r="AL24" s="1315"/>
      <c r="AM24" s="1315"/>
      <c r="AN24" s="1315"/>
      <c r="AO24" s="1315"/>
      <c r="AP24" s="1315"/>
      <c r="AQ24" s="1315"/>
      <c r="AR24" s="1315"/>
      <c r="AS24" s="1315"/>
      <c r="AT24" s="1315"/>
      <c r="AU24" s="18"/>
      <c r="AV24" s="18"/>
      <c r="AW24" s="18"/>
      <c r="AX24" s="18"/>
      <c r="AY24" s="18"/>
      <c r="AZ24" s="18"/>
      <c r="BD24" s="1177" t="s">
        <v>2448</v>
      </c>
      <c r="BE24" s="1178">
        <f>Application!AG459</f>
        <v>126864</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5" customHeight="1">
      <c r="A26" s="4"/>
      <c r="C26" s="4"/>
      <c r="D26" s="4"/>
      <c r="E26" s="4"/>
      <c r="F26" s="4"/>
      <c r="G26" s="4"/>
      <c r="H26" s="4"/>
      <c r="I26" s="4"/>
      <c r="J26" s="4"/>
      <c r="K26" s="4"/>
      <c r="L26" s="4"/>
      <c r="M26" s="1469">
        <f>'Basis &amp; Credits'!AB56</f>
        <v>2592503</v>
      </c>
      <c r="N26" s="1469"/>
      <c r="O26" s="1469"/>
      <c r="P26" s="1469"/>
      <c r="Q26" s="1469"/>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373">
        <f>'Basis &amp; Credits'!AB78</f>
        <v>0</v>
      </c>
      <c r="N27" s="1373"/>
      <c r="O27" s="1373"/>
      <c r="P27" s="1373"/>
      <c r="Q27" s="1373"/>
      <c r="R27" s="3" t="s">
        <v>1266</v>
      </c>
      <c r="S27" s="4"/>
      <c r="T27" s="4"/>
      <c r="U27" s="4"/>
      <c r="V27" s="4"/>
      <c r="W27" s="4"/>
      <c r="X27" s="4"/>
      <c r="Y27" s="4"/>
      <c r="Z27" s="4"/>
      <c r="AF27" s="4"/>
      <c r="AG27" s="4"/>
      <c r="AH27" s="4"/>
      <c r="AI27" s="4"/>
      <c r="AJ27" s="4"/>
      <c r="AK27" s="4"/>
      <c r="BD27" s="1176" t="s">
        <v>2048</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463" t="s">
        <v>2096</v>
      </c>
      <c r="B29" s="1463"/>
      <c r="C29" s="1463"/>
      <c r="D29" s="1463"/>
      <c r="E29" s="1463"/>
      <c r="F29" s="1463"/>
      <c r="G29" s="1463"/>
      <c r="H29" s="1463"/>
      <c r="I29" s="1463"/>
      <c r="J29" s="1463"/>
      <c r="K29" s="1463"/>
      <c r="L29" s="1463"/>
      <c r="M29" s="1463"/>
      <c r="N29" s="1463"/>
      <c r="O29" s="1463"/>
      <c r="P29" s="1463"/>
      <c r="Q29" s="1463"/>
      <c r="R29" s="1463"/>
      <c r="S29" s="1463"/>
      <c r="T29" s="1463"/>
      <c r="U29" s="1463"/>
      <c r="V29" s="1463"/>
      <c r="W29" s="1463"/>
      <c r="X29" s="1463"/>
      <c r="Y29" s="1463"/>
      <c r="Z29" s="1463"/>
      <c r="AA29" s="1463"/>
      <c r="AB29" s="1463"/>
      <c r="AC29" s="1463"/>
      <c r="AD29" s="1463"/>
      <c r="AE29" s="1463"/>
      <c r="AF29" s="1463"/>
      <c r="AG29" s="1463"/>
      <c r="AH29" s="1463"/>
      <c r="AI29" s="1463"/>
      <c r="AJ29" s="1463"/>
      <c r="AK29" s="1463"/>
      <c r="AL29" s="1463"/>
      <c r="AM29" s="1463"/>
      <c r="AN29" s="1463"/>
      <c r="AO29" s="1463"/>
      <c r="AP29" s="1463"/>
      <c r="AQ29" s="1463"/>
      <c r="AR29" s="1463"/>
      <c r="AS29" s="1463"/>
      <c r="AT29" s="1463"/>
      <c r="BD29" s="1176" t="s">
        <v>2451</v>
      </c>
      <c r="BE29" s="1178" t="b">
        <f>Application!M367="Yes"</f>
        <v>0</v>
      </c>
    </row>
    <row r="30" spans="1:58" ht="12.95" customHeight="1">
      <c r="A30" s="1463"/>
      <c r="B30" s="1463"/>
      <c r="C30" s="1463"/>
      <c r="D30" s="1463"/>
      <c r="E30" s="1463"/>
      <c r="F30" s="1463"/>
      <c r="G30" s="1463"/>
      <c r="H30" s="1463"/>
      <c r="I30" s="1463"/>
      <c r="J30" s="1463"/>
      <c r="K30" s="1463"/>
      <c r="L30" s="1463"/>
      <c r="M30" s="1463"/>
      <c r="N30" s="1463"/>
      <c r="O30" s="1463"/>
      <c r="P30" s="1463"/>
      <c r="Q30" s="1463"/>
      <c r="R30" s="1463"/>
      <c r="S30" s="1463"/>
      <c r="T30" s="1463"/>
      <c r="U30" s="1463"/>
      <c r="V30" s="1463"/>
      <c r="W30" s="1463"/>
      <c r="X30" s="1463"/>
      <c r="Y30" s="1463"/>
      <c r="Z30" s="1463"/>
      <c r="AA30" s="1463"/>
      <c r="AB30" s="1463"/>
      <c r="AC30" s="1463"/>
      <c r="AD30" s="1463"/>
      <c r="AE30" s="1463"/>
      <c r="AF30" s="1463"/>
      <c r="AG30" s="1463"/>
      <c r="AH30" s="1463"/>
      <c r="AI30" s="1463"/>
      <c r="AJ30" s="1463"/>
      <c r="AK30" s="1463"/>
      <c r="AL30" s="1463"/>
      <c r="AM30" s="1463"/>
      <c r="AN30" s="1463"/>
      <c r="AO30" s="1463"/>
      <c r="AP30" s="1463"/>
      <c r="AQ30" s="1463"/>
      <c r="AR30" s="1463"/>
      <c r="AS30" s="1463"/>
      <c r="AT30" s="1463"/>
      <c r="AZ30" s="20"/>
      <c r="BD30" s="1177" t="s">
        <v>28</v>
      </c>
      <c r="BE30" s="1178" t="b">
        <f>Application!AJ364="Yes"</f>
        <v>0</v>
      </c>
    </row>
    <row r="31" spans="1:58" ht="12.95" customHeight="1">
      <c r="A31" s="1463"/>
      <c r="B31" s="1463"/>
      <c r="C31" s="1463"/>
      <c r="D31" s="1463"/>
      <c r="E31" s="1463"/>
      <c r="F31" s="1463"/>
      <c r="G31" s="1463"/>
      <c r="H31" s="1463"/>
      <c r="I31" s="1463"/>
      <c r="J31" s="1463"/>
      <c r="K31" s="1463"/>
      <c r="L31" s="1463"/>
      <c r="M31" s="1463"/>
      <c r="N31" s="1463"/>
      <c r="O31" s="1463"/>
      <c r="P31" s="1463"/>
      <c r="Q31" s="1463"/>
      <c r="R31" s="1463"/>
      <c r="S31" s="1463"/>
      <c r="T31" s="1463"/>
      <c r="U31" s="1463"/>
      <c r="V31" s="1463"/>
      <c r="W31" s="1463"/>
      <c r="X31" s="1463"/>
      <c r="Y31" s="1463"/>
      <c r="Z31" s="1463"/>
      <c r="AA31" s="1463"/>
      <c r="AB31" s="1463"/>
      <c r="AC31" s="1463"/>
      <c r="AD31" s="1463"/>
      <c r="AE31" s="1463"/>
      <c r="AF31" s="1463"/>
      <c r="AG31" s="1463"/>
      <c r="AH31" s="1463"/>
      <c r="AI31" s="1463"/>
      <c r="AJ31" s="1463"/>
      <c r="AK31" s="1463"/>
      <c r="AL31" s="1463"/>
      <c r="AM31" s="1463"/>
      <c r="AN31" s="1463"/>
      <c r="AO31" s="1463"/>
      <c r="AP31" s="1463"/>
      <c r="AQ31" s="1463"/>
      <c r="AR31" s="1463"/>
      <c r="AS31" s="1463"/>
      <c r="AT31" s="1463"/>
      <c r="AU31" s="20"/>
      <c r="AV31" s="20"/>
      <c r="AW31" s="20"/>
      <c r="AX31" s="20"/>
      <c r="AY31" s="20"/>
      <c r="AZ31" s="20"/>
      <c r="BD31" s="1176" t="s">
        <v>2452</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285" t="s">
        <v>669</v>
      </c>
      <c r="P33" s="1285"/>
      <c r="Q33" s="1464" t="s">
        <v>2097</v>
      </c>
      <c r="R33" s="1464"/>
      <c r="S33" s="1464"/>
      <c r="T33" s="1464"/>
      <c r="U33" s="1464"/>
      <c r="V33" s="1464"/>
      <c r="W33" s="1464"/>
      <c r="X33" s="1464"/>
      <c r="Y33" s="1464"/>
      <c r="Z33" s="1464"/>
      <c r="AA33" s="1464"/>
      <c r="AB33" s="1464"/>
      <c r="AC33" s="1464"/>
      <c r="AD33" s="1464"/>
      <c r="AE33" s="1464"/>
      <c r="AF33" s="1464"/>
      <c r="AG33" s="1464"/>
      <c r="AH33" s="1464"/>
      <c r="AI33" s="1464"/>
      <c r="AJ33" s="1464"/>
      <c r="AK33" s="1464"/>
      <c r="AL33" s="1464"/>
      <c r="AM33" s="1464"/>
      <c r="AN33" s="1464"/>
      <c r="AO33" s="1464"/>
      <c r="AP33" s="1464"/>
      <c r="AQ33" s="1464"/>
      <c r="AR33" s="1464"/>
      <c r="AS33" s="1464"/>
      <c r="AT33" s="1464"/>
      <c r="AU33" s="20"/>
      <c r="AV33" s="20"/>
      <c r="AW33" s="20"/>
      <c r="AX33" s="20"/>
      <c r="AY33" s="20"/>
      <c r="BD33" s="1176" t="s">
        <v>2518</v>
      </c>
      <c r="BE33" s="1178" t="str">
        <f>Application!D220</f>
        <v>San Diego County</v>
      </c>
    </row>
    <row r="34" spans="1:57" ht="12.95" hidden="1" customHeight="1">
      <c r="A34" s="1463" t="s">
        <v>2098</v>
      </c>
      <c r="B34" s="1463"/>
      <c r="C34" s="1463"/>
      <c r="D34" s="1463"/>
      <c r="E34" s="1463"/>
      <c r="F34" s="1463"/>
      <c r="G34" s="1463"/>
      <c r="H34" s="1463"/>
      <c r="I34" s="1463"/>
      <c r="J34" s="1463"/>
      <c r="K34" s="1463"/>
      <c r="L34" s="1463"/>
      <c r="M34" s="1463"/>
      <c r="N34" s="1463"/>
      <c r="O34" s="1463"/>
      <c r="P34" s="1463"/>
      <c r="Q34" s="1463"/>
      <c r="R34" s="1463"/>
      <c r="S34" s="1463"/>
      <c r="T34" s="1463"/>
      <c r="U34" s="1463"/>
      <c r="V34" s="1463"/>
      <c r="W34" s="1463"/>
      <c r="X34" s="1463"/>
      <c r="Y34" s="1463"/>
      <c r="Z34" s="1463"/>
      <c r="AA34" s="1463"/>
      <c r="AB34" s="1463"/>
      <c r="AC34" s="1463"/>
      <c r="AD34" s="1463"/>
      <c r="AE34" s="1463"/>
      <c r="AF34" s="1463"/>
      <c r="AG34" s="1463"/>
      <c r="AH34" s="1463"/>
      <c r="AI34" s="1463"/>
      <c r="AJ34" s="1463"/>
      <c r="AK34" s="1463"/>
      <c r="AL34" s="1463"/>
      <c r="AM34" s="1463"/>
      <c r="AN34" s="1463"/>
      <c r="AO34" s="1463"/>
      <c r="AP34" s="1463"/>
      <c r="AQ34" s="1463"/>
      <c r="AR34" s="1463"/>
      <c r="AS34" s="1463"/>
      <c r="AT34" s="1463"/>
      <c r="AU34" s="20"/>
      <c r="AV34" s="20"/>
      <c r="AW34" s="20"/>
      <c r="AX34" s="20"/>
      <c r="AY34" s="20"/>
      <c r="AZ34" s="20"/>
      <c r="BD34" s="1177" t="s">
        <v>2454</v>
      </c>
      <c r="BE34" s="1178" t="str">
        <f>Application!I185</f>
        <v xml:space="preserve">2400 Euclid Avenue </v>
      </c>
    </row>
    <row r="35" spans="1:57" ht="12.95" hidden="1" customHeight="1">
      <c r="A35" s="1463"/>
      <c r="B35" s="1463"/>
      <c r="C35" s="1463"/>
      <c r="D35" s="1463"/>
      <c r="E35" s="1463"/>
      <c r="F35" s="1463"/>
      <c r="G35" s="1463"/>
      <c r="H35" s="1463"/>
      <c r="I35" s="1463"/>
      <c r="J35" s="1463"/>
      <c r="K35" s="1463"/>
      <c r="L35" s="1463"/>
      <c r="M35" s="1463"/>
      <c r="N35" s="1463"/>
      <c r="O35" s="1463"/>
      <c r="P35" s="1463"/>
      <c r="Q35" s="1463"/>
      <c r="R35" s="1463"/>
      <c r="S35" s="1463"/>
      <c r="T35" s="1463"/>
      <c r="U35" s="1463"/>
      <c r="V35" s="1463"/>
      <c r="W35" s="1463"/>
      <c r="X35" s="1463"/>
      <c r="Y35" s="1463"/>
      <c r="Z35" s="1463"/>
      <c r="AA35" s="1463"/>
      <c r="AB35" s="1463"/>
      <c r="AC35" s="1463"/>
      <c r="AD35" s="1463"/>
      <c r="AE35" s="1463"/>
      <c r="AF35" s="1463"/>
      <c r="AG35" s="1463"/>
      <c r="AH35" s="1463"/>
      <c r="AI35" s="1463"/>
      <c r="AJ35" s="1463"/>
      <c r="AK35" s="1463"/>
      <c r="AL35" s="1463"/>
      <c r="AM35" s="1463"/>
      <c r="AN35" s="1463"/>
      <c r="AO35" s="1463"/>
      <c r="AP35" s="1463"/>
      <c r="AQ35" s="1463"/>
      <c r="AR35" s="1463"/>
      <c r="AS35" s="1463"/>
      <c r="AT35" s="1463"/>
      <c r="AU35" s="20"/>
      <c r="AV35" s="20"/>
      <c r="AW35" s="20"/>
      <c r="AX35" s="20"/>
      <c r="AY35" s="20"/>
      <c r="AZ35" s="20"/>
      <c r="BD35" s="1176" t="s">
        <v>2455</v>
      </c>
      <c r="BE35" s="1178" t="str">
        <f>IF(Application!E187="","",Application!E187)</f>
        <v/>
      </c>
    </row>
    <row r="36" spans="1:57" ht="12.95" hidden="1" customHeight="1">
      <c r="A36" s="1463"/>
      <c r="B36" s="1463"/>
      <c r="C36" s="1463"/>
      <c r="D36" s="1463"/>
      <c r="E36" s="1463"/>
      <c r="F36" s="1463"/>
      <c r="G36" s="1463"/>
      <c r="H36" s="1463"/>
      <c r="I36" s="1463"/>
      <c r="J36" s="1463"/>
      <c r="K36" s="1463"/>
      <c r="L36" s="1463"/>
      <c r="M36" s="1463"/>
      <c r="N36" s="1463"/>
      <c r="O36" s="1463"/>
      <c r="P36" s="1463"/>
      <c r="Q36" s="1463"/>
      <c r="R36" s="1463"/>
      <c r="S36" s="1463"/>
      <c r="T36" s="1463"/>
      <c r="U36" s="1463"/>
      <c r="V36" s="1463"/>
      <c r="W36" s="1463"/>
      <c r="X36" s="1463"/>
      <c r="Y36" s="1463"/>
      <c r="Z36" s="1463"/>
      <c r="AA36" s="1463"/>
      <c r="AB36" s="1463"/>
      <c r="AC36" s="1463"/>
      <c r="AD36" s="1463"/>
      <c r="AE36" s="1463"/>
      <c r="AF36" s="1463"/>
      <c r="AG36" s="1463"/>
      <c r="AH36" s="1463"/>
      <c r="AI36" s="1463"/>
      <c r="AJ36" s="1463"/>
      <c r="AK36" s="1463"/>
      <c r="AL36" s="1463"/>
      <c r="AM36" s="1463"/>
      <c r="AN36" s="1463"/>
      <c r="AO36" s="1463"/>
      <c r="AP36" s="1463"/>
      <c r="AQ36" s="1463"/>
      <c r="AR36" s="1463"/>
      <c r="AS36" s="1463"/>
      <c r="AT36" s="1463"/>
      <c r="AU36" s="20"/>
      <c r="AV36" s="20"/>
      <c r="AW36" s="20"/>
      <c r="AX36" s="20"/>
      <c r="AY36" s="20"/>
      <c r="AZ36" s="20"/>
      <c r="BD36" s="1177" t="s">
        <v>2456</v>
      </c>
      <c r="BE36" s="1178" t="str">
        <f>Application!I189</f>
        <v xml:space="preserve">National City </v>
      </c>
    </row>
    <row r="37" spans="1:57" ht="12.95" hidden="1" customHeight="1">
      <c r="A37" s="1463"/>
      <c r="B37" s="1463"/>
      <c r="C37" s="1463"/>
      <c r="D37" s="1463"/>
      <c r="E37" s="1463"/>
      <c r="F37" s="1463"/>
      <c r="G37" s="1463"/>
      <c r="H37" s="1463"/>
      <c r="I37" s="1463"/>
      <c r="J37" s="1463"/>
      <c r="K37" s="1463"/>
      <c r="L37" s="1463"/>
      <c r="M37" s="1463"/>
      <c r="N37" s="1463"/>
      <c r="O37" s="1463"/>
      <c r="P37" s="1463"/>
      <c r="Q37" s="1463"/>
      <c r="R37" s="1463"/>
      <c r="S37" s="1463"/>
      <c r="T37" s="1463"/>
      <c r="U37" s="1463"/>
      <c r="V37" s="1463"/>
      <c r="W37" s="1463"/>
      <c r="X37" s="1463"/>
      <c r="Y37" s="1463"/>
      <c r="Z37" s="1463"/>
      <c r="AA37" s="1463"/>
      <c r="AB37" s="1463"/>
      <c r="AC37" s="1463"/>
      <c r="AD37" s="1463"/>
      <c r="AE37" s="1463"/>
      <c r="AF37" s="1463"/>
      <c r="AG37" s="1463"/>
      <c r="AH37" s="1463"/>
      <c r="AI37" s="1463"/>
      <c r="AJ37" s="1463"/>
      <c r="AK37" s="1463"/>
      <c r="AL37" s="1463"/>
      <c r="AM37" s="1463"/>
      <c r="AN37" s="1463"/>
      <c r="AO37" s="1463"/>
      <c r="AP37" s="1463"/>
      <c r="AQ37" s="1463"/>
      <c r="AR37" s="1463"/>
      <c r="AS37" s="1463"/>
      <c r="AT37" s="1463"/>
      <c r="AZ37" s="20"/>
      <c r="BD37" s="1176" t="s">
        <v>2457</v>
      </c>
      <c r="BE37" s="1178" t="str">
        <f>Application!T189</f>
        <v>San Diego</v>
      </c>
    </row>
    <row r="38" spans="1:57" ht="12.95" hidden="1" customHeight="1">
      <c r="A38" s="3"/>
      <c r="AZ38" s="20"/>
      <c r="BD38" s="1177" t="s">
        <v>2458</v>
      </c>
      <c r="BE38" s="1178">
        <f>Application!I190</f>
        <v>91950</v>
      </c>
    </row>
    <row r="39" spans="1:57" ht="12.95" customHeight="1">
      <c r="A39" s="1465" t="s">
        <v>2099</v>
      </c>
      <c r="B39" s="1465"/>
      <c r="C39" s="1465"/>
      <c r="D39" s="1465"/>
      <c r="E39" s="1465"/>
      <c r="F39" s="1465"/>
      <c r="G39" s="1465"/>
      <c r="H39" s="1465"/>
      <c r="I39" s="1465"/>
      <c r="J39" s="1465"/>
      <c r="K39" s="1465"/>
      <c r="L39" s="1465"/>
      <c r="M39" s="1465"/>
      <c r="N39" s="1465"/>
      <c r="O39" s="1465"/>
      <c r="P39" s="1465"/>
      <c r="Q39" s="1465"/>
      <c r="R39" s="1465"/>
      <c r="S39" s="1465"/>
      <c r="T39" s="1465"/>
      <c r="U39" s="1465"/>
      <c r="V39" s="1465"/>
      <c r="W39" s="1465"/>
      <c r="X39" s="1465"/>
      <c r="Y39" s="1465"/>
      <c r="Z39" s="1465"/>
      <c r="AA39" s="1465"/>
      <c r="AB39" s="1465"/>
      <c r="AC39" s="1465"/>
      <c r="AD39" s="1465"/>
      <c r="AE39" s="1465"/>
      <c r="AF39" s="1465"/>
      <c r="AG39" s="1465"/>
      <c r="AH39" s="1465"/>
      <c r="AI39" s="1465"/>
      <c r="AJ39" s="1465"/>
      <c r="AK39" s="1465"/>
      <c r="AL39" s="1465"/>
      <c r="AM39" s="1465"/>
      <c r="AN39" s="1465"/>
      <c r="AO39" s="1465"/>
      <c r="AP39" s="1465"/>
      <c r="AQ39" s="1465"/>
      <c r="AR39" s="1465"/>
      <c r="AS39" s="1465"/>
      <c r="AT39" s="1465"/>
      <c r="AZ39" s="20"/>
      <c r="BD39" s="1176" t="s">
        <v>2459</v>
      </c>
      <c r="BE39" s="1178">
        <f>Application!AG446</f>
        <v>108</v>
      </c>
    </row>
    <row r="40" spans="1:57" ht="12.95" customHeight="1">
      <c r="A40" s="1465"/>
      <c r="B40" s="1465"/>
      <c r="C40" s="1465"/>
      <c r="D40" s="1465"/>
      <c r="E40" s="1465"/>
      <c r="F40" s="1465"/>
      <c r="G40" s="1465"/>
      <c r="H40" s="1465"/>
      <c r="I40" s="1465"/>
      <c r="J40" s="1465"/>
      <c r="K40" s="1465"/>
      <c r="L40" s="1465"/>
      <c r="M40" s="1465"/>
      <c r="N40" s="1465"/>
      <c r="O40" s="1465"/>
      <c r="P40" s="1465"/>
      <c r="Q40" s="1465"/>
      <c r="R40" s="1465"/>
      <c r="S40" s="1465"/>
      <c r="T40" s="1465"/>
      <c r="U40" s="1465"/>
      <c r="V40" s="1465"/>
      <c r="W40" s="1465"/>
      <c r="X40" s="1465"/>
      <c r="Y40" s="1465"/>
      <c r="Z40" s="1465"/>
      <c r="AA40" s="1465"/>
      <c r="AB40" s="1465"/>
      <c r="AC40" s="1465"/>
      <c r="AD40" s="1465"/>
      <c r="AE40" s="1465"/>
      <c r="AF40" s="1465"/>
      <c r="AG40" s="1465"/>
      <c r="AH40" s="1465"/>
      <c r="AI40" s="1465"/>
      <c r="AJ40" s="1465"/>
      <c r="AK40" s="1465"/>
      <c r="AL40" s="1465"/>
      <c r="AM40" s="1465"/>
      <c r="AN40" s="1465"/>
      <c r="AO40" s="1465"/>
      <c r="AP40" s="1465"/>
      <c r="AQ40" s="1465"/>
      <c r="AR40" s="1465"/>
      <c r="AS40" s="1465"/>
      <c r="AT40" s="1465"/>
      <c r="AU40" s="20"/>
      <c r="AV40" s="20"/>
      <c r="AW40" s="20"/>
      <c r="AX40" s="20"/>
      <c r="AY40" s="20"/>
      <c r="AZ40" s="20"/>
      <c r="BD40" s="1177" t="s">
        <v>384</v>
      </c>
      <c r="BE40" s="1178">
        <f>Application!AG449</f>
        <v>107</v>
      </c>
    </row>
    <row r="41" spans="1:57" ht="12.95" customHeight="1">
      <c r="A41" s="1465"/>
      <c r="B41" s="1465"/>
      <c r="C41" s="1465"/>
      <c r="D41" s="1465"/>
      <c r="E41" s="1465"/>
      <c r="F41" s="1465"/>
      <c r="G41" s="1465"/>
      <c r="H41" s="1465"/>
      <c r="I41" s="1465"/>
      <c r="J41" s="1465"/>
      <c r="K41" s="1465"/>
      <c r="L41" s="1465"/>
      <c r="M41" s="1465"/>
      <c r="N41" s="1465"/>
      <c r="O41" s="1465"/>
      <c r="P41" s="1465"/>
      <c r="Q41" s="1465"/>
      <c r="R41" s="1465"/>
      <c r="S41" s="1465"/>
      <c r="T41" s="1465"/>
      <c r="U41" s="1465"/>
      <c r="V41" s="1465"/>
      <c r="W41" s="1465"/>
      <c r="X41" s="1465"/>
      <c r="Y41" s="1465"/>
      <c r="Z41" s="1465"/>
      <c r="AA41" s="1465"/>
      <c r="AB41" s="1465"/>
      <c r="AC41" s="1465"/>
      <c r="AD41" s="1465"/>
      <c r="AE41" s="1465"/>
      <c r="AF41" s="1465"/>
      <c r="AG41" s="1465"/>
      <c r="AH41" s="1465"/>
      <c r="AI41" s="1465"/>
      <c r="AJ41" s="1465"/>
      <c r="AK41" s="1465"/>
      <c r="AL41" s="1465"/>
      <c r="AM41" s="1465"/>
      <c r="AN41" s="1465"/>
      <c r="AO41" s="1465"/>
      <c r="AP41" s="1465"/>
      <c r="AQ41" s="1465"/>
      <c r="AR41" s="1465"/>
      <c r="AS41" s="1465"/>
      <c r="AT41" s="1465"/>
      <c r="AU41" s="20"/>
      <c r="AV41" s="20"/>
      <c r="AW41" s="20"/>
      <c r="AX41" s="20"/>
      <c r="AY41" s="20"/>
      <c r="AZ41" s="20"/>
      <c r="BD41" s="1176" t="s">
        <v>287</v>
      </c>
      <c r="BE41" s="1178">
        <f>Application!AG447</f>
        <v>0</v>
      </c>
    </row>
    <row r="42" spans="1:57" ht="12.95" customHeight="1">
      <c r="A42" s="1465"/>
      <c r="B42" s="1465"/>
      <c r="C42" s="1465"/>
      <c r="D42" s="1465"/>
      <c r="E42" s="1465"/>
      <c r="F42" s="1465"/>
      <c r="G42" s="1465"/>
      <c r="H42" s="1465"/>
      <c r="I42" s="1465"/>
      <c r="J42" s="1465"/>
      <c r="K42" s="1465"/>
      <c r="L42" s="1465"/>
      <c r="M42" s="1465"/>
      <c r="N42" s="1465"/>
      <c r="O42" s="1465"/>
      <c r="P42" s="1465"/>
      <c r="Q42" s="1465"/>
      <c r="R42" s="1465"/>
      <c r="S42" s="1465"/>
      <c r="T42" s="1465"/>
      <c r="U42" s="1465"/>
      <c r="V42" s="1465"/>
      <c r="W42" s="1465"/>
      <c r="X42" s="1465"/>
      <c r="Y42" s="1465"/>
      <c r="Z42" s="1465"/>
      <c r="AA42" s="1465"/>
      <c r="AB42" s="1465"/>
      <c r="AC42" s="1465"/>
      <c r="AD42" s="1465"/>
      <c r="AE42" s="1465"/>
      <c r="AF42" s="1465"/>
      <c r="AG42" s="1465"/>
      <c r="AH42" s="1465"/>
      <c r="AI42" s="1465"/>
      <c r="AJ42" s="1465"/>
      <c r="AK42" s="1465"/>
      <c r="AL42" s="1465"/>
      <c r="AM42" s="1465"/>
      <c r="AN42" s="1465"/>
      <c r="AO42" s="1465"/>
      <c r="AP42" s="1465"/>
      <c r="AQ42" s="1465"/>
      <c r="AR42" s="1465"/>
      <c r="AS42" s="1465"/>
      <c r="AT42" s="1465"/>
      <c r="AZ42" s="20"/>
      <c r="BD42" s="1177" t="s">
        <v>2460</v>
      </c>
      <c r="BE42" s="1180">
        <f>Application!AC761</f>
        <v>0.59906542056074763</v>
      </c>
    </row>
    <row r="43" spans="1:57" ht="12.95" customHeight="1">
      <c r="A43" s="1465"/>
      <c r="B43" s="1465"/>
      <c r="C43" s="1465"/>
      <c r="D43" s="1465"/>
      <c r="E43" s="1465"/>
      <c r="F43" s="1465"/>
      <c r="G43" s="1465"/>
      <c r="H43" s="1465"/>
      <c r="I43" s="1465"/>
      <c r="J43" s="1465"/>
      <c r="K43" s="1465"/>
      <c r="L43" s="1465"/>
      <c r="M43" s="1465"/>
      <c r="N43" s="1465"/>
      <c r="O43" s="1465"/>
      <c r="P43" s="1465"/>
      <c r="Q43" s="1465"/>
      <c r="R43" s="1465"/>
      <c r="S43" s="1465"/>
      <c r="T43" s="1465"/>
      <c r="U43" s="1465"/>
      <c r="V43" s="1465"/>
      <c r="W43" s="1465"/>
      <c r="X43" s="1465"/>
      <c r="Y43" s="1465"/>
      <c r="Z43" s="1465"/>
      <c r="AA43" s="1465"/>
      <c r="AB43" s="1465"/>
      <c r="AC43" s="1465"/>
      <c r="AD43" s="1465"/>
      <c r="AE43" s="1465"/>
      <c r="AF43" s="1465"/>
      <c r="AG43" s="1465"/>
      <c r="AH43" s="1465"/>
      <c r="AI43" s="1465"/>
      <c r="AJ43" s="1465"/>
      <c r="AK43" s="1465"/>
      <c r="AL43" s="1465"/>
      <c r="AM43" s="1465"/>
      <c r="AN43" s="1465"/>
      <c r="AO43" s="1465"/>
      <c r="AP43" s="1465"/>
      <c r="AQ43" s="1465"/>
      <c r="AR43" s="1465"/>
      <c r="AS43" s="1465"/>
      <c r="AT43" s="1465"/>
      <c r="AU43" s="20"/>
      <c r="AV43" s="20"/>
      <c r="AW43" s="20"/>
      <c r="AX43" s="20"/>
      <c r="AY43" s="20"/>
      <c r="AZ43" s="20"/>
      <c r="BD43" s="1176" t="s">
        <v>2461</v>
      </c>
      <c r="BE43" s="1180">
        <f>Application!AH761</f>
        <v>0.59910212527204776</v>
      </c>
    </row>
    <row r="44" spans="1:57" ht="12.95" customHeight="1">
      <c r="A44" s="1465"/>
      <c r="B44" s="1465"/>
      <c r="C44" s="1465"/>
      <c r="D44" s="1465"/>
      <c r="E44" s="1465"/>
      <c r="F44" s="1465"/>
      <c r="G44" s="1465"/>
      <c r="H44" s="1465"/>
      <c r="I44" s="1465"/>
      <c r="J44" s="1465"/>
      <c r="K44" s="1465"/>
      <c r="L44" s="1465"/>
      <c r="M44" s="1465"/>
      <c r="N44" s="1465"/>
      <c r="O44" s="1465"/>
      <c r="P44" s="1465"/>
      <c r="Q44" s="1465"/>
      <c r="R44" s="1465"/>
      <c r="S44" s="1465"/>
      <c r="T44" s="1465"/>
      <c r="U44" s="1465"/>
      <c r="V44" s="1465"/>
      <c r="W44" s="1465"/>
      <c r="X44" s="1465"/>
      <c r="Y44" s="1465"/>
      <c r="Z44" s="1465"/>
      <c r="AA44" s="1465"/>
      <c r="AB44" s="1465"/>
      <c r="AC44" s="1465"/>
      <c r="AD44" s="1465"/>
      <c r="AE44" s="1465"/>
      <c r="AF44" s="1465"/>
      <c r="AG44" s="1465"/>
      <c r="AH44" s="1465"/>
      <c r="AI44" s="1465"/>
      <c r="AJ44" s="1465"/>
      <c r="AK44" s="1465"/>
      <c r="AL44" s="1465"/>
      <c r="AM44" s="1465"/>
      <c r="AN44" s="1465"/>
      <c r="AO44" s="1465"/>
      <c r="AP44" s="1465"/>
      <c r="AQ44" s="1465"/>
      <c r="AR44" s="1465"/>
      <c r="AS44" s="1465"/>
      <c r="AT44" s="1465"/>
      <c r="AU44" s="20"/>
      <c r="AV44" s="20"/>
      <c r="AW44" s="20"/>
      <c r="AX44" s="20"/>
      <c r="AY44" s="20"/>
      <c r="AZ44" s="20"/>
      <c r="BD44" s="1177" t="s">
        <v>2462</v>
      </c>
      <c r="BE44" s="1178">
        <f>Application!AC463</f>
        <v>517653.45370370371</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2</v>
      </c>
    </row>
    <row r="46" spans="1:57" ht="12.95" customHeight="1">
      <c r="A46" s="1315" t="s">
        <v>2100</v>
      </c>
      <c r="B46" s="1315"/>
      <c r="C46" s="1315"/>
      <c r="D46" s="1315"/>
      <c r="E46" s="1315"/>
      <c r="F46" s="1315"/>
      <c r="G46" s="1315"/>
      <c r="H46" s="1315"/>
      <c r="I46" s="1315"/>
      <c r="J46" s="1315"/>
      <c r="K46" s="1315"/>
      <c r="L46" s="1315"/>
      <c r="M46" s="1315"/>
      <c r="N46" s="1315"/>
      <c r="O46" s="1315"/>
      <c r="P46" s="1315"/>
      <c r="Q46" s="1315"/>
      <c r="R46" s="1315"/>
      <c r="S46" s="1315"/>
      <c r="T46" s="1315"/>
      <c r="U46" s="1315"/>
      <c r="V46" s="1315"/>
      <c r="W46" s="1315"/>
      <c r="X46" s="1315"/>
      <c r="Y46" s="1315"/>
      <c r="Z46" s="1315"/>
      <c r="AA46" s="1315"/>
      <c r="AB46" s="1315"/>
      <c r="AC46" s="1315"/>
      <c r="AD46" s="1315"/>
      <c r="AE46" s="1315"/>
      <c r="AF46" s="1315"/>
      <c r="AG46" s="1315"/>
      <c r="AH46" s="1315"/>
      <c r="AI46" s="1315"/>
      <c r="AJ46" s="1315"/>
      <c r="AK46" s="1315"/>
      <c r="AL46" s="1315"/>
      <c r="AM46" s="1315"/>
      <c r="AN46" s="1315"/>
      <c r="AO46" s="1315"/>
      <c r="AP46" s="1315"/>
      <c r="AQ46" s="1315"/>
      <c r="AR46" s="1315"/>
      <c r="AS46" s="1315"/>
      <c r="AT46" s="1315"/>
      <c r="AU46" s="20"/>
      <c r="AV46" s="20"/>
      <c r="AW46" s="20"/>
      <c r="AX46" s="20"/>
      <c r="AY46" s="20"/>
      <c r="AZ46" s="20"/>
      <c r="BD46" s="1177" t="s">
        <v>2464</v>
      </c>
      <c r="BE46" s="1178" t="b">
        <f>Application!T195="Yes"</f>
        <v>0</v>
      </c>
    </row>
    <row r="47" spans="1:57" ht="12.95" customHeight="1">
      <c r="A47" s="1315"/>
      <c r="B47" s="1315"/>
      <c r="C47" s="1315"/>
      <c r="D47" s="1315"/>
      <c r="E47" s="1315"/>
      <c r="F47" s="1315"/>
      <c r="G47" s="1315"/>
      <c r="H47" s="1315"/>
      <c r="I47" s="1315"/>
      <c r="J47" s="1315"/>
      <c r="K47" s="1315"/>
      <c r="L47" s="1315"/>
      <c r="M47" s="1315"/>
      <c r="N47" s="1315"/>
      <c r="O47" s="1315"/>
      <c r="P47" s="1315"/>
      <c r="Q47" s="1315"/>
      <c r="R47" s="1315"/>
      <c r="S47" s="1315"/>
      <c r="T47" s="1315"/>
      <c r="U47" s="1315"/>
      <c r="V47" s="1315"/>
      <c r="W47" s="1315"/>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15"/>
      <c r="AS47" s="1315"/>
      <c r="AT47" s="1315"/>
      <c r="AU47" s="20"/>
      <c r="AV47" s="20"/>
      <c r="AW47" s="20"/>
      <c r="AX47" s="20"/>
      <c r="AY47" s="20"/>
      <c r="AZ47" s="20"/>
      <c r="BD47" s="1176" t="s">
        <v>2465</v>
      </c>
      <c r="BE47" s="1178" t="b">
        <f>Application!T196="Yes"</f>
        <v>1</v>
      </c>
    </row>
    <row r="48" spans="1:57" ht="12.95" customHeight="1">
      <c r="A48" s="1315"/>
      <c r="B48" s="1315"/>
      <c r="C48" s="1315"/>
      <c r="D48" s="1315"/>
      <c r="E48" s="1315"/>
      <c r="F48" s="1315"/>
      <c r="G48" s="1315"/>
      <c r="H48" s="1315"/>
      <c r="I48" s="1315"/>
      <c r="J48" s="1315"/>
      <c r="K48" s="1315"/>
      <c r="L48" s="1315"/>
      <c r="M48" s="1315"/>
      <c r="N48" s="1315"/>
      <c r="O48" s="1315"/>
      <c r="P48" s="1315"/>
      <c r="Q48" s="1315"/>
      <c r="R48" s="1315"/>
      <c r="S48" s="1315"/>
      <c r="T48" s="1315"/>
      <c r="U48" s="1315"/>
      <c r="V48" s="1315"/>
      <c r="W48" s="1315"/>
      <c r="X48" s="1315"/>
      <c r="Y48" s="1315"/>
      <c r="Z48" s="1315"/>
      <c r="AA48" s="1315"/>
      <c r="AB48" s="1315"/>
      <c r="AC48" s="1315"/>
      <c r="AD48" s="1315"/>
      <c r="AE48" s="1315"/>
      <c r="AF48" s="1315"/>
      <c r="AG48" s="1315"/>
      <c r="AH48" s="1315"/>
      <c r="AI48" s="1315"/>
      <c r="AJ48" s="1315"/>
      <c r="AK48" s="1315"/>
      <c r="AL48" s="1315"/>
      <c r="AM48" s="1315"/>
      <c r="AN48" s="1315"/>
      <c r="AO48" s="1315"/>
      <c r="AP48" s="1315"/>
      <c r="AQ48" s="1315"/>
      <c r="AR48" s="1315"/>
      <c r="AS48" s="1315"/>
      <c r="AT48" s="1315"/>
      <c r="AU48" s="20"/>
      <c r="AV48" s="20"/>
      <c r="AW48" s="20"/>
      <c r="AX48" s="20"/>
      <c r="AY48" s="20"/>
      <c r="AZ48" s="20"/>
      <c r="BD48" s="1177" t="s">
        <v>2466</v>
      </c>
      <c r="BE48" s="1178" t="str">
        <f>Application!M252</f>
        <v xml:space="preserve">Central Valley Coalition for Affordable Housing </v>
      </c>
    </row>
    <row r="49" spans="1:57" ht="12.95" customHeight="1">
      <c r="A49" s="1315"/>
      <c r="B49" s="1315"/>
      <c r="C49" s="1315"/>
      <c r="D49" s="1315"/>
      <c r="E49" s="1315"/>
      <c r="F49" s="1315"/>
      <c r="G49" s="1315"/>
      <c r="H49" s="1315"/>
      <c r="I49" s="1315"/>
      <c r="J49" s="1315"/>
      <c r="K49" s="1315"/>
      <c r="L49" s="1315"/>
      <c r="M49" s="1315"/>
      <c r="N49" s="1315"/>
      <c r="O49" s="1315"/>
      <c r="P49" s="1315"/>
      <c r="Q49" s="1315"/>
      <c r="R49" s="1315"/>
      <c r="S49" s="1315"/>
      <c r="T49" s="1315"/>
      <c r="U49" s="1315"/>
      <c r="V49" s="1315"/>
      <c r="W49" s="1315"/>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15"/>
      <c r="AS49" s="1315"/>
      <c r="AT49" s="1315"/>
      <c r="AU49" s="20"/>
      <c r="AV49" s="20"/>
      <c r="AW49" s="20"/>
      <c r="AX49" s="20"/>
      <c r="AY49" s="20"/>
      <c r="AZ49" s="20"/>
      <c r="BD49" s="1176" t="s">
        <v>2467</v>
      </c>
      <c r="BE49" s="1178" t="str">
        <f>Application!M255</f>
        <v xml:space="preserve">Christina Alley </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f>Application!AA258</f>
        <v>0</v>
      </c>
    </row>
    <row r="51" spans="1:57" ht="12.95" customHeight="1">
      <c r="A51" s="1465" t="s">
        <v>2101</v>
      </c>
      <c r="B51" s="1465"/>
      <c r="C51" s="1465"/>
      <c r="D51" s="1465"/>
      <c r="E51" s="1465"/>
      <c r="F51" s="1465"/>
      <c r="G51" s="1465"/>
      <c r="H51" s="1465"/>
      <c r="I51" s="1465"/>
      <c r="J51" s="1465"/>
      <c r="K51" s="1465"/>
      <c r="L51" s="1465"/>
      <c r="M51" s="1465"/>
      <c r="N51" s="1465"/>
      <c r="O51" s="1465"/>
      <c r="P51" s="1465"/>
      <c r="Q51" s="1465"/>
      <c r="R51" s="1465"/>
      <c r="S51" s="1465"/>
      <c r="T51" s="1465"/>
      <c r="U51" s="1465"/>
      <c r="V51" s="1465"/>
      <c r="W51" s="1465"/>
      <c r="X51" s="1465"/>
      <c r="Y51" s="1465"/>
      <c r="Z51" s="1465"/>
      <c r="AA51" s="1465"/>
      <c r="AB51" s="1465"/>
      <c r="AC51" s="1465"/>
      <c r="AD51" s="1465"/>
      <c r="AE51" s="1465"/>
      <c r="AF51" s="1465"/>
      <c r="AG51" s="1465"/>
      <c r="AH51" s="1465"/>
      <c r="AI51" s="1465"/>
      <c r="AJ51" s="1465"/>
      <c r="AK51" s="1465"/>
      <c r="AL51" s="1465"/>
      <c r="AM51" s="1465"/>
      <c r="AN51" s="1465"/>
      <c r="AO51" s="1465"/>
      <c r="AP51" s="1465"/>
      <c r="AQ51" s="1465"/>
      <c r="AR51" s="1465"/>
      <c r="AS51" s="1465"/>
      <c r="AT51" s="1465"/>
      <c r="AU51" s="20"/>
      <c r="AV51" s="20"/>
      <c r="AW51" s="20"/>
      <c r="AX51" s="20"/>
      <c r="AY51" s="20"/>
      <c r="AZ51" s="20"/>
      <c r="BD51" s="1176" t="s">
        <v>2469</v>
      </c>
      <c r="BE51" s="1178" t="str">
        <f>Application!M260</f>
        <v xml:space="preserve">TPC Holdings IX, LLC </v>
      </c>
    </row>
    <row r="52" spans="1:57" ht="12.95" customHeight="1">
      <c r="A52" s="1465"/>
      <c r="B52" s="1465"/>
      <c r="C52" s="1465"/>
      <c r="D52" s="1465"/>
      <c r="E52" s="1465"/>
      <c r="F52" s="1465"/>
      <c r="G52" s="1465"/>
      <c r="H52" s="1465"/>
      <c r="I52" s="1465"/>
      <c r="J52" s="1465"/>
      <c r="K52" s="1465"/>
      <c r="L52" s="1465"/>
      <c r="M52" s="1465"/>
      <c r="N52" s="1465"/>
      <c r="O52" s="1465"/>
      <c r="P52" s="1465"/>
      <c r="Q52" s="1465"/>
      <c r="R52" s="1465"/>
      <c r="S52" s="1465"/>
      <c r="T52" s="1465"/>
      <c r="U52" s="1465"/>
      <c r="V52" s="1465"/>
      <c r="W52" s="1465"/>
      <c r="X52" s="1465"/>
      <c r="Y52" s="1465"/>
      <c r="Z52" s="1465"/>
      <c r="AA52" s="1465"/>
      <c r="AB52" s="1465"/>
      <c r="AC52" s="1465"/>
      <c r="AD52" s="1465"/>
      <c r="AE52" s="1465"/>
      <c r="AF52" s="1465"/>
      <c r="AG52" s="1465"/>
      <c r="AH52" s="1465"/>
      <c r="AI52" s="1465"/>
      <c r="AJ52" s="1465"/>
      <c r="AK52" s="1465"/>
      <c r="AL52" s="1465"/>
      <c r="AM52" s="1465"/>
      <c r="AN52" s="1465"/>
      <c r="AO52" s="1465"/>
      <c r="AP52" s="1465"/>
      <c r="AQ52" s="1465"/>
      <c r="AR52" s="1465"/>
      <c r="AS52" s="1465"/>
      <c r="AT52" s="1465"/>
      <c r="AU52" s="20"/>
      <c r="AV52" s="20"/>
      <c r="AW52" s="20"/>
      <c r="AX52" s="20"/>
      <c r="AY52" s="20"/>
      <c r="AZ52" s="20"/>
      <c r="BD52" s="1177" t="s">
        <v>2470</v>
      </c>
      <c r="BE52" s="1178" t="str">
        <f>Application!M263</f>
        <v>Caleb Roope</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Pacific West Communities, Inc.</v>
      </c>
    </row>
    <row r="54" spans="1:57" ht="12.95" customHeight="1">
      <c r="A54" s="1465" t="s">
        <v>2102</v>
      </c>
      <c r="B54" s="1465"/>
      <c r="C54" s="1465"/>
      <c r="D54" s="1465"/>
      <c r="E54" s="1465"/>
      <c r="F54" s="1465"/>
      <c r="G54" s="1465"/>
      <c r="H54" s="1465"/>
      <c r="I54" s="1465"/>
      <c r="J54" s="1465"/>
      <c r="K54" s="1465"/>
      <c r="L54" s="1465"/>
      <c r="M54" s="1465"/>
      <c r="N54" s="1465"/>
      <c r="O54" s="1465"/>
      <c r="P54" s="1465"/>
      <c r="Q54" s="1465"/>
      <c r="R54" s="1465"/>
      <c r="S54" s="1465"/>
      <c r="T54" s="1465"/>
      <c r="U54" s="1465"/>
      <c r="V54" s="1465"/>
      <c r="W54" s="1465"/>
      <c r="X54" s="1465"/>
      <c r="Y54" s="1465"/>
      <c r="Z54" s="1465"/>
      <c r="AA54" s="1465"/>
      <c r="AB54" s="1465"/>
      <c r="AC54" s="1465"/>
      <c r="AD54" s="1465"/>
      <c r="AE54" s="1465"/>
      <c r="AF54" s="1465"/>
      <c r="AG54" s="1465"/>
      <c r="AH54" s="1465"/>
      <c r="AI54" s="1465"/>
      <c r="AJ54" s="1465"/>
      <c r="AK54" s="1465"/>
      <c r="AL54" s="1465"/>
      <c r="AM54" s="1465"/>
      <c r="AN54" s="1465"/>
      <c r="AO54" s="1465"/>
      <c r="AP54" s="1465"/>
      <c r="AQ54" s="1465"/>
      <c r="AR54" s="1465"/>
      <c r="AS54" s="1465"/>
      <c r="AT54" s="1465"/>
      <c r="AU54" s="20"/>
      <c r="AV54" s="20"/>
      <c r="AW54" s="20"/>
      <c r="AX54" s="20"/>
      <c r="AY54" s="20"/>
      <c r="AZ54" s="21"/>
      <c r="BD54" s="1177" t="s">
        <v>2472</v>
      </c>
      <c r="BE54" s="1178">
        <f>Application!M268</f>
        <v>0</v>
      </c>
    </row>
    <row r="55" spans="1:57" ht="12.95" customHeight="1">
      <c r="A55" s="1465"/>
      <c r="B55" s="1465"/>
      <c r="C55" s="1465"/>
      <c r="D55" s="1465"/>
      <c r="E55" s="1465"/>
      <c r="F55" s="1465"/>
      <c r="G55" s="1465"/>
      <c r="H55" s="1465"/>
      <c r="I55" s="1465"/>
      <c r="J55" s="1465"/>
      <c r="K55" s="1465"/>
      <c r="L55" s="1465"/>
      <c r="M55" s="1465"/>
      <c r="N55" s="1465"/>
      <c r="O55" s="1465"/>
      <c r="P55" s="1465"/>
      <c r="Q55" s="1465"/>
      <c r="R55" s="1465"/>
      <c r="S55" s="1465"/>
      <c r="T55" s="1465"/>
      <c r="U55" s="1465"/>
      <c r="V55" s="1465"/>
      <c r="W55" s="1465"/>
      <c r="X55" s="1465"/>
      <c r="Y55" s="1465"/>
      <c r="Z55" s="1465"/>
      <c r="AA55" s="1465"/>
      <c r="AB55" s="1465"/>
      <c r="AC55" s="1465"/>
      <c r="AD55" s="1465"/>
      <c r="AE55" s="1465"/>
      <c r="AF55" s="1465"/>
      <c r="AG55" s="1465"/>
      <c r="AH55" s="1465"/>
      <c r="AI55" s="1465"/>
      <c r="AJ55" s="1465"/>
      <c r="AK55" s="1465"/>
      <c r="AL55" s="1465"/>
      <c r="AM55" s="1465"/>
      <c r="AN55" s="1465"/>
      <c r="AO55" s="1465"/>
      <c r="AP55" s="1465"/>
      <c r="AQ55" s="1465"/>
      <c r="AR55" s="1465"/>
      <c r="AS55" s="1465"/>
      <c r="AT55" s="1465"/>
      <c r="AZ55" s="21"/>
      <c r="BD55" s="1176" t="s">
        <v>2473</v>
      </c>
      <c r="BE55" s="1178">
        <f>Application!M271</f>
        <v>0</v>
      </c>
    </row>
    <row r="56" spans="1:57" ht="12.95" customHeight="1">
      <c r="A56" s="1465"/>
      <c r="B56" s="1465"/>
      <c r="C56" s="1465"/>
      <c r="D56" s="1465"/>
      <c r="E56" s="1465"/>
      <c r="F56" s="1465"/>
      <c r="G56" s="1465"/>
      <c r="H56" s="1465"/>
      <c r="I56" s="1465"/>
      <c r="J56" s="1465"/>
      <c r="K56" s="1465"/>
      <c r="L56" s="1465"/>
      <c r="M56" s="1465"/>
      <c r="N56" s="1465"/>
      <c r="O56" s="1465"/>
      <c r="P56" s="1465"/>
      <c r="Q56" s="1465"/>
      <c r="R56" s="1465"/>
      <c r="S56" s="1465"/>
      <c r="T56" s="1465"/>
      <c r="U56" s="1465"/>
      <c r="V56" s="1465"/>
      <c r="W56" s="1465"/>
      <c r="X56" s="1465"/>
      <c r="Y56" s="1465"/>
      <c r="Z56" s="1465"/>
      <c r="AA56" s="1465"/>
      <c r="AB56" s="1465"/>
      <c r="AC56" s="1465"/>
      <c r="AD56" s="1465"/>
      <c r="AE56" s="1465"/>
      <c r="AF56" s="1465"/>
      <c r="AG56" s="1465"/>
      <c r="AH56" s="1465"/>
      <c r="AI56" s="1465"/>
      <c r="AJ56" s="1465"/>
      <c r="AK56" s="1465"/>
      <c r="AL56" s="1465"/>
      <c r="AM56" s="1465"/>
      <c r="AN56" s="1465"/>
      <c r="AO56" s="1465"/>
      <c r="AP56" s="1465"/>
      <c r="AQ56" s="1465"/>
      <c r="AR56" s="1465"/>
      <c r="AS56" s="1465"/>
      <c r="AT56" s="1465"/>
      <c r="BD56" s="1177" t="s">
        <v>2474</v>
      </c>
      <c r="BE56" s="1178">
        <f>Application!AA274</f>
        <v>0</v>
      </c>
    </row>
    <row r="57" spans="1:57" ht="12.95" customHeight="1">
      <c r="A57" s="1465"/>
      <c r="B57" s="1465"/>
      <c r="C57" s="1465"/>
      <c r="D57" s="1465"/>
      <c r="E57" s="1465"/>
      <c r="F57" s="1465"/>
      <c r="G57" s="1465"/>
      <c r="H57" s="1465"/>
      <c r="I57" s="1465"/>
      <c r="J57" s="1465"/>
      <c r="K57" s="1465"/>
      <c r="L57" s="1465"/>
      <c r="M57" s="1465"/>
      <c r="N57" s="1465"/>
      <c r="O57" s="1465"/>
      <c r="P57" s="1465"/>
      <c r="Q57" s="1465"/>
      <c r="R57" s="1465"/>
      <c r="S57" s="1465"/>
      <c r="T57" s="1465"/>
      <c r="U57" s="1465"/>
      <c r="V57" s="1465"/>
      <c r="W57" s="1465"/>
      <c r="X57" s="1465"/>
      <c r="Y57" s="1465"/>
      <c r="Z57" s="1465"/>
      <c r="AA57" s="1465"/>
      <c r="AB57" s="1465"/>
      <c r="AC57" s="1465"/>
      <c r="AD57" s="1465"/>
      <c r="AE57" s="1465"/>
      <c r="AF57" s="1465"/>
      <c r="AG57" s="1465"/>
      <c r="AH57" s="1465"/>
      <c r="AI57" s="1465"/>
      <c r="AJ57" s="1465"/>
      <c r="AK57" s="1465"/>
      <c r="AL57" s="1465"/>
      <c r="AM57" s="1465"/>
      <c r="AN57" s="1465"/>
      <c r="AO57" s="1465"/>
      <c r="AP57" s="1465"/>
      <c r="AQ57" s="1465"/>
      <c r="AR57" s="1465"/>
      <c r="AS57" s="1465"/>
      <c r="AT57" s="1465"/>
      <c r="BD57" s="1176" t="s">
        <v>2475</v>
      </c>
      <c r="BE57" s="1178" t="str">
        <f>Application!H296</f>
        <v>Pacific West Communites</v>
      </c>
    </row>
    <row r="58" spans="1:57" ht="12.95" customHeight="1">
      <c r="A58" s="1465"/>
      <c r="B58" s="1465"/>
      <c r="C58" s="1465"/>
      <c r="D58" s="1465"/>
      <c r="E58" s="1465"/>
      <c r="F58" s="1465"/>
      <c r="G58" s="1465"/>
      <c r="H58" s="1465"/>
      <c r="I58" s="1465"/>
      <c r="J58" s="1465"/>
      <c r="K58" s="1465"/>
      <c r="L58" s="1465"/>
      <c r="M58" s="1465"/>
      <c r="N58" s="1465"/>
      <c r="O58" s="1465"/>
      <c r="P58" s="1465"/>
      <c r="Q58" s="1465"/>
      <c r="R58" s="1465"/>
      <c r="S58" s="1465"/>
      <c r="T58" s="1465"/>
      <c r="U58" s="1465"/>
      <c r="V58" s="1465"/>
      <c r="W58" s="1465"/>
      <c r="X58" s="1465"/>
      <c r="Y58" s="1465"/>
      <c r="Z58" s="1465"/>
      <c r="AA58" s="1465"/>
      <c r="AB58" s="1465"/>
      <c r="AC58" s="1465"/>
      <c r="AD58" s="1465"/>
      <c r="AE58" s="1465"/>
      <c r="AF58" s="1465"/>
      <c r="AG58" s="1465"/>
      <c r="AH58" s="1465"/>
      <c r="AI58" s="1465"/>
      <c r="AJ58" s="1465"/>
      <c r="AK58" s="1465"/>
      <c r="AL58" s="1465"/>
      <c r="AM58" s="1465"/>
      <c r="AN58" s="1465"/>
      <c r="AO58" s="1465"/>
      <c r="AP58" s="1465"/>
      <c r="AQ58" s="1465"/>
      <c r="AR58" s="1465"/>
      <c r="AS58" s="1465"/>
      <c r="AT58" s="1465"/>
      <c r="BD58" s="1177" t="s">
        <v>2476</v>
      </c>
      <c r="BE58" s="1178" t="str">
        <f>Application!H297</f>
        <v>430 E State Street, Suite 100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Eagle, ID 83616</v>
      </c>
    </row>
    <row r="60" spans="1:57" ht="12.95" customHeight="1">
      <c r="A60" s="1465" t="s">
        <v>2103</v>
      </c>
      <c r="B60" s="1465"/>
      <c r="C60" s="1465"/>
      <c r="D60" s="1465"/>
      <c r="E60" s="1465"/>
      <c r="F60" s="1465"/>
      <c r="G60" s="1465"/>
      <c r="H60" s="1465"/>
      <c r="I60" s="1465"/>
      <c r="J60" s="1465"/>
      <c r="K60" s="1465"/>
      <c r="L60" s="1465"/>
      <c r="M60" s="1465"/>
      <c r="N60" s="1465"/>
      <c r="O60" s="1465"/>
      <c r="P60" s="1465"/>
      <c r="Q60" s="1465"/>
      <c r="R60" s="1465"/>
      <c r="S60" s="1465"/>
      <c r="T60" s="1465"/>
      <c r="U60" s="1465"/>
      <c r="V60" s="1465"/>
      <c r="W60" s="1465"/>
      <c r="X60" s="1465"/>
      <c r="Y60" s="1465"/>
      <c r="Z60" s="1465"/>
      <c r="AA60" s="1465"/>
      <c r="AB60" s="1465"/>
      <c r="AC60" s="1465"/>
      <c r="AD60" s="1465"/>
      <c r="AE60" s="1465"/>
      <c r="AF60" s="1465"/>
      <c r="AG60" s="1465"/>
      <c r="AH60" s="1465"/>
      <c r="AI60" s="1465"/>
      <c r="AJ60" s="1465"/>
      <c r="AK60" s="1465"/>
      <c r="AL60" s="1465"/>
      <c r="AM60" s="1465"/>
      <c r="AN60" s="1465"/>
      <c r="AO60" s="1465"/>
      <c r="AP60" s="1465"/>
      <c r="AQ60" s="1465"/>
      <c r="AR60" s="1465"/>
      <c r="AS60" s="1465"/>
      <c r="AT60" s="1465"/>
      <c r="AU60" s="20"/>
      <c r="AV60" s="20"/>
      <c r="AW60" s="20"/>
      <c r="AX60" s="20"/>
      <c r="AY60" s="20"/>
      <c r="AZ60" s="20"/>
      <c r="BD60" s="1177" t="s">
        <v>2478</v>
      </c>
      <c r="BE60" s="1178" t="str">
        <f>Application!H299</f>
        <v>Caleb Roope</v>
      </c>
    </row>
    <row r="61" spans="1:57" ht="12.95" customHeight="1">
      <c r="A61" s="1465"/>
      <c r="B61" s="1465"/>
      <c r="C61" s="1465"/>
      <c r="D61" s="1465"/>
      <c r="E61" s="1465"/>
      <c r="F61" s="1465"/>
      <c r="G61" s="1465"/>
      <c r="H61" s="1465"/>
      <c r="I61" s="1465"/>
      <c r="J61" s="1465"/>
      <c r="K61" s="1465"/>
      <c r="L61" s="1465"/>
      <c r="M61" s="1465"/>
      <c r="N61" s="1465"/>
      <c r="O61" s="1465"/>
      <c r="P61" s="1465"/>
      <c r="Q61" s="1465"/>
      <c r="R61" s="1465"/>
      <c r="S61" s="1465"/>
      <c r="T61" s="1465"/>
      <c r="U61" s="1465"/>
      <c r="V61" s="1465"/>
      <c r="W61" s="1465"/>
      <c r="X61" s="1465"/>
      <c r="Y61" s="1465"/>
      <c r="Z61" s="1465"/>
      <c r="AA61" s="1465"/>
      <c r="AB61" s="1465"/>
      <c r="AC61" s="1465"/>
      <c r="AD61" s="1465"/>
      <c r="AE61" s="1465"/>
      <c r="AF61" s="1465"/>
      <c r="AG61" s="1465"/>
      <c r="AH61" s="1465"/>
      <c r="AI61" s="1465"/>
      <c r="AJ61" s="1465"/>
      <c r="AK61" s="1465"/>
      <c r="AL61" s="1465"/>
      <c r="AM61" s="1465"/>
      <c r="AN61" s="1465"/>
      <c r="AO61" s="1465"/>
      <c r="AP61" s="1465"/>
      <c r="AQ61" s="1465"/>
      <c r="AR61" s="1465"/>
      <c r="AS61" s="1465"/>
      <c r="AT61" s="1465"/>
      <c r="AU61" s="20"/>
      <c r="AV61" s="20"/>
      <c r="AW61" s="20"/>
      <c r="AX61" s="20"/>
      <c r="AY61" s="20"/>
      <c r="AZ61" s="20"/>
      <c r="BD61" s="1176" t="s">
        <v>2479</v>
      </c>
      <c r="BE61" s="1178" t="str">
        <f>Application!H302</f>
        <v>calebr@tpchousing.com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0.79991999999999996</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466" t="s">
        <v>2105</v>
      </c>
      <c r="B65" s="1466"/>
      <c r="C65" s="1466"/>
      <c r="D65" s="1466"/>
      <c r="E65" s="1466"/>
      <c r="F65" s="1466"/>
      <c r="G65" s="1466"/>
      <c r="H65" s="1466"/>
      <c r="I65" s="1466"/>
      <c r="J65" s="1466"/>
      <c r="K65" s="1466"/>
      <c r="L65" s="1466"/>
      <c r="M65" s="1466"/>
      <c r="N65" s="1466"/>
      <c r="O65" s="1466"/>
      <c r="P65" s="1466"/>
      <c r="Q65" s="1466"/>
      <c r="R65" s="1466"/>
      <c r="S65" s="1466"/>
      <c r="T65" s="1466"/>
      <c r="U65" s="1466"/>
      <c r="V65" s="1466"/>
      <c r="W65" s="1466"/>
      <c r="X65" s="1466"/>
      <c r="Y65" s="1466"/>
      <c r="Z65" s="1466"/>
      <c r="AA65" s="1466"/>
      <c r="AB65" s="1466"/>
      <c r="AC65" s="1466"/>
      <c r="AD65" s="1466"/>
      <c r="AE65" s="1466"/>
      <c r="AF65" s="1466"/>
      <c r="AG65" s="1466"/>
      <c r="AH65" s="1466"/>
      <c r="AI65" s="1466"/>
      <c r="AJ65" s="1466"/>
      <c r="AK65" s="1466"/>
      <c r="AL65" s="1466"/>
      <c r="AM65" s="1466"/>
      <c r="AN65" s="1466"/>
      <c r="AO65" s="1466"/>
      <c r="AP65" s="1466"/>
      <c r="AQ65" s="1466"/>
      <c r="AR65" s="1466"/>
      <c r="AS65" s="1466"/>
      <c r="AT65" s="1466"/>
      <c r="AU65" s="21"/>
      <c r="AV65" s="21"/>
      <c r="AW65" s="21"/>
      <c r="AX65" s="21"/>
      <c r="AY65" s="21"/>
      <c r="AZ65" s="20"/>
      <c r="BD65" s="1176" t="s">
        <v>2515</v>
      </c>
      <c r="BE65" s="1178" t="str">
        <f>Z205</f>
        <v>(select)</v>
      </c>
    </row>
    <row r="66" spans="1:57" ht="12.95" customHeight="1">
      <c r="A66" s="1466"/>
      <c r="B66" s="1466"/>
      <c r="C66" s="1466"/>
      <c r="D66" s="1466"/>
      <c r="E66" s="1466"/>
      <c r="F66" s="1466"/>
      <c r="G66" s="1466"/>
      <c r="H66" s="1466"/>
      <c r="I66" s="1466"/>
      <c r="J66" s="1466"/>
      <c r="K66" s="1466"/>
      <c r="L66" s="1466"/>
      <c r="M66" s="1466"/>
      <c r="N66" s="1466"/>
      <c r="O66" s="1466"/>
      <c r="P66" s="1466"/>
      <c r="Q66" s="1466"/>
      <c r="R66" s="1466"/>
      <c r="S66" s="1466"/>
      <c r="T66" s="1466"/>
      <c r="U66" s="1466"/>
      <c r="V66" s="1466"/>
      <c r="W66" s="1466"/>
      <c r="X66" s="1466"/>
      <c r="Y66" s="1466"/>
      <c r="Z66" s="1466"/>
      <c r="AA66" s="1466"/>
      <c r="AB66" s="1466"/>
      <c r="AC66" s="1466"/>
      <c r="AD66" s="1466"/>
      <c r="AE66" s="1466"/>
      <c r="AF66" s="1466"/>
      <c r="AG66" s="1466"/>
      <c r="AH66" s="1466"/>
      <c r="AI66" s="1466"/>
      <c r="AJ66" s="1466"/>
      <c r="AK66" s="1466"/>
      <c r="AL66" s="1466"/>
      <c r="AM66" s="1466"/>
      <c r="AN66" s="1466"/>
      <c r="AO66" s="1466"/>
      <c r="AP66" s="1466"/>
      <c r="AQ66" s="1466"/>
      <c r="AR66" s="1466"/>
      <c r="AS66" s="1466"/>
      <c r="AT66" s="1466"/>
      <c r="AU66" s="21"/>
      <c r="AV66" s="21"/>
      <c r="AW66" s="21"/>
      <c r="AX66" s="21"/>
      <c r="AY66" s="21"/>
      <c r="AZ66" s="20"/>
      <c r="BD66" s="1177" t="s">
        <v>2482</v>
      </c>
      <c r="BE66" s="1178" t="b">
        <f>Application!Z205="State Farmworker Credit"</f>
        <v>0</v>
      </c>
    </row>
    <row r="67" spans="1:57" ht="12.95" customHeight="1">
      <c r="A67" s="1466"/>
      <c r="B67" s="1466"/>
      <c r="C67" s="1466"/>
      <c r="D67" s="1466"/>
      <c r="E67" s="1466"/>
      <c r="F67" s="1466"/>
      <c r="G67" s="1466"/>
      <c r="H67" s="1466"/>
      <c r="I67" s="1466"/>
      <c r="J67" s="1466"/>
      <c r="K67" s="1466"/>
      <c r="L67" s="1466"/>
      <c r="M67" s="1466"/>
      <c r="N67" s="1466"/>
      <c r="O67" s="1466"/>
      <c r="P67" s="1466"/>
      <c r="Q67" s="1466"/>
      <c r="R67" s="1466"/>
      <c r="S67" s="1466"/>
      <c r="T67" s="1466"/>
      <c r="U67" s="1466"/>
      <c r="V67" s="1466"/>
      <c r="W67" s="1466"/>
      <c r="X67" s="1466"/>
      <c r="Y67" s="1466"/>
      <c r="Z67" s="1466"/>
      <c r="AA67" s="1466"/>
      <c r="AB67" s="1466"/>
      <c r="AC67" s="1466"/>
      <c r="AD67" s="1466"/>
      <c r="AE67" s="1466"/>
      <c r="AF67" s="1466"/>
      <c r="AG67" s="1466"/>
      <c r="AH67" s="1466"/>
      <c r="AI67" s="1466"/>
      <c r="AJ67" s="1466"/>
      <c r="AK67" s="1466"/>
      <c r="AL67" s="1466"/>
      <c r="AM67" s="1466"/>
      <c r="AN67" s="1466"/>
      <c r="AO67" s="1466"/>
      <c r="AP67" s="1466"/>
      <c r="AQ67" s="1466"/>
      <c r="AR67" s="1466"/>
      <c r="AS67" s="1466"/>
      <c r="AT67" s="1466"/>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466" t="s">
        <v>2106</v>
      </c>
      <c r="B69" s="1466"/>
      <c r="C69" s="1466"/>
      <c r="D69" s="1466"/>
      <c r="E69" s="1466"/>
      <c r="F69" s="1466"/>
      <c r="G69" s="1466"/>
      <c r="H69" s="1466"/>
      <c r="I69" s="1466"/>
      <c r="J69" s="1466"/>
      <c r="K69" s="1466"/>
      <c r="L69" s="1466"/>
      <c r="M69" s="1466"/>
      <c r="N69" s="1466"/>
      <c r="O69" s="1466"/>
      <c r="P69" s="1466"/>
      <c r="Q69" s="1466"/>
      <c r="R69" s="1466"/>
      <c r="S69" s="1466"/>
      <c r="T69" s="1466"/>
      <c r="U69" s="1466"/>
      <c r="V69" s="1466"/>
      <c r="W69" s="1466"/>
      <c r="X69" s="1466"/>
      <c r="Y69" s="1466"/>
      <c r="Z69" s="1466"/>
      <c r="AA69" s="1466"/>
      <c r="AB69" s="1466"/>
      <c r="AC69" s="1466"/>
      <c r="AD69" s="1466"/>
      <c r="AE69" s="1466"/>
      <c r="AF69" s="1466"/>
      <c r="AG69" s="1466"/>
      <c r="AH69" s="1466"/>
      <c r="AI69" s="1466"/>
      <c r="AJ69" s="1466"/>
      <c r="AK69" s="1466"/>
      <c r="AL69" s="1466"/>
      <c r="AM69" s="1466"/>
      <c r="AN69" s="1466"/>
      <c r="AO69" s="1466"/>
      <c r="AP69" s="1466"/>
      <c r="AQ69" s="1466"/>
      <c r="AR69" s="1466"/>
      <c r="AS69" s="1466"/>
      <c r="AT69" s="1466"/>
      <c r="AZ69" s="20"/>
      <c r="BD69" s="1176" t="s">
        <v>2485</v>
      </c>
      <c r="BE69" s="1178" t="str">
        <f>Application!W708</f>
        <v>California Municipal Finance Authority</v>
      </c>
    </row>
    <row r="70" spans="1:57" ht="12.95" customHeight="1">
      <c r="A70" s="1466"/>
      <c r="B70" s="1466"/>
      <c r="C70" s="1466"/>
      <c r="D70" s="1466"/>
      <c r="E70" s="1466"/>
      <c r="F70" s="1466"/>
      <c r="G70" s="1466"/>
      <c r="H70" s="1466"/>
      <c r="I70" s="1466"/>
      <c r="J70" s="1466"/>
      <c r="K70" s="1466"/>
      <c r="L70" s="1466"/>
      <c r="M70" s="1466"/>
      <c r="N70" s="1466"/>
      <c r="O70" s="1466"/>
      <c r="P70" s="1466"/>
      <c r="Q70" s="1466"/>
      <c r="R70" s="1466"/>
      <c r="S70" s="1466"/>
      <c r="T70" s="1466"/>
      <c r="U70" s="1466"/>
      <c r="V70" s="1466"/>
      <c r="W70" s="1466"/>
      <c r="X70" s="1466"/>
      <c r="Y70" s="1466"/>
      <c r="Z70" s="1466"/>
      <c r="AA70" s="1466"/>
      <c r="AB70" s="1466"/>
      <c r="AC70" s="1466"/>
      <c r="AD70" s="1466"/>
      <c r="AE70" s="1466"/>
      <c r="AF70" s="1466"/>
      <c r="AG70" s="1466"/>
      <c r="AH70" s="1466"/>
      <c r="AI70" s="1466"/>
      <c r="AJ70" s="1466"/>
      <c r="AK70" s="1466"/>
      <c r="AL70" s="1466"/>
      <c r="AM70" s="1466"/>
      <c r="AN70" s="1466"/>
      <c r="AO70" s="1466"/>
      <c r="AP70" s="1466"/>
      <c r="AQ70" s="1466"/>
      <c r="AR70" s="1466"/>
      <c r="AS70" s="1466"/>
      <c r="AT70" s="1466"/>
      <c r="AU70" s="20"/>
      <c r="AV70" s="20"/>
      <c r="AW70" s="20"/>
      <c r="AX70" s="20"/>
      <c r="AY70" s="20"/>
      <c r="AZ70" s="20"/>
      <c r="BD70" s="1177" t="s">
        <v>2486</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5" customHeight="1">
      <c r="A72" s="1463" t="s">
        <v>2107</v>
      </c>
      <c r="B72" s="1463"/>
      <c r="C72" s="1463"/>
      <c r="D72" s="1463"/>
      <c r="E72" s="1463"/>
      <c r="F72" s="1463"/>
      <c r="G72" s="1463"/>
      <c r="H72" s="1463"/>
      <c r="I72" s="1463"/>
      <c r="J72" s="1463"/>
      <c r="K72" s="1463"/>
      <c r="L72" s="1463"/>
      <c r="M72" s="1463"/>
      <c r="N72" s="1463"/>
      <c r="O72" s="1463"/>
      <c r="P72" s="1463"/>
      <c r="Q72" s="1463"/>
      <c r="R72" s="1463"/>
      <c r="S72" s="1463"/>
      <c r="T72" s="1463"/>
      <c r="U72" s="1463"/>
      <c r="V72" s="1463"/>
      <c r="W72" s="1463"/>
      <c r="X72" s="1463"/>
      <c r="Y72" s="1463"/>
      <c r="Z72" s="1463"/>
      <c r="AA72" s="1463"/>
      <c r="AB72" s="1463"/>
      <c r="AC72" s="1463"/>
      <c r="AD72" s="1463"/>
      <c r="AE72" s="1463"/>
      <c r="AF72" s="1463"/>
      <c r="AG72" s="1463"/>
      <c r="AH72" s="1463"/>
      <c r="AI72" s="1463"/>
      <c r="AJ72" s="1463"/>
      <c r="AK72" s="1463"/>
      <c r="AL72" s="1463"/>
      <c r="AM72" s="1463"/>
      <c r="AN72" s="1463"/>
      <c r="AO72" s="1463"/>
      <c r="AP72" s="1463"/>
      <c r="AQ72" s="1463"/>
      <c r="AR72" s="1463"/>
      <c r="AS72" s="1463"/>
      <c r="AT72" s="1463"/>
      <c r="AU72" s="20"/>
      <c r="AV72" s="20"/>
      <c r="AW72" s="20"/>
      <c r="AX72" s="20"/>
      <c r="AY72" s="20"/>
      <c r="AZ72" s="20"/>
      <c r="BD72" s="1177" t="s">
        <v>2487</v>
      </c>
      <c r="BE72" s="1178">
        <f>'Points System'!AF877</f>
        <v>10</v>
      </c>
    </row>
    <row r="73" spans="1:57" ht="12.95" customHeight="1">
      <c r="A73" s="1463"/>
      <c r="B73" s="1463"/>
      <c r="C73" s="1463"/>
      <c r="D73" s="1463"/>
      <c r="E73" s="1463"/>
      <c r="F73" s="1463"/>
      <c r="G73" s="1463"/>
      <c r="H73" s="1463"/>
      <c r="I73" s="1463"/>
      <c r="J73" s="1463"/>
      <c r="K73" s="1463"/>
      <c r="L73" s="1463"/>
      <c r="M73" s="1463"/>
      <c r="N73" s="1463"/>
      <c r="O73" s="1463"/>
      <c r="P73" s="1463"/>
      <c r="Q73" s="1463"/>
      <c r="R73" s="1463"/>
      <c r="S73" s="1463"/>
      <c r="T73" s="1463"/>
      <c r="U73" s="1463"/>
      <c r="V73" s="1463"/>
      <c r="W73" s="1463"/>
      <c r="X73" s="1463"/>
      <c r="Y73" s="1463"/>
      <c r="Z73" s="1463"/>
      <c r="AA73" s="1463"/>
      <c r="AB73" s="1463"/>
      <c r="AC73" s="1463"/>
      <c r="AD73" s="1463"/>
      <c r="AE73" s="1463"/>
      <c r="AF73" s="1463"/>
      <c r="AG73" s="1463"/>
      <c r="AH73" s="1463"/>
      <c r="AI73" s="1463"/>
      <c r="AJ73" s="1463"/>
      <c r="AK73" s="1463"/>
      <c r="AL73" s="1463"/>
      <c r="AM73" s="1463"/>
      <c r="AN73" s="1463"/>
      <c r="AO73" s="1463"/>
      <c r="AP73" s="1463"/>
      <c r="AQ73" s="1463"/>
      <c r="AR73" s="1463"/>
      <c r="AS73" s="1463"/>
      <c r="AT73" s="1463"/>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743" t="s">
        <v>2108</v>
      </c>
      <c r="B75" s="1743"/>
      <c r="C75" s="1743"/>
      <c r="D75" s="1743"/>
      <c r="E75" s="1743"/>
      <c r="F75" s="1743"/>
      <c r="G75" s="1743"/>
      <c r="H75" s="1743"/>
      <c r="I75" s="1743"/>
      <c r="J75" s="1743"/>
      <c r="K75" s="1743"/>
      <c r="L75" s="1743"/>
      <c r="M75" s="1743"/>
      <c r="N75" s="1743"/>
      <c r="O75" s="1743"/>
      <c r="P75" s="1743"/>
      <c r="Q75" s="1743"/>
      <c r="R75" s="1743"/>
      <c r="S75" s="1743"/>
      <c r="T75" s="1743"/>
      <c r="U75" s="1743"/>
      <c r="V75" s="1743"/>
      <c r="W75" s="1743"/>
      <c r="X75" s="1743"/>
      <c r="Y75" s="1743"/>
      <c r="Z75" s="1743"/>
      <c r="AA75" s="1743"/>
      <c r="AB75" s="1743"/>
      <c r="AC75" s="1743"/>
      <c r="AD75" s="1743"/>
      <c r="AE75" s="1743"/>
      <c r="AF75" s="1743"/>
      <c r="AG75" s="1743"/>
      <c r="AH75" s="1743"/>
      <c r="AI75" s="1743"/>
      <c r="AJ75" s="1743"/>
      <c r="AK75" s="1743"/>
      <c r="AL75" s="1743"/>
      <c r="AM75" s="1743"/>
      <c r="AN75" s="1743"/>
      <c r="AO75" s="1743"/>
      <c r="AP75" s="1743"/>
      <c r="AQ75" s="1743"/>
      <c r="AR75" s="1743"/>
      <c r="AS75" s="1743"/>
      <c r="AT75" s="1743"/>
      <c r="AU75" s="20"/>
      <c r="AV75" s="20"/>
      <c r="AW75" s="20"/>
      <c r="AX75" s="20"/>
      <c r="AY75" s="20"/>
      <c r="AZ75" s="20"/>
      <c r="BD75" s="1176" t="s">
        <v>2490</v>
      </c>
      <c r="BE75" s="1178">
        <f>'Points System'!AF880</f>
        <v>10</v>
      </c>
    </row>
    <row r="76" spans="1:57" ht="12.95" customHeight="1">
      <c r="A76" s="1743"/>
      <c r="B76" s="1743"/>
      <c r="C76" s="1743"/>
      <c r="D76" s="1743"/>
      <c r="E76" s="1743"/>
      <c r="F76" s="1743"/>
      <c r="G76" s="1743"/>
      <c r="H76" s="1743"/>
      <c r="I76" s="1743"/>
      <c r="J76" s="1743"/>
      <c r="K76" s="1743"/>
      <c r="L76" s="1743"/>
      <c r="M76" s="1743"/>
      <c r="N76" s="1743"/>
      <c r="O76" s="1743"/>
      <c r="P76" s="1743"/>
      <c r="Q76" s="1743"/>
      <c r="R76" s="1743"/>
      <c r="S76" s="1743"/>
      <c r="T76" s="1743"/>
      <c r="U76" s="1743"/>
      <c r="V76" s="1743"/>
      <c r="W76" s="1743"/>
      <c r="X76" s="1743"/>
      <c r="Y76" s="1743"/>
      <c r="Z76" s="1743"/>
      <c r="AA76" s="1743"/>
      <c r="AB76" s="1743"/>
      <c r="AC76" s="1743"/>
      <c r="AD76" s="1743"/>
      <c r="AE76" s="1743"/>
      <c r="AF76" s="1743"/>
      <c r="AG76" s="1743"/>
      <c r="AH76" s="1743"/>
      <c r="AI76" s="1743"/>
      <c r="AJ76" s="1743"/>
      <c r="AK76" s="1743"/>
      <c r="AL76" s="1743"/>
      <c r="AM76" s="1743"/>
      <c r="AN76" s="1743"/>
      <c r="AO76" s="1743"/>
      <c r="AP76" s="1743"/>
      <c r="AQ76" s="1743"/>
      <c r="AR76" s="1743"/>
      <c r="AS76" s="1743"/>
      <c r="AT76" s="1743"/>
      <c r="AU76" s="20"/>
      <c r="AV76" s="20"/>
      <c r="AW76" s="20"/>
      <c r="AX76" s="20"/>
      <c r="AY76" s="20"/>
      <c r="AZ76" s="17"/>
      <c r="BD76" s="1177" t="s">
        <v>2491</v>
      </c>
      <c r="BE76" s="1178">
        <f>'Points System'!AF883</f>
        <v>10</v>
      </c>
    </row>
    <row r="77" spans="1:57" ht="12.95" customHeight="1">
      <c r="A77" s="1743"/>
      <c r="B77" s="1743"/>
      <c r="C77" s="1743"/>
      <c r="D77" s="1743"/>
      <c r="E77" s="1743"/>
      <c r="F77" s="1743"/>
      <c r="G77" s="1743"/>
      <c r="H77" s="1743"/>
      <c r="I77" s="1743"/>
      <c r="J77" s="1743"/>
      <c r="K77" s="1743"/>
      <c r="L77" s="1743"/>
      <c r="M77" s="1743"/>
      <c r="N77" s="1743"/>
      <c r="O77" s="1743"/>
      <c r="P77" s="1743"/>
      <c r="Q77" s="1743"/>
      <c r="R77" s="1743"/>
      <c r="S77" s="1743"/>
      <c r="T77" s="1743"/>
      <c r="U77" s="1743"/>
      <c r="V77" s="1743"/>
      <c r="W77" s="1743"/>
      <c r="X77" s="1743"/>
      <c r="Y77" s="1743"/>
      <c r="Z77" s="1743"/>
      <c r="AA77" s="1743"/>
      <c r="AB77" s="1743"/>
      <c r="AC77" s="1743"/>
      <c r="AD77" s="1743"/>
      <c r="AE77" s="1743"/>
      <c r="AF77" s="1743"/>
      <c r="AG77" s="1743"/>
      <c r="AH77" s="1743"/>
      <c r="AI77" s="1743"/>
      <c r="AJ77" s="1743"/>
      <c r="AK77" s="1743"/>
      <c r="AL77" s="1743"/>
      <c r="AM77" s="1743"/>
      <c r="AN77" s="1743"/>
      <c r="AO77" s="1743"/>
      <c r="AP77" s="1743"/>
      <c r="AQ77" s="1743"/>
      <c r="AR77" s="1743"/>
      <c r="AS77" s="1743"/>
      <c r="AT77" s="1743"/>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466" t="s">
        <v>2109</v>
      </c>
      <c r="B79" s="1466"/>
      <c r="C79" s="1466"/>
      <c r="D79" s="1466"/>
      <c r="E79" s="1466"/>
      <c r="F79" s="1466"/>
      <c r="G79" s="1466"/>
      <c r="H79" s="1466"/>
      <c r="I79" s="1466"/>
      <c r="J79" s="1466"/>
      <c r="K79" s="1466"/>
      <c r="L79" s="1466"/>
      <c r="M79" s="1466"/>
      <c r="N79" s="1466"/>
      <c r="O79" s="1466"/>
      <c r="P79" s="1466"/>
      <c r="Q79" s="1466"/>
      <c r="R79" s="1466"/>
      <c r="S79" s="1466"/>
      <c r="T79" s="1466"/>
      <c r="U79" s="1466"/>
      <c r="V79" s="1466"/>
      <c r="W79" s="1466"/>
      <c r="X79" s="1466"/>
      <c r="Y79" s="1466"/>
      <c r="Z79" s="1466"/>
      <c r="AA79" s="1466"/>
      <c r="AB79" s="1466"/>
      <c r="AC79" s="1466"/>
      <c r="AD79" s="1466"/>
      <c r="AE79" s="1466"/>
      <c r="AF79" s="1466"/>
      <c r="AG79" s="1466"/>
      <c r="AH79" s="1466"/>
      <c r="AI79" s="1466"/>
      <c r="AJ79" s="1466"/>
      <c r="AK79" s="1466"/>
      <c r="AL79" s="1466"/>
      <c r="AM79" s="1466"/>
      <c r="AN79" s="1466"/>
      <c r="AO79" s="1466"/>
      <c r="AP79" s="1466"/>
      <c r="AQ79" s="1466"/>
      <c r="AR79" s="1466"/>
      <c r="AS79" s="1466"/>
      <c r="AT79" s="1466"/>
      <c r="AU79" s="20"/>
      <c r="AV79" s="20"/>
      <c r="AW79" s="20"/>
      <c r="AX79" s="20"/>
      <c r="AY79" s="20"/>
      <c r="AZ79" s="20"/>
      <c r="BD79" s="1176" t="s">
        <v>2607</v>
      </c>
      <c r="BE79" s="1178">
        <f>'Points System'!AF887</f>
        <v>9</v>
      </c>
    </row>
    <row r="80" spans="1:57" ht="12.95" customHeight="1">
      <c r="A80" s="1466"/>
      <c r="B80" s="1466"/>
      <c r="C80" s="1466"/>
      <c r="D80" s="1466"/>
      <c r="E80" s="1466"/>
      <c r="F80" s="1466"/>
      <c r="G80" s="1466"/>
      <c r="H80" s="1466"/>
      <c r="I80" s="1466"/>
      <c r="J80" s="1466"/>
      <c r="K80" s="1466"/>
      <c r="L80" s="1466"/>
      <c r="M80" s="1466"/>
      <c r="N80" s="1466"/>
      <c r="O80" s="1466"/>
      <c r="P80" s="1466"/>
      <c r="Q80" s="1466"/>
      <c r="R80" s="1466"/>
      <c r="S80" s="1466"/>
      <c r="T80" s="1466"/>
      <c r="U80" s="1466"/>
      <c r="V80" s="1466"/>
      <c r="W80" s="1466"/>
      <c r="X80" s="1466"/>
      <c r="Y80" s="1466"/>
      <c r="Z80" s="1466"/>
      <c r="AA80" s="1466"/>
      <c r="AB80" s="1466"/>
      <c r="AC80" s="1466"/>
      <c r="AD80" s="1466"/>
      <c r="AE80" s="1466"/>
      <c r="AF80" s="1466"/>
      <c r="AG80" s="1466"/>
      <c r="AH80" s="1466"/>
      <c r="AI80" s="1466"/>
      <c r="AJ80" s="1466"/>
      <c r="AK80" s="1466"/>
      <c r="AL80" s="1466"/>
      <c r="AM80" s="1466"/>
      <c r="AN80" s="1466"/>
      <c r="AO80" s="1466"/>
      <c r="AP80" s="1466"/>
      <c r="AQ80" s="1466"/>
      <c r="AR80" s="1466"/>
      <c r="AS80" s="1466"/>
      <c r="AT80" s="1466"/>
      <c r="AU80" s="20"/>
      <c r="AV80" s="20"/>
      <c r="AW80" s="20"/>
      <c r="AX80" s="20"/>
      <c r="AY80" s="20"/>
      <c r="AZ80" s="20"/>
      <c r="BD80" s="1177" t="s">
        <v>2494</v>
      </c>
      <c r="BE80" s="1178">
        <f>'Points System'!AF889</f>
        <v>10</v>
      </c>
    </row>
    <row r="81" spans="1:57" ht="12.95" customHeight="1">
      <c r="A81" s="1466"/>
      <c r="B81" s="1466"/>
      <c r="C81" s="1466"/>
      <c r="D81" s="1466"/>
      <c r="E81" s="1466"/>
      <c r="F81" s="1466"/>
      <c r="G81" s="1466"/>
      <c r="H81" s="1466"/>
      <c r="I81" s="1466"/>
      <c r="J81" s="1466"/>
      <c r="K81" s="1466"/>
      <c r="L81" s="1466"/>
      <c r="M81" s="1466"/>
      <c r="N81" s="1466"/>
      <c r="O81" s="1466"/>
      <c r="P81" s="1466"/>
      <c r="Q81" s="1466"/>
      <c r="R81" s="1466"/>
      <c r="S81" s="1466"/>
      <c r="T81" s="1466"/>
      <c r="U81" s="1466"/>
      <c r="V81" s="1466"/>
      <c r="W81" s="1466"/>
      <c r="X81" s="1466"/>
      <c r="Y81" s="1466"/>
      <c r="Z81" s="1466"/>
      <c r="AA81" s="1466"/>
      <c r="AB81" s="1466"/>
      <c r="AC81" s="1466"/>
      <c r="AD81" s="1466"/>
      <c r="AE81" s="1466"/>
      <c r="AF81" s="1466"/>
      <c r="AG81" s="1466"/>
      <c r="AH81" s="1466"/>
      <c r="AI81" s="1466"/>
      <c r="AJ81" s="1466"/>
      <c r="AK81" s="1466"/>
      <c r="AL81" s="1466"/>
      <c r="AM81" s="1466"/>
      <c r="AN81" s="1466"/>
      <c r="AO81" s="1466"/>
      <c r="AP81" s="1466"/>
      <c r="AQ81" s="1466"/>
      <c r="AR81" s="1466"/>
      <c r="AS81" s="1466"/>
      <c r="AT81" s="1466"/>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465" t="s">
        <v>2110</v>
      </c>
      <c r="B83" s="1465"/>
      <c r="C83" s="1465"/>
      <c r="D83" s="1465"/>
      <c r="E83" s="1465"/>
      <c r="F83" s="1465"/>
      <c r="G83" s="1465"/>
      <c r="H83" s="1465"/>
      <c r="I83" s="1465"/>
      <c r="J83" s="1465"/>
      <c r="K83" s="1465"/>
      <c r="L83" s="1465"/>
      <c r="M83" s="1465"/>
      <c r="N83" s="1465"/>
      <c r="O83" s="1465"/>
      <c r="P83" s="1465"/>
      <c r="Q83" s="1465"/>
      <c r="R83" s="1465"/>
      <c r="S83" s="1465"/>
      <c r="T83" s="1465"/>
      <c r="U83" s="1465"/>
      <c r="V83" s="1465"/>
      <c r="W83" s="1465"/>
      <c r="X83" s="1465"/>
      <c r="Y83" s="1465"/>
      <c r="Z83" s="1465"/>
      <c r="AA83" s="1465"/>
      <c r="AB83" s="1465"/>
      <c r="AC83" s="1465"/>
      <c r="AD83" s="1465"/>
      <c r="AE83" s="1465"/>
      <c r="AF83" s="1465"/>
      <c r="AG83" s="1465"/>
      <c r="AH83" s="1465"/>
      <c r="AI83" s="1465"/>
      <c r="AJ83" s="1465"/>
      <c r="AK83" s="1465"/>
      <c r="AL83" s="1465"/>
      <c r="AM83" s="1465"/>
      <c r="AN83" s="1465"/>
      <c r="AO83" s="1465"/>
      <c r="AP83" s="1465"/>
      <c r="AQ83" s="1465"/>
      <c r="AR83" s="1465"/>
      <c r="AS83" s="1465"/>
      <c r="AT83" s="1465"/>
      <c r="AU83" s="20"/>
      <c r="AV83" s="20"/>
      <c r="AW83" s="20"/>
      <c r="AX83" s="20"/>
      <c r="AY83" s="20"/>
      <c r="AZ83" s="20"/>
      <c r="BD83" s="1176" t="s">
        <v>2497</v>
      </c>
      <c r="BE83" s="1182">
        <f>'Tie Breaker'!H5</f>
        <v>1.5248565204362508</v>
      </c>
    </row>
    <row r="84" spans="1:57" ht="12.95" customHeight="1">
      <c r="A84" s="1465"/>
      <c r="B84" s="1465"/>
      <c r="C84" s="1465"/>
      <c r="D84" s="1465"/>
      <c r="E84" s="1465"/>
      <c r="F84" s="1465"/>
      <c r="G84" s="1465"/>
      <c r="H84" s="1465"/>
      <c r="I84" s="1465"/>
      <c r="J84" s="1465"/>
      <c r="K84" s="1465"/>
      <c r="L84" s="1465"/>
      <c r="M84" s="1465"/>
      <c r="N84" s="1465"/>
      <c r="O84" s="1465"/>
      <c r="P84" s="1465"/>
      <c r="Q84" s="1465"/>
      <c r="R84" s="1465"/>
      <c r="S84" s="1465"/>
      <c r="T84" s="1465"/>
      <c r="U84" s="1465"/>
      <c r="V84" s="1465"/>
      <c r="W84" s="1465"/>
      <c r="X84" s="1465"/>
      <c r="Y84" s="1465"/>
      <c r="Z84" s="1465"/>
      <c r="AA84" s="1465"/>
      <c r="AB84" s="1465"/>
      <c r="AC84" s="1465"/>
      <c r="AD84" s="1465"/>
      <c r="AE84" s="1465"/>
      <c r="AF84" s="1465"/>
      <c r="AG84" s="1465"/>
      <c r="AH84" s="1465"/>
      <c r="AI84" s="1465"/>
      <c r="AJ84" s="1465"/>
      <c r="AK84" s="1465"/>
      <c r="AL84" s="1465"/>
      <c r="AM84" s="1465"/>
      <c r="AN84" s="1465"/>
      <c r="AO84" s="1465"/>
      <c r="AP84" s="1465"/>
      <c r="AQ84" s="1465"/>
      <c r="AR84" s="1465"/>
      <c r="AS84" s="1465"/>
      <c r="AT84" s="1465"/>
      <c r="AU84" s="20"/>
      <c r="AV84" s="20"/>
      <c r="AW84" s="20"/>
      <c r="AX84" s="20"/>
      <c r="AY84" s="20"/>
      <c r="AZ84" s="20"/>
      <c r="BD84" s="1177" t="s">
        <v>2498</v>
      </c>
      <c r="BE84" s="1178" t="str">
        <f>Application!O153</f>
        <v>City of National City</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Doug Schulze</v>
      </c>
    </row>
    <row r="86" spans="1:57" ht="12.95" customHeight="1">
      <c r="A86" s="1465" t="s">
        <v>2111</v>
      </c>
      <c r="B86" s="1465"/>
      <c r="C86" s="1465"/>
      <c r="D86" s="1465"/>
      <c r="E86" s="1465"/>
      <c r="F86" s="1465"/>
      <c r="G86" s="1465"/>
      <c r="H86" s="1465"/>
      <c r="I86" s="1465"/>
      <c r="J86" s="1465"/>
      <c r="K86" s="1465"/>
      <c r="L86" s="1465"/>
      <c r="M86" s="1465"/>
      <c r="N86" s="1465"/>
      <c r="O86" s="1465"/>
      <c r="P86" s="1465"/>
      <c r="Q86" s="1465"/>
      <c r="R86" s="1465"/>
      <c r="S86" s="1465"/>
      <c r="T86" s="1465"/>
      <c r="U86" s="1465"/>
      <c r="V86" s="1465"/>
      <c r="W86" s="1465"/>
      <c r="X86" s="1465"/>
      <c r="Y86" s="1465"/>
      <c r="Z86" s="1465"/>
      <c r="AA86" s="1465"/>
      <c r="AB86" s="1465"/>
      <c r="AC86" s="1465"/>
      <c r="AD86" s="1465"/>
      <c r="AE86" s="1465"/>
      <c r="AF86" s="1465"/>
      <c r="AG86" s="1465"/>
      <c r="AH86" s="1465"/>
      <c r="AI86" s="1465"/>
      <c r="AJ86" s="1465"/>
      <c r="AK86" s="1465"/>
      <c r="AL86" s="1465"/>
      <c r="AM86" s="1465"/>
      <c r="AN86" s="1465"/>
      <c r="AO86" s="1465"/>
      <c r="AP86" s="1465"/>
      <c r="AQ86" s="1465"/>
      <c r="AR86" s="1465"/>
      <c r="AS86" s="1465"/>
      <c r="AT86" s="1465"/>
      <c r="AU86" s="20"/>
      <c r="AV86" s="20"/>
      <c r="AW86" s="20"/>
      <c r="AX86" s="20"/>
      <c r="AY86" s="20"/>
      <c r="AZ86" s="20"/>
      <c r="BD86" s="1177" t="s">
        <v>2500</v>
      </c>
      <c r="BE86" s="1178" t="str">
        <f>Application!O155</f>
        <v>City Manager</v>
      </c>
    </row>
    <row r="87" spans="1:57" ht="12.95" customHeight="1">
      <c r="A87" s="1465"/>
      <c r="B87" s="1465"/>
      <c r="C87" s="1465"/>
      <c r="D87" s="1465"/>
      <c r="E87" s="1465"/>
      <c r="F87" s="1465"/>
      <c r="G87" s="1465"/>
      <c r="H87" s="1465"/>
      <c r="I87" s="1465"/>
      <c r="J87" s="1465"/>
      <c r="K87" s="1465"/>
      <c r="L87" s="1465"/>
      <c r="M87" s="1465"/>
      <c r="N87" s="1465"/>
      <c r="O87" s="1465"/>
      <c r="P87" s="1465"/>
      <c r="Q87" s="1465"/>
      <c r="R87" s="1465"/>
      <c r="S87" s="1465"/>
      <c r="T87" s="1465"/>
      <c r="U87" s="1465"/>
      <c r="V87" s="1465"/>
      <c r="W87" s="1465"/>
      <c r="X87" s="1465"/>
      <c r="Y87" s="1465"/>
      <c r="Z87" s="1465"/>
      <c r="AA87" s="1465"/>
      <c r="AB87" s="1465"/>
      <c r="AC87" s="1465"/>
      <c r="AD87" s="1465"/>
      <c r="AE87" s="1465"/>
      <c r="AF87" s="1465"/>
      <c r="AG87" s="1465"/>
      <c r="AH87" s="1465"/>
      <c r="AI87" s="1465"/>
      <c r="AJ87" s="1465"/>
      <c r="AK87" s="1465"/>
      <c r="AL87" s="1465"/>
      <c r="AM87" s="1465"/>
      <c r="AN87" s="1465"/>
      <c r="AO87" s="1465"/>
      <c r="AP87" s="1465"/>
      <c r="AQ87" s="1465"/>
      <c r="AR87" s="1465"/>
      <c r="AS87" s="1465"/>
      <c r="AT87" s="1465"/>
      <c r="AU87" s="20"/>
      <c r="AV87" s="20"/>
      <c r="AW87" s="20"/>
      <c r="AX87" s="20"/>
      <c r="AY87" s="20"/>
      <c r="AZ87" s="20"/>
      <c r="BD87" s="1176" t="s">
        <v>2501</v>
      </c>
      <c r="BE87" s="1178" t="str">
        <f>Application!O156</f>
        <v>1243 National City Boulevard</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 xml:space="preserve">National City, CA </v>
      </c>
    </row>
    <row r="89" spans="1:57" ht="12.95" customHeight="1">
      <c r="A89" s="1742" t="s">
        <v>2112</v>
      </c>
      <c r="B89" s="1742"/>
      <c r="C89" s="1742"/>
      <c r="D89" s="1742"/>
      <c r="E89" s="1742"/>
      <c r="F89" s="1742"/>
      <c r="G89" s="1742"/>
      <c r="H89" s="1742"/>
      <c r="I89" s="1742"/>
      <c r="J89" s="1742"/>
      <c r="K89" s="1742"/>
      <c r="L89" s="1742"/>
      <c r="M89" s="1742"/>
      <c r="N89" s="1742"/>
      <c r="O89" s="1742"/>
      <c r="P89" s="1742"/>
      <c r="Q89" s="1742"/>
      <c r="R89" s="1742"/>
      <c r="S89" s="1742"/>
      <c r="T89" s="1742"/>
      <c r="U89" s="1742"/>
      <c r="V89" s="1742"/>
      <c r="W89" s="1742"/>
      <c r="X89" s="1742"/>
      <c r="Y89" s="1742"/>
      <c r="Z89" s="1742"/>
      <c r="AA89" s="1742"/>
      <c r="AB89" s="1742"/>
      <c r="AC89" s="1742"/>
      <c r="AD89" s="1742"/>
      <c r="AE89" s="1742"/>
      <c r="AF89" s="1742"/>
      <c r="AG89" s="1742"/>
      <c r="AH89" s="1742"/>
      <c r="AI89" s="1742"/>
      <c r="AJ89" s="1742"/>
      <c r="AK89" s="1742"/>
      <c r="AL89" s="1742"/>
      <c r="AM89" s="1742"/>
      <c r="AN89" s="1742"/>
      <c r="AO89" s="1742"/>
      <c r="AP89" s="1742"/>
      <c r="AQ89" s="1742"/>
      <c r="AR89" s="1742"/>
      <c r="AS89" s="1742"/>
      <c r="AT89" s="1742"/>
      <c r="AU89" s="17"/>
      <c r="AV89" s="17"/>
      <c r="AW89" s="17"/>
      <c r="AX89" s="17"/>
      <c r="AY89" s="17"/>
      <c r="AZ89" s="20"/>
      <c r="BD89" s="1176" t="s">
        <v>2503</v>
      </c>
      <c r="BE89" s="1178">
        <f>Application!O158</f>
        <v>91950</v>
      </c>
    </row>
    <row r="90" spans="1:57" ht="12.95" customHeight="1">
      <c r="A90" s="1742"/>
      <c r="B90" s="1742"/>
      <c r="C90" s="1742"/>
      <c r="D90" s="1742"/>
      <c r="E90" s="1742"/>
      <c r="F90" s="1742"/>
      <c r="G90" s="1742"/>
      <c r="H90" s="1742"/>
      <c r="I90" s="1742"/>
      <c r="J90" s="1742"/>
      <c r="K90" s="1742"/>
      <c r="L90" s="1742"/>
      <c r="M90" s="1742"/>
      <c r="N90" s="1742"/>
      <c r="O90" s="1742"/>
      <c r="P90" s="1742"/>
      <c r="Q90" s="1742"/>
      <c r="R90" s="1742"/>
      <c r="S90" s="1742"/>
      <c r="T90" s="1742"/>
      <c r="U90" s="1742"/>
      <c r="V90" s="1742"/>
      <c r="W90" s="1742"/>
      <c r="X90" s="1742"/>
      <c r="Y90" s="1742"/>
      <c r="Z90" s="1742"/>
      <c r="AA90" s="1742"/>
      <c r="AB90" s="1742"/>
      <c r="AC90" s="1742"/>
      <c r="AD90" s="1742"/>
      <c r="AE90" s="1742"/>
      <c r="AF90" s="1742"/>
      <c r="AG90" s="1742"/>
      <c r="AH90" s="1742"/>
      <c r="AI90" s="1742"/>
      <c r="AJ90" s="1742"/>
      <c r="AK90" s="1742"/>
      <c r="AL90" s="1742"/>
      <c r="AM90" s="1742"/>
      <c r="AN90" s="1742"/>
      <c r="AO90" s="1742"/>
      <c r="AP90" s="1742"/>
      <c r="AQ90" s="1742"/>
      <c r="AR90" s="1742"/>
      <c r="AS90" s="1742"/>
      <c r="AT90" s="1742"/>
      <c r="AU90" s="17"/>
      <c r="AV90" s="17"/>
      <c r="AW90" s="17"/>
      <c r="AX90" s="17"/>
      <c r="AY90" s="17"/>
      <c r="AZ90" s="20"/>
      <c r="BD90" s="1177" t="s">
        <v>2504</v>
      </c>
      <c r="BE90" s="1178" t="str">
        <f>Application!H16</f>
        <v>National City Pacific Associates II,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430 E. State Street, Suite 100</v>
      </c>
    </row>
    <row r="92" spans="1:57" ht="12.95" customHeight="1">
      <c r="A92" s="1743" t="s">
        <v>2113</v>
      </c>
      <c r="B92" s="1743"/>
      <c r="C92" s="1743"/>
      <c r="D92" s="1743"/>
      <c r="E92" s="1743"/>
      <c r="F92" s="1743"/>
      <c r="G92" s="1743"/>
      <c r="H92" s="1743"/>
      <c r="I92" s="1743"/>
      <c r="J92" s="1743"/>
      <c r="K92" s="1743"/>
      <c r="L92" s="1743"/>
      <c r="M92" s="1743"/>
      <c r="N92" s="1743"/>
      <c r="O92" s="1743"/>
      <c r="P92" s="1743"/>
      <c r="Q92" s="1743"/>
      <c r="R92" s="1743"/>
      <c r="S92" s="1743"/>
      <c r="T92" s="1743"/>
      <c r="U92" s="1743"/>
      <c r="V92" s="1743"/>
      <c r="W92" s="1743"/>
      <c r="X92" s="1743"/>
      <c r="Y92" s="1743"/>
      <c r="Z92" s="1743"/>
      <c r="AA92" s="1743"/>
      <c r="AB92" s="1743"/>
      <c r="AC92" s="1743"/>
      <c r="AD92" s="1743"/>
      <c r="AE92" s="1743"/>
      <c r="AF92" s="1743"/>
      <c r="AG92" s="1743"/>
      <c r="AH92" s="1743"/>
      <c r="AI92" s="1743"/>
      <c r="AJ92" s="1743"/>
      <c r="AK92" s="1743"/>
      <c r="AL92" s="1743"/>
      <c r="AM92" s="1743"/>
      <c r="AN92" s="1743"/>
      <c r="AO92" s="1743"/>
      <c r="AP92" s="1743"/>
      <c r="AQ92" s="1743"/>
      <c r="AR92" s="1743"/>
      <c r="AS92" s="1743"/>
      <c r="AT92" s="1743"/>
      <c r="AU92" s="20"/>
      <c r="AV92" s="20"/>
      <c r="AW92" s="20"/>
      <c r="AX92" s="20"/>
      <c r="AY92" s="20"/>
      <c r="AZ92" s="20"/>
      <c r="BD92" s="1177" t="s">
        <v>2506</v>
      </c>
      <c r="BE92" s="1178" t="str">
        <f>Application!M243</f>
        <v xml:space="preserve">Eagle </v>
      </c>
    </row>
    <row r="93" spans="1:57" ht="12.95" customHeight="1">
      <c r="A93" s="1743"/>
      <c r="B93" s="1743"/>
      <c r="C93" s="1743"/>
      <c r="D93" s="1743"/>
      <c r="E93" s="1743"/>
      <c r="F93" s="1743"/>
      <c r="G93" s="1743"/>
      <c r="H93" s="1743"/>
      <c r="I93" s="1743"/>
      <c r="J93" s="1743"/>
      <c r="K93" s="1743"/>
      <c r="L93" s="1743"/>
      <c r="M93" s="1743"/>
      <c r="N93" s="1743"/>
      <c r="O93" s="1743"/>
      <c r="P93" s="1743"/>
      <c r="Q93" s="1743"/>
      <c r="R93" s="1743"/>
      <c r="S93" s="1743"/>
      <c r="T93" s="1743"/>
      <c r="U93" s="1743"/>
      <c r="V93" s="1743"/>
      <c r="W93" s="1743"/>
      <c r="X93" s="1743"/>
      <c r="Y93" s="1743"/>
      <c r="Z93" s="1743"/>
      <c r="AA93" s="1743"/>
      <c r="AB93" s="1743"/>
      <c r="AC93" s="1743"/>
      <c r="AD93" s="1743"/>
      <c r="AE93" s="1743"/>
      <c r="AF93" s="1743"/>
      <c r="AG93" s="1743"/>
      <c r="AH93" s="1743"/>
      <c r="AI93" s="1743"/>
      <c r="AJ93" s="1743"/>
      <c r="AK93" s="1743"/>
      <c r="AL93" s="1743"/>
      <c r="AM93" s="1743"/>
      <c r="AN93" s="1743"/>
      <c r="AO93" s="1743"/>
      <c r="AP93" s="1743"/>
      <c r="AQ93" s="1743"/>
      <c r="AR93" s="1743"/>
      <c r="AS93" s="1743"/>
      <c r="AT93" s="1743"/>
      <c r="AU93" s="20"/>
      <c r="AV93" s="20"/>
      <c r="AW93" s="20"/>
      <c r="AX93" s="20"/>
      <c r="AY93" s="20"/>
      <c r="AZ93" s="20"/>
      <c r="BD93" s="1176" t="s">
        <v>2507</v>
      </c>
      <c r="BE93" s="1178" t="str">
        <f>Application!W243</f>
        <v>ID</v>
      </c>
    </row>
    <row r="94" spans="1:57" ht="12.95" customHeight="1">
      <c r="A94" s="1743"/>
      <c r="B94" s="1743"/>
      <c r="C94" s="1743"/>
      <c r="D94" s="1743"/>
      <c r="E94" s="1743"/>
      <c r="F94" s="1743"/>
      <c r="G94" s="1743"/>
      <c r="H94" s="1743"/>
      <c r="I94" s="1743"/>
      <c r="J94" s="1743"/>
      <c r="K94" s="1743"/>
      <c r="L94" s="1743"/>
      <c r="M94" s="1743"/>
      <c r="N94" s="1743"/>
      <c r="O94" s="1743"/>
      <c r="P94" s="1743"/>
      <c r="Q94" s="1743"/>
      <c r="R94" s="1743"/>
      <c r="S94" s="1743"/>
      <c r="T94" s="1743"/>
      <c r="U94" s="1743"/>
      <c r="V94" s="1743"/>
      <c r="W94" s="1743"/>
      <c r="X94" s="1743"/>
      <c r="Y94" s="1743"/>
      <c r="Z94" s="1743"/>
      <c r="AA94" s="1743"/>
      <c r="AB94" s="1743"/>
      <c r="AC94" s="1743"/>
      <c r="AD94" s="1743"/>
      <c r="AE94" s="1743"/>
      <c r="AF94" s="1743"/>
      <c r="AG94" s="1743"/>
      <c r="AH94" s="1743"/>
      <c r="AI94" s="1743"/>
      <c r="AJ94" s="1743"/>
      <c r="AK94" s="1743"/>
      <c r="AL94" s="1743"/>
      <c r="AM94" s="1743"/>
      <c r="AN94" s="1743"/>
      <c r="AO94" s="1743"/>
      <c r="AP94" s="1743"/>
      <c r="AQ94" s="1743"/>
      <c r="AR94" s="1743"/>
      <c r="AS94" s="1743"/>
      <c r="AT94" s="1743"/>
      <c r="AU94" s="20"/>
      <c r="AV94" s="20"/>
      <c r="AW94" s="20"/>
      <c r="AX94" s="20"/>
      <c r="AY94" s="20"/>
      <c r="AZ94" s="20"/>
      <c r="BD94" s="1177" t="s">
        <v>2508</v>
      </c>
      <c r="BE94" s="1178">
        <f>Application!AC243</f>
        <v>83616</v>
      </c>
    </row>
    <row r="95" spans="1:57" ht="12.95" customHeight="1">
      <c r="A95" s="1743"/>
      <c r="B95" s="1743"/>
      <c r="C95" s="1743"/>
      <c r="D95" s="1743"/>
      <c r="E95" s="1743"/>
      <c r="F95" s="1743"/>
      <c r="G95" s="1743"/>
      <c r="H95" s="1743"/>
      <c r="I95" s="1743"/>
      <c r="J95" s="1743"/>
      <c r="K95" s="1743"/>
      <c r="L95" s="1743"/>
      <c r="M95" s="1743"/>
      <c r="N95" s="1743"/>
      <c r="O95" s="1743"/>
      <c r="P95" s="1743"/>
      <c r="Q95" s="1743"/>
      <c r="R95" s="1743"/>
      <c r="S95" s="1743"/>
      <c r="T95" s="1743"/>
      <c r="U95" s="1743"/>
      <c r="V95" s="1743"/>
      <c r="W95" s="1743"/>
      <c r="X95" s="1743"/>
      <c r="Y95" s="1743"/>
      <c r="Z95" s="1743"/>
      <c r="AA95" s="1743"/>
      <c r="AB95" s="1743"/>
      <c r="AC95" s="1743"/>
      <c r="AD95" s="1743"/>
      <c r="AE95" s="1743"/>
      <c r="AF95" s="1743"/>
      <c r="AG95" s="1743"/>
      <c r="AH95" s="1743"/>
      <c r="AI95" s="1743"/>
      <c r="AJ95" s="1743"/>
      <c r="AK95" s="1743"/>
      <c r="AL95" s="1743"/>
      <c r="AM95" s="1743"/>
      <c r="AN95" s="1743"/>
      <c r="AO95" s="1743"/>
      <c r="AP95" s="1743"/>
      <c r="AQ95" s="1743"/>
      <c r="AR95" s="1743"/>
      <c r="AS95" s="1743"/>
      <c r="AT95" s="1743"/>
      <c r="AU95" s="20"/>
      <c r="AV95" s="20"/>
      <c r="AW95" s="20"/>
      <c r="AX95" s="20"/>
      <c r="AY95" s="20"/>
      <c r="AZ95" s="20"/>
      <c r="BD95" s="1176" t="s">
        <v>2509</v>
      </c>
      <c r="BE95" s="1178" t="str">
        <f>Application!M244</f>
        <v xml:space="preserve">Claire Casazza </v>
      </c>
    </row>
    <row r="96" spans="1:57" ht="12.95" customHeight="1">
      <c r="A96" s="1743"/>
      <c r="B96" s="1743"/>
      <c r="C96" s="1743"/>
      <c r="D96" s="1743"/>
      <c r="E96" s="1743"/>
      <c r="F96" s="1743"/>
      <c r="G96" s="1743"/>
      <c r="H96" s="1743"/>
      <c r="I96" s="1743"/>
      <c r="J96" s="1743"/>
      <c r="K96" s="1743"/>
      <c r="L96" s="1743"/>
      <c r="M96" s="1743"/>
      <c r="N96" s="1743"/>
      <c r="O96" s="1743"/>
      <c r="P96" s="1743"/>
      <c r="Q96" s="1743"/>
      <c r="R96" s="1743"/>
      <c r="S96" s="1743"/>
      <c r="T96" s="1743"/>
      <c r="U96" s="1743"/>
      <c r="V96" s="1743"/>
      <c r="W96" s="1743"/>
      <c r="X96" s="1743"/>
      <c r="Y96" s="1743"/>
      <c r="Z96" s="1743"/>
      <c r="AA96" s="1743"/>
      <c r="AB96" s="1743"/>
      <c r="AC96" s="1743"/>
      <c r="AD96" s="1743"/>
      <c r="AE96" s="1743"/>
      <c r="AF96" s="1743"/>
      <c r="AG96" s="1743"/>
      <c r="AH96" s="1743"/>
      <c r="AI96" s="1743"/>
      <c r="AJ96" s="1743"/>
      <c r="AK96" s="1743"/>
      <c r="AL96" s="1743"/>
      <c r="AM96" s="1743"/>
      <c r="AN96" s="1743"/>
      <c r="AO96" s="1743"/>
      <c r="AP96" s="1743"/>
      <c r="AQ96" s="1743"/>
      <c r="AR96" s="1743"/>
      <c r="AS96" s="1743"/>
      <c r="AT96" s="1743"/>
      <c r="AU96" s="20"/>
      <c r="AV96" s="20"/>
      <c r="AW96" s="20"/>
      <c r="AX96" s="20"/>
      <c r="AY96" s="20"/>
      <c r="AZ96" s="20"/>
      <c r="BD96" s="1177" t="s">
        <v>2510</v>
      </c>
      <c r="BE96" s="1178" t="str">
        <f>Application!M246</f>
        <v>clairec@tpchousing.com</v>
      </c>
    </row>
    <row r="97" spans="1:57" ht="12.95" customHeight="1">
      <c r="A97" s="1743"/>
      <c r="B97" s="1743"/>
      <c r="C97" s="1743"/>
      <c r="D97" s="1743"/>
      <c r="E97" s="1743"/>
      <c r="F97" s="1743"/>
      <c r="G97" s="1743"/>
      <c r="H97" s="1743"/>
      <c r="I97" s="1743"/>
      <c r="J97" s="1743"/>
      <c r="K97" s="1743"/>
      <c r="L97" s="1743"/>
      <c r="M97" s="1743"/>
      <c r="N97" s="1743"/>
      <c r="O97" s="1743"/>
      <c r="P97" s="1743"/>
      <c r="Q97" s="1743"/>
      <c r="R97" s="1743"/>
      <c r="S97" s="1743"/>
      <c r="T97" s="1743"/>
      <c r="U97" s="1743"/>
      <c r="V97" s="1743"/>
      <c r="W97" s="1743"/>
      <c r="X97" s="1743"/>
      <c r="Y97" s="1743"/>
      <c r="Z97" s="1743"/>
      <c r="AA97" s="1743"/>
      <c r="AB97" s="1743"/>
      <c r="AC97" s="1743"/>
      <c r="AD97" s="1743"/>
      <c r="AE97" s="1743"/>
      <c r="AF97" s="1743"/>
      <c r="AG97" s="1743"/>
      <c r="AH97" s="1743"/>
      <c r="AI97" s="1743"/>
      <c r="AJ97" s="1743"/>
      <c r="AK97" s="1743"/>
      <c r="AL97" s="1743"/>
      <c r="AM97" s="1743"/>
      <c r="AN97" s="1743"/>
      <c r="AO97" s="1743"/>
      <c r="AP97" s="1743"/>
      <c r="AQ97" s="1743"/>
      <c r="AR97" s="1743"/>
      <c r="AS97" s="1743"/>
      <c r="AT97" s="1743"/>
      <c r="AU97" s="20"/>
      <c r="AV97" s="20"/>
      <c r="AW97" s="20"/>
      <c r="AX97" s="20"/>
      <c r="AY97" s="20"/>
      <c r="AZ97" s="20"/>
      <c r="BD97" s="1176" t="s">
        <v>2511</v>
      </c>
      <c r="BE97" s="1178" t="str">
        <f>Application!M257</f>
        <v>chris@centralvalleycoalition.com</v>
      </c>
    </row>
    <row r="98" spans="1:57" ht="12.95" customHeight="1">
      <c r="A98" s="1743"/>
      <c r="B98" s="1743"/>
      <c r="C98" s="1743"/>
      <c r="D98" s="1743"/>
      <c r="E98" s="1743"/>
      <c r="F98" s="1743"/>
      <c r="G98" s="1743"/>
      <c r="H98" s="1743"/>
      <c r="I98" s="1743"/>
      <c r="J98" s="1743"/>
      <c r="K98" s="1743"/>
      <c r="L98" s="1743"/>
      <c r="M98" s="1743"/>
      <c r="N98" s="1743"/>
      <c r="O98" s="1743"/>
      <c r="P98" s="1743"/>
      <c r="Q98" s="1743"/>
      <c r="R98" s="1743"/>
      <c r="S98" s="1743"/>
      <c r="T98" s="1743"/>
      <c r="U98" s="1743"/>
      <c r="V98" s="1743"/>
      <c r="W98" s="1743"/>
      <c r="X98" s="1743"/>
      <c r="Y98" s="1743"/>
      <c r="Z98" s="1743"/>
      <c r="AA98" s="1743"/>
      <c r="AB98" s="1743"/>
      <c r="AC98" s="1743"/>
      <c r="AD98" s="1743"/>
      <c r="AE98" s="1743"/>
      <c r="AF98" s="1743"/>
      <c r="AG98" s="1743"/>
      <c r="AH98" s="1743"/>
      <c r="AI98" s="1743"/>
      <c r="AJ98" s="1743"/>
      <c r="AK98" s="1743"/>
      <c r="AL98" s="1743"/>
      <c r="AM98" s="1743"/>
      <c r="AN98" s="1743"/>
      <c r="AO98" s="1743"/>
      <c r="AP98" s="1743"/>
      <c r="AQ98" s="1743"/>
      <c r="AR98" s="1743"/>
      <c r="AS98" s="1743"/>
      <c r="AT98" s="1743"/>
      <c r="AU98" s="20"/>
      <c r="AV98" s="20"/>
      <c r="AW98" s="20"/>
      <c r="AX98" s="20"/>
      <c r="AY98" s="20"/>
      <c r="AZ98" s="20"/>
      <c r="BD98" s="1177" t="s">
        <v>2512</v>
      </c>
      <c r="BE98" s="1178" t="str">
        <f>Application!M265</f>
        <v>calebr@tpchousing.com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744" t="s">
        <v>2114</v>
      </c>
      <c r="B100" s="1744"/>
      <c r="C100" s="1744"/>
      <c r="D100" s="1744"/>
      <c r="E100" s="1744"/>
      <c r="F100" s="1744"/>
      <c r="G100" s="1744"/>
      <c r="H100" s="1744"/>
      <c r="I100" s="1744"/>
      <c r="J100" s="1744"/>
      <c r="K100" s="1744"/>
      <c r="L100" s="1744"/>
      <c r="M100" s="1744"/>
      <c r="N100" s="1744"/>
      <c r="O100" s="1744"/>
      <c r="P100" s="1744"/>
      <c r="Q100" s="1744"/>
      <c r="R100" s="1744"/>
      <c r="S100" s="1744"/>
      <c r="T100" s="1744"/>
      <c r="U100" s="1744"/>
      <c r="V100" s="1744"/>
      <c r="W100" s="1744"/>
      <c r="X100" s="1744"/>
      <c r="Y100" s="1744"/>
      <c r="Z100" s="1744"/>
      <c r="AA100" s="1744"/>
      <c r="AB100" s="1744"/>
      <c r="AC100" s="1744"/>
      <c r="AD100" s="1744"/>
      <c r="AE100" s="1744"/>
      <c r="AF100" s="1744"/>
      <c r="AG100" s="1744"/>
      <c r="AH100" s="1744"/>
      <c r="AI100" s="1744"/>
      <c r="AJ100" s="1744"/>
      <c r="AK100" s="1744"/>
      <c r="AL100" s="1744"/>
      <c r="AM100" s="1744"/>
      <c r="AN100" s="1744"/>
      <c r="AO100" s="1744"/>
      <c r="AP100" s="1744"/>
      <c r="AQ100" s="1744"/>
      <c r="AR100" s="1744"/>
      <c r="AS100" s="1744"/>
      <c r="AT100" s="1744"/>
      <c r="AU100" s="20"/>
      <c r="AV100" s="20"/>
      <c r="AW100" s="20"/>
      <c r="AX100" s="20"/>
      <c r="AY100" s="20"/>
      <c r="AZ100" s="20"/>
      <c r="BD100" s="1177" t="s">
        <v>2514</v>
      </c>
      <c r="BE100" s="1178" t="str">
        <f>Application!L288</f>
        <v>sstrain@sabelhauslaw.com</v>
      </c>
    </row>
    <row r="101" spans="1:57" ht="12.95" customHeight="1">
      <c r="A101" s="1744"/>
      <c r="B101" s="1744"/>
      <c r="C101" s="1744"/>
      <c r="D101" s="1744"/>
      <c r="E101" s="1744"/>
      <c r="F101" s="1744"/>
      <c r="G101" s="1744"/>
      <c r="H101" s="1744"/>
      <c r="I101" s="1744"/>
      <c r="J101" s="1744"/>
      <c r="K101" s="1744"/>
      <c r="L101" s="1744"/>
      <c r="M101" s="1744"/>
      <c r="N101" s="1744"/>
      <c r="O101" s="1744"/>
      <c r="P101" s="1744"/>
      <c r="Q101" s="1744"/>
      <c r="R101" s="1744"/>
      <c r="S101" s="1744"/>
      <c r="T101" s="1744"/>
      <c r="U101" s="1744"/>
      <c r="V101" s="1744"/>
      <c r="W101" s="1744"/>
      <c r="X101" s="1744"/>
      <c r="Y101" s="1744"/>
      <c r="Z101" s="1744"/>
      <c r="AA101" s="1744"/>
      <c r="AB101" s="1744"/>
      <c r="AC101" s="1744"/>
      <c r="AD101" s="1744"/>
      <c r="AE101" s="1744"/>
      <c r="AF101" s="1744"/>
      <c r="AG101" s="1744"/>
      <c r="AH101" s="1744"/>
      <c r="AI101" s="1744"/>
      <c r="AJ101" s="1744"/>
      <c r="AK101" s="1744"/>
      <c r="AL101" s="1744"/>
      <c r="AM101" s="1744"/>
      <c r="AN101" s="1744"/>
      <c r="AO101" s="1744"/>
      <c r="AP101" s="1744"/>
      <c r="AQ101" s="1744"/>
      <c r="AR101" s="1744"/>
      <c r="AS101" s="1744"/>
      <c r="AT101" s="1744"/>
      <c r="AU101" s="20"/>
      <c r="AV101" s="20"/>
      <c r="AW101" s="20"/>
      <c r="AX101" s="20"/>
      <c r="AY101" s="20"/>
      <c r="AZ101" s="20"/>
      <c r="BD101" s="3" t="s">
        <v>2519</v>
      </c>
      <c r="BE101">
        <f>'Sources and Uses Budget'!C105</f>
        <v>55906573</v>
      </c>
    </row>
    <row r="102" spans="1:57" ht="12.95" customHeight="1">
      <c r="A102" s="1744"/>
      <c r="B102" s="1744"/>
      <c r="C102" s="1744"/>
      <c r="D102" s="1744"/>
      <c r="E102" s="1744"/>
      <c r="F102" s="1744"/>
      <c r="G102" s="1744"/>
      <c r="H102" s="1744"/>
      <c r="I102" s="1744"/>
      <c r="J102" s="1744"/>
      <c r="K102" s="1744"/>
      <c r="L102" s="1744"/>
      <c r="M102" s="1744"/>
      <c r="N102" s="1744"/>
      <c r="O102" s="1744"/>
      <c r="P102" s="1744"/>
      <c r="Q102" s="1744"/>
      <c r="R102" s="1744"/>
      <c r="S102" s="1744"/>
      <c r="T102" s="1744"/>
      <c r="U102" s="1744"/>
      <c r="V102" s="1744"/>
      <c r="W102" s="1744"/>
      <c r="X102" s="1744"/>
      <c r="Y102" s="1744"/>
      <c r="Z102" s="1744"/>
      <c r="AA102" s="1744"/>
      <c r="AB102" s="1744"/>
      <c r="AC102" s="1744"/>
      <c r="AD102" s="1744"/>
      <c r="AE102" s="1744"/>
      <c r="AF102" s="1744"/>
      <c r="AG102" s="1744"/>
      <c r="AH102" s="1744"/>
      <c r="AI102" s="1744"/>
      <c r="AJ102" s="1744"/>
      <c r="AK102" s="1744"/>
      <c r="AL102" s="1744"/>
      <c r="AM102" s="1744"/>
      <c r="AN102" s="1744"/>
      <c r="AO102" s="1744"/>
      <c r="AP102" s="1744"/>
      <c r="AQ102" s="1744"/>
      <c r="AR102" s="1744"/>
      <c r="AS102" s="1744"/>
      <c r="AT102" s="1744"/>
      <c r="AU102" s="20"/>
      <c r="AV102" s="20"/>
      <c r="AW102" s="20"/>
      <c r="AX102" s="20"/>
      <c r="AY102" s="20"/>
      <c r="AZ102" s="20"/>
      <c r="BD102" s="3" t="s">
        <v>2520</v>
      </c>
      <c r="BE102" t="b">
        <f>T197="Yes"</f>
        <v>0</v>
      </c>
    </row>
    <row r="103" spans="1:57" ht="12.95" customHeight="1">
      <c r="A103" s="1744"/>
      <c r="B103" s="1744"/>
      <c r="C103" s="1744"/>
      <c r="D103" s="1744"/>
      <c r="E103" s="1744"/>
      <c r="F103" s="1744"/>
      <c r="G103" s="1744"/>
      <c r="H103" s="1744"/>
      <c r="I103" s="1744"/>
      <c r="J103" s="1744"/>
      <c r="K103" s="1744"/>
      <c r="L103" s="1744"/>
      <c r="M103" s="1744"/>
      <c r="N103" s="1744"/>
      <c r="O103" s="1744"/>
      <c r="P103" s="1744"/>
      <c r="Q103" s="1744"/>
      <c r="R103" s="1744"/>
      <c r="S103" s="1744"/>
      <c r="T103" s="1744"/>
      <c r="U103" s="1744"/>
      <c r="V103" s="1744"/>
      <c r="W103" s="1744"/>
      <c r="X103" s="1744"/>
      <c r="Y103" s="1744"/>
      <c r="Z103" s="1744"/>
      <c r="AA103" s="1744"/>
      <c r="AB103" s="1744"/>
      <c r="AC103" s="1744"/>
      <c r="AD103" s="1744"/>
      <c r="AE103" s="1744"/>
      <c r="AF103" s="1744"/>
      <c r="AG103" s="1744"/>
      <c r="AH103" s="1744"/>
      <c r="AI103" s="1744"/>
      <c r="AJ103" s="1744"/>
      <c r="AK103" s="1744"/>
      <c r="AL103" s="1744"/>
      <c r="AM103" s="1744"/>
      <c r="AN103" s="1744"/>
      <c r="AO103" s="1744"/>
      <c r="AP103" s="1744"/>
      <c r="AQ103" s="1744"/>
      <c r="AR103" s="1744"/>
      <c r="AS103" s="1744"/>
      <c r="AT103" s="1744"/>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744" t="s">
        <v>2115</v>
      </c>
      <c r="B105" s="1744"/>
      <c r="C105" s="1744"/>
      <c r="D105" s="1744"/>
      <c r="E105" s="1744"/>
      <c r="F105" s="1744"/>
      <c r="G105" s="1744"/>
      <c r="H105" s="1744"/>
      <c r="I105" s="1744"/>
      <c r="J105" s="1744"/>
      <c r="K105" s="1744"/>
      <c r="L105" s="1744"/>
      <c r="M105" s="1744"/>
      <c r="N105" s="1744"/>
      <c r="O105" s="1744"/>
      <c r="P105" s="1744"/>
      <c r="Q105" s="1744"/>
      <c r="R105" s="1744"/>
      <c r="S105" s="1744"/>
      <c r="T105" s="1744"/>
      <c r="U105" s="1744"/>
      <c r="V105" s="1744"/>
      <c r="W105" s="1744"/>
      <c r="X105" s="1744"/>
      <c r="Y105" s="1744"/>
      <c r="Z105" s="1744"/>
      <c r="AA105" s="1744"/>
      <c r="AB105" s="1744"/>
      <c r="AC105" s="1744"/>
      <c r="AD105" s="1744"/>
      <c r="AE105" s="1744"/>
      <c r="AF105" s="1744"/>
      <c r="AG105" s="1744"/>
      <c r="AH105" s="1744"/>
      <c r="AI105" s="1744"/>
      <c r="AJ105" s="1744"/>
      <c r="AK105" s="1744"/>
      <c r="AL105" s="1744"/>
      <c r="AM105" s="1744"/>
      <c r="AN105" s="1744"/>
      <c r="AO105" s="1744"/>
      <c r="AP105" s="1744"/>
      <c r="AQ105" s="1744"/>
      <c r="AR105" s="1744"/>
      <c r="AS105" s="1744"/>
      <c r="AT105" s="1744"/>
      <c r="AU105" s="20"/>
      <c r="AV105" s="20"/>
      <c r="AW105" s="20"/>
      <c r="AX105" s="20"/>
      <c r="AY105" s="20"/>
      <c r="BD105" s="3" t="s">
        <v>2533</v>
      </c>
      <c r="BE105" s="1178" t="b">
        <f t="shared" ref="BE105:BE110" si="0">V224="Yes"</f>
        <v>0</v>
      </c>
    </row>
    <row r="106" spans="1:57" ht="12.95" customHeight="1">
      <c r="A106" s="1744"/>
      <c r="B106" s="1744"/>
      <c r="C106" s="1744"/>
      <c r="D106" s="1744"/>
      <c r="E106" s="1744"/>
      <c r="F106" s="1744"/>
      <c r="G106" s="1744"/>
      <c r="H106" s="1744"/>
      <c r="I106" s="1744"/>
      <c r="J106" s="1744"/>
      <c r="K106" s="1744"/>
      <c r="L106" s="1744"/>
      <c r="M106" s="1744"/>
      <c r="N106" s="1744"/>
      <c r="O106" s="1744"/>
      <c r="P106" s="1744"/>
      <c r="Q106" s="1744"/>
      <c r="R106" s="1744"/>
      <c r="S106" s="1744"/>
      <c r="T106" s="1744"/>
      <c r="U106" s="1744"/>
      <c r="V106" s="1744"/>
      <c r="W106" s="1744"/>
      <c r="X106" s="1744"/>
      <c r="Y106" s="1744"/>
      <c r="Z106" s="1744"/>
      <c r="AA106" s="1744"/>
      <c r="AB106" s="1744"/>
      <c r="AC106" s="1744"/>
      <c r="AD106" s="1744"/>
      <c r="AE106" s="1744"/>
      <c r="AF106" s="1744"/>
      <c r="AG106" s="1744"/>
      <c r="AH106" s="1744"/>
      <c r="AI106" s="1744"/>
      <c r="AJ106" s="1744"/>
      <c r="AK106" s="1744"/>
      <c r="AL106" s="1744"/>
      <c r="AM106" s="1744"/>
      <c r="AN106" s="1744"/>
      <c r="AO106" s="1744"/>
      <c r="AP106" s="1744"/>
      <c r="AQ106" s="1744"/>
      <c r="AR106" s="1744"/>
      <c r="AS106" s="1744"/>
      <c r="AT106" s="1744"/>
      <c r="AU106" s="20"/>
      <c r="AV106" s="20"/>
      <c r="AW106" s="20"/>
      <c r="AX106" s="20"/>
      <c r="AY106" s="20"/>
      <c r="BD106" s="3" t="s">
        <v>2534</v>
      </c>
      <c r="BE106" s="1178" t="b">
        <f t="shared" si="0"/>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736"/>
      <c r="H113" s="1736"/>
      <c r="I113" s="3" t="s">
        <v>182</v>
      </c>
      <c r="L113" s="1736"/>
      <c r="M113" s="1736"/>
      <c r="N113" s="1736"/>
      <c r="O113" s="1736"/>
      <c r="P113" s="1737" t="s">
        <v>2600</v>
      </c>
      <c r="Q113" s="1737"/>
      <c r="R113" s="1737"/>
      <c r="S113" s="173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753"/>
      <c r="D115" s="1753"/>
      <c r="E115" s="1753"/>
      <c r="F115" s="1753"/>
      <c r="G115" s="1753"/>
      <c r="H115" s="1753"/>
      <c r="I115" s="1753"/>
      <c r="J115" s="1753"/>
      <c r="K115" s="1753"/>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736"/>
      <c r="Z117" s="1736"/>
      <c r="AA117" s="1736"/>
      <c r="AB117" s="1736"/>
      <c r="AC117" s="1736"/>
      <c r="AD117" s="1736"/>
      <c r="AE117" s="1736"/>
      <c r="AF117" s="1736"/>
      <c r="AG117" s="1736"/>
      <c r="AH117" s="1736"/>
      <c r="AI117" s="1736"/>
      <c r="AJ117" s="1736"/>
      <c r="AK117" s="1736"/>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736"/>
      <c r="Z120" s="1736"/>
      <c r="AA120" s="1736"/>
      <c r="AB120" s="1736"/>
      <c r="AC120" s="1736"/>
      <c r="AD120" s="1736"/>
      <c r="AE120" s="1736"/>
      <c r="AF120" s="1736"/>
      <c r="AG120" s="1736"/>
      <c r="AH120" s="1736"/>
      <c r="AI120" s="1736"/>
      <c r="AJ120" s="1736"/>
      <c r="AK120" s="1736"/>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42" t="s">
        <v>469</v>
      </c>
      <c r="CV122" s="1643"/>
      <c r="CW122" s="14"/>
      <c r="CX122" s="14" t="s">
        <v>634</v>
      </c>
      <c r="CY122" s="14"/>
      <c r="CZ122" s="14"/>
      <c r="DA122" s="14"/>
      <c r="DB122" s="14"/>
      <c r="DC122" s="14"/>
      <c r="DD122" s="14"/>
      <c r="DE122" s="14"/>
      <c r="DF122" s="14"/>
      <c r="DG122" s="1639" t="str">
        <f>T189</f>
        <v>San Diego</v>
      </c>
      <c r="DH122" s="1640"/>
      <c r="DI122" s="1640"/>
      <c r="DJ122" s="1640"/>
      <c r="DK122" s="1640"/>
      <c r="DL122" s="1640"/>
      <c r="DM122" s="1641"/>
    </row>
    <row r="123" spans="1:117" ht="12.95" customHeight="1">
      <c r="A123" s="3"/>
      <c r="B123" s="3"/>
      <c r="T123" s="3"/>
      <c r="U123" s="3"/>
      <c r="V123" s="3"/>
      <c r="W123" s="3"/>
      <c r="X123" s="3"/>
      <c r="Y123" s="1736"/>
      <c r="Z123" s="1736"/>
      <c r="AA123" s="1736"/>
      <c r="AB123" s="1736"/>
      <c r="AC123" s="1736"/>
      <c r="AD123" s="1736"/>
      <c r="AE123" s="1736"/>
      <c r="AF123" s="1736"/>
      <c r="AG123" s="1736"/>
      <c r="AH123" s="1736"/>
      <c r="AI123" s="1736"/>
      <c r="AJ123" s="1736"/>
      <c r="AK123" s="1736"/>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313"/>
      <c r="G150" s="1313"/>
      <c r="H150" s="1313"/>
      <c r="I150" s="1313"/>
      <c r="J150" s="1313"/>
      <c r="K150" s="1313"/>
      <c r="L150" s="1313"/>
      <c r="M150" s="1313"/>
      <c r="N150" s="1313"/>
      <c r="O150" s="1313"/>
      <c r="P150" s="1313"/>
      <c r="Q150" s="1313"/>
      <c r="R150" s="1313"/>
      <c r="S150" s="1313"/>
      <c r="T150" s="131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467" t="s">
        <v>2692</v>
      </c>
      <c r="P153" s="1468"/>
      <c r="Q153" s="1468"/>
      <c r="R153" s="1468"/>
      <c r="S153" s="1468"/>
      <c r="T153" s="1468"/>
      <c r="U153" s="1468"/>
      <c r="V153" s="1468"/>
      <c r="W153" s="1468"/>
      <c r="X153" s="1468"/>
      <c r="Y153" s="1468"/>
      <c r="Z153" s="1468"/>
      <c r="AA153" s="1468"/>
      <c r="AB153" s="1468"/>
      <c r="AC153" s="1468"/>
      <c r="AD153" s="1468"/>
      <c r="AE153" s="1468"/>
      <c r="AF153" s="1468"/>
      <c r="AG153" s="1468"/>
      <c r="AH153" s="1468"/>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335" t="s">
        <v>2693</v>
      </c>
      <c r="P154" s="1406"/>
      <c r="Q154" s="1406"/>
      <c r="R154" s="1406"/>
      <c r="S154" s="1406"/>
      <c r="T154" s="1406"/>
      <c r="U154" s="1406"/>
      <c r="V154" s="1406"/>
      <c r="W154" s="1406"/>
      <c r="X154" s="1406"/>
      <c r="Y154" s="1406"/>
      <c r="Z154" s="1406"/>
      <c r="AA154" s="1406"/>
      <c r="AB154" s="1406"/>
      <c r="AC154" s="1406"/>
      <c r="AD154" s="1406"/>
      <c r="AE154" s="1406"/>
      <c r="AF154" s="1406"/>
      <c r="AG154" s="1406"/>
      <c r="AH154" s="1406"/>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758" t="s">
        <v>440</v>
      </c>
      <c r="P155" s="1758"/>
      <c r="Q155" s="1758"/>
      <c r="R155" s="1758"/>
      <c r="S155" s="1758"/>
      <c r="T155" s="1758"/>
      <c r="U155" s="1758"/>
      <c r="V155" s="1758"/>
      <c r="W155" s="1758"/>
      <c r="X155" s="1758"/>
      <c r="Y155" s="1758"/>
      <c r="Z155" s="1758"/>
      <c r="AA155" s="1758"/>
      <c r="AB155" s="1758"/>
      <c r="AC155" s="1758"/>
      <c r="AD155" s="1758"/>
      <c r="AE155" s="1758"/>
      <c r="AF155" s="1758"/>
      <c r="AG155" s="1758"/>
      <c r="AH155" s="1758"/>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428" t="s">
        <v>2694</v>
      </c>
      <c r="P156" s="1428"/>
      <c r="Q156" s="1428"/>
      <c r="R156" s="1428"/>
      <c r="S156" s="1428"/>
      <c r="T156" s="1428"/>
      <c r="U156" s="1428"/>
      <c r="V156" s="1428"/>
      <c r="W156" s="1428"/>
      <c r="X156" s="1428"/>
      <c r="Y156" s="1428"/>
      <c r="Z156" s="1428"/>
      <c r="AA156" s="1428"/>
      <c r="AB156" s="1428"/>
      <c r="AC156" s="1428"/>
      <c r="AD156" s="1428"/>
      <c r="AE156" s="1428"/>
      <c r="AF156" s="1428"/>
      <c r="AG156" s="1428"/>
      <c r="AH156" s="1428"/>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467" t="s">
        <v>2695</v>
      </c>
      <c r="P157" s="1468"/>
      <c r="Q157" s="1468"/>
      <c r="R157" s="1468"/>
      <c r="S157" s="1468"/>
      <c r="T157" s="1468"/>
      <c r="U157" s="1468"/>
      <c r="V157" s="1468"/>
      <c r="W157" s="1468"/>
      <c r="X157" s="1468"/>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747">
        <v>91950</v>
      </c>
      <c r="P158" s="1747"/>
      <c r="Q158" s="1747"/>
      <c r="R158" s="1747"/>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730" t="s">
        <v>2696</v>
      </c>
      <c r="P159" s="1730"/>
      <c r="Q159" s="1730"/>
      <c r="R159" s="1730"/>
      <c r="S159" s="1730"/>
      <c r="T159" s="1730"/>
      <c r="V159" s="97" t="s">
        <v>271</v>
      </c>
      <c r="W159" s="1748"/>
      <c r="X159" s="1748"/>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730"/>
      <c r="P160" s="1730"/>
      <c r="Q160" s="1730"/>
      <c r="R160" s="1730"/>
      <c r="S160" s="1730"/>
      <c r="T160" s="1730"/>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734" t="s">
        <v>2697</v>
      </c>
      <c r="P161" s="1734"/>
      <c r="Q161" s="1734"/>
      <c r="R161" s="1734"/>
      <c r="S161" s="1734"/>
      <c r="T161" s="1734"/>
      <c r="U161" s="1734"/>
      <c r="V161" s="1734"/>
      <c r="W161" s="1734"/>
      <c r="X161" s="1734"/>
      <c r="Y161" s="1734"/>
      <c r="Z161" s="1734"/>
      <c r="AA161" s="1734"/>
      <c r="AB161" s="1734"/>
      <c r="AC161" s="1734"/>
      <c r="AD161" s="1734"/>
      <c r="AE161" s="1734"/>
      <c r="AF161" s="1734"/>
      <c r="AG161" s="1734"/>
      <c r="AH161" s="1734"/>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754" t="s">
        <v>2165</v>
      </c>
      <c r="E164" s="1754"/>
      <c r="F164" s="1754"/>
      <c r="G164" s="1754"/>
      <c r="H164" s="1754"/>
      <c r="I164" s="1754"/>
      <c r="J164" s="1754"/>
      <c r="K164" s="1754"/>
      <c r="L164" s="1754"/>
      <c r="M164" s="1754"/>
      <c r="N164" s="1754"/>
      <c r="O164" s="1754"/>
      <c r="P164" s="1754"/>
      <c r="Q164" s="1754"/>
      <c r="R164" s="1754"/>
      <c r="S164" s="1754"/>
      <c r="T164" s="1754"/>
      <c r="U164" s="1754"/>
      <c r="V164" s="1754"/>
      <c r="W164" s="1754"/>
      <c r="X164" s="1754"/>
      <c r="Y164" s="1754"/>
      <c r="Z164" s="1754"/>
      <c r="AA164" s="1754"/>
      <c r="AB164" s="1754"/>
      <c r="AC164" s="1754"/>
      <c r="AD164" s="1754"/>
      <c r="AE164" s="1754"/>
      <c r="AF164" s="1754"/>
      <c r="AG164" s="1754"/>
      <c r="AH164" s="1754"/>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486" t="s">
        <v>539</v>
      </c>
      <c r="B169" s="1486"/>
      <c r="C169" s="1486"/>
      <c r="D169" s="1486"/>
      <c r="E169" s="1486"/>
      <c r="F169" s="1486"/>
      <c r="G169" s="1486"/>
      <c r="H169" s="1486"/>
      <c r="I169" s="1486"/>
      <c r="J169" s="1486"/>
      <c r="K169" s="1486"/>
      <c r="L169" s="1486"/>
      <c r="M169" s="1486"/>
      <c r="N169" s="1486"/>
      <c r="O169" s="1486"/>
      <c r="P169" s="1486"/>
      <c r="Q169" s="1486"/>
      <c r="R169" s="1486"/>
      <c r="S169" s="1486"/>
      <c r="T169" s="1486"/>
      <c r="U169" s="1486"/>
      <c r="V169" s="1486"/>
      <c r="W169" s="1486"/>
      <c r="X169" s="1486"/>
      <c r="Y169" s="1486"/>
      <c r="Z169" s="1486"/>
      <c r="AA169" s="1486"/>
      <c r="AB169" s="1486"/>
      <c r="AC169" s="1486"/>
      <c r="AD169" s="1486"/>
      <c r="AE169" s="1486"/>
      <c r="AF169" s="1486"/>
      <c r="AG169" s="1486"/>
      <c r="AH169" s="1486"/>
      <c r="AI169" s="1486"/>
      <c r="AJ169" s="1486"/>
      <c r="AK169" s="1486"/>
      <c r="AL169" s="1486"/>
      <c r="AM169" s="1486"/>
      <c r="AN169" s="1486"/>
      <c r="AO169" s="1486"/>
      <c r="AP169" s="1486"/>
      <c r="AQ169" s="1486"/>
      <c r="AR169" s="1486"/>
      <c r="AS169" s="1486"/>
      <c r="AT169" s="1486"/>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486"/>
      <c r="B170" s="1486"/>
      <c r="C170" s="1486"/>
      <c r="D170" s="1486"/>
      <c r="E170" s="1486"/>
      <c r="F170" s="1486"/>
      <c r="G170" s="1486"/>
      <c r="H170" s="1486"/>
      <c r="I170" s="1486"/>
      <c r="J170" s="1486"/>
      <c r="K170" s="1486"/>
      <c r="L170" s="1486"/>
      <c r="M170" s="1486"/>
      <c r="N170" s="1486"/>
      <c r="O170" s="1486"/>
      <c r="P170" s="1486"/>
      <c r="Q170" s="1486"/>
      <c r="R170" s="1486"/>
      <c r="S170" s="1486"/>
      <c r="T170" s="1486"/>
      <c r="U170" s="1486"/>
      <c r="V170" s="1486"/>
      <c r="W170" s="1486"/>
      <c r="X170" s="1486"/>
      <c r="Y170" s="1486"/>
      <c r="Z170" s="1486"/>
      <c r="AA170" s="1486"/>
      <c r="AB170" s="1486"/>
      <c r="AC170" s="1486"/>
      <c r="AD170" s="1486"/>
      <c r="AE170" s="1486"/>
      <c r="AF170" s="1486"/>
      <c r="AG170" s="1486"/>
      <c r="AH170" s="1486"/>
      <c r="AI170" s="1486"/>
      <c r="AJ170" s="1486"/>
      <c r="AK170" s="1486"/>
      <c r="AL170" s="1486"/>
      <c r="AM170" s="1486"/>
      <c r="AN170" s="1486"/>
      <c r="AO170" s="1486"/>
      <c r="AP170" s="1486"/>
      <c r="AQ170" s="1486"/>
      <c r="AR170" s="1486"/>
      <c r="AS170" s="1486"/>
      <c r="AT170" s="1486"/>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757" t="s">
        <v>371</v>
      </c>
      <c r="K173" s="1757"/>
      <c r="L173" s="1757"/>
      <c r="M173" s="1757"/>
      <c r="N173" s="1757"/>
      <c r="O173" s="1757"/>
      <c r="P173" s="1757"/>
      <c r="Q173" s="1757"/>
      <c r="R173" s="1757"/>
      <c r="S173" s="1757"/>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428" t="s">
        <v>2051</v>
      </c>
      <c r="K174" s="1428"/>
      <c r="L174" s="1428"/>
      <c r="M174" s="1428"/>
      <c r="N174" s="1428"/>
      <c r="O174" s="1428"/>
      <c r="P174" s="1428"/>
      <c r="Q174" s="1428"/>
      <c r="R174" s="1428"/>
      <c r="S174" s="1428"/>
      <c r="T174" s="1428"/>
      <c r="U174" s="1428"/>
      <c r="V174" s="1428"/>
      <c r="W174" s="1428"/>
      <c r="X174" s="1428"/>
      <c r="Y174" s="1428"/>
      <c r="Z174" s="1428"/>
      <c r="AA174" s="1428"/>
      <c r="AB174" s="1428"/>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285" t="s">
        <v>669</v>
      </c>
      <c r="V175" s="1285"/>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447"/>
      <c r="V176" s="1447"/>
      <c r="W176" s="1" t="s">
        <v>306</v>
      </c>
      <c r="X176" s="1733"/>
      <c r="Y176" s="1733"/>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285"/>
      <c r="S177" s="1285"/>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732"/>
      <c r="AG178" s="1732"/>
      <c r="AH178" s="1" t="s">
        <v>306</v>
      </c>
      <c r="AI178" s="1738"/>
      <c r="AJ178" s="1738"/>
      <c r="AK178" s="1738"/>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285"/>
      <c r="Y180" s="1285"/>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439" t="str">
        <f>H18</f>
        <v>Euclid Avenue Apartments</v>
      </c>
      <c r="J184" s="1439"/>
      <c r="K184" s="1439"/>
      <c r="L184" s="1439"/>
      <c r="M184" s="1439"/>
      <c r="N184" s="1439"/>
      <c r="O184" s="1439"/>
      <c r="P184" s="1439"/>
      <c r="Q184" s="1439"/>
      <c r="R184" s="1439"/>
      <c r="S184" s="1439"/>
      <c r="T184" s="1439"/>
      <c r="U184" s="1439"/>
      <c r="V184" s="1439"/>
      <c r="W184" s="1439"/>
      <c r="X184" s="1439"/>
      <c r="Y184" s="1439"/>
      <c r="Z184" s="1439"/>
      <c r="AA184" s="1439"/>
      <c r="AB184" s="1439"/>
      <c r="AC184" s="1439"/>
      <c r="AD184" s="1439"/>
      <c r="AE184" s="1439"/>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08" t="s">
        <v>2686</v>
      </c>
      <c r="J185" s="1408"/>
      <c r="K185" s="1408"/>
      <c r="L185" s="1408"/>
      <c r="M185" s="1408"/>
      <c r="N185" s="1408"/>
      <c r="O185" s="1408"/>
      <c r="P185" s="1408"/>
      <c r="Q185" s="1408"/>
      <c r="R185" s="1408"/>
      <c r="S185" s="1408"/>
      <c r="T185" s="1408"/>
      <c r="U185" s="1408"/>
      <c r="V185" s="1408"/>
      <c r="W185" s="1408"/>
      <c r="X185" s="1408"/>
      <c r="Y185" s="1408"/>
      <c r="Z185" s="1408"/>
      <c r="AA185" s="1408"/>
      <c r="AB185" s="1408"/>
      <c r="AC185" s="1408"/>
      <c r="AD185" s="1408"/>
      <c r="AE185" s="1408"/>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741"/>
      <c r="F187" s="1741"/>
      <c r="G187" s="1741"/>
      <c r="H187" s="1741"/>
      <c r="I187" s="1741"/>
      <c r="J187" s="1741"/>
      <c r="K187" s="1741"/>
      <c r="L187" s="1741"/>
      <c r="M187" s="1741"/>
      <c r="N187" s="1741"/>
      <c r="O187" s="1741"/>
      <c r="P187" s="1741"/>
      <c r="Q187" s="1741"/>
      <c r="R187" s="1741"/>
      <c r="S187" s="1741"/>
      <c r="T187" s="1741"/>
      <c r="U187" s="1741"/>
      <c r="V187" s="1741"/>
      <c r="W187" s="1741"/>
      <c r="X187" s="1741"/>
      <c r="Y187" s="1741"/>
      <c r="Z187" s="1741"/>
      <c r="AA187" s="1741"/>
      <c r="AB187" s="1741"/>
      <c r="AC187" s="1741"/>
      <c r="AD187" s="1741"/>
      <c r="AE187" s="1741"/>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707"/>
      <c r="F188" s="1707"/>
      <c r="G188" s="1707"/>
      <c r="H188" s="1707"/>
      <c r="I188" s="1707"/>
      <c r="J188" s="1707"/>
      <c r="K188" s="1707"/>
      <c r="L188" s="1707"/>
      <c r="M188" s="1707"/>
      <c r="N188" s="1707"/>
      <c r="O188" s="1707"/>
      <c r="P188" s="1707"/>
      <c r="Q188" s="1707"/>
      <c r="R188" s="1707"/>
      <c r="S188" s="1707"/>
      <c r="T188" s="1707"/>
      <c r="U188" s="1707"/>
      <c r="V188" s="1707"/>
      <c r="W188" s="1707"/>
      <c r="X188" s="1707"/>
      <c r="Y188" s="1707"/>
      <c r="Z188" s="1707"/>
      <c r="AA188" s="1707"/>
      <c r="AB188" s="1707"/>
      <c r="AC188" s="1707"/>
      <c r="AD188" s="1707"/>
      <c r="AE188" s="1707"/>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467" t="s">
        <v>2687</v>
      </c>
      <c r="J189" s="1428"/>
      <c r="K189" s="1428"/>
      <c r="L189" s="1428"/>
      <c r="M189" s="1428"/>
      <c r="N189" s="1428"/>
      <c r="O189" s="1428"/>
      <c r="P189" s="1428"/>
      <c r="Q189" t="s">
        <v>582</v>
      </c>
      <c r="T189" s="1428" t="s">
        <v>729</v>
      </c>
      <c r="U189" s="1428"/>
      <c r="V189" s="1428"/>
      <c r="W189" s="1428"/>
      <c r="X189" s="1428"/>
      <c r="Y189" s="1428"/>
      <c r="Z189" s="1428"/>
      <c r="AA189" s="1428"/>
      <c r="AB189" s="1428"/>
      <c r="AC189" s="1428"/>
      <c r="AD189" s="1428"/>
      <c r="AE189" s="1428"/>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08">
        <v>91950</v>
      </c>
      <c r="J190" s="1408"/>
      <c r="K190" s="1408"/>
      <c r="L190" s="1408"/>
      <c r="M190" s="1408"/>
      <c r="N190" s="1408"/>
      <c r="O190" t="s">
        <v>585</v>
      </c>
      <c r="T190" s="1745">
        <v>122</v>
      </c>
      <c r="U190" s="1745"/>
      <c r="V190" s="1745"/>
      <c r="W190" s="1745"/>
      <c r="X190" s="1745"/>
      <c r="Y190" s="1745"/>
      <c r="Z190" s="1745"/>
      <c r="AA190" s="1745"/>
      <c r="AB190" s="1745"/>
      <c r="AC190" s="1745"/>
      <c r="AD190" s="1745"/>
      <c r="AE190" s="1745"/>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741" t="s">
        <v>2688</v>
      </c>
      <c r="O191" s="1741"/>
      <c r="P191" s="1741"/>
      <c r="Q191" s="1741"/>
      <c r="R191" s="1741"/>
      <c r="S191" s="1741"/>
      <c r="T191" s="1741"/>
      <c r="U191" s="1741"/>
      <c r="V191" s="1741"/>
      <c r="W191" s="1741"/>
      <c r="X191" s="1741"/>
      <c r="Y191" s="1741"/>
      <c r="Z191" s="1741"/>
      <c r="AA191" s="1741"/>
      <c r="AB191" s="1741"/>
      <c r="AC191" s="1741"/>
      <c r="AD191" s="1741"/>
      <c r="AE191" s="1741"/>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707"/>
      <c r="O192" s="1707"/>
      <c r="P192" s="1707"/>
      <c r="Q192" s="1707"/>
      <c r="R192" s="1707"/>
      <c r="S192" s="1707"/>
      <c r="T192" s="1707"/>
      <c r="U192" s="1707"/>
      <c r="V192" s="1707"/>
      <c r="W192" s="1707"/>
      <c r="X192" s="1707"/>
      <c r="Y192" s="1707"/>
      <c r="Z192" s="1707"/>
      <c r="AA192" s="1707"/>
      <c r="AB192" s="1707"/>
      <c r="AC192" s="1707"/>
      <c r="AD192" s="1707"/>
      <c r="AE192" s="1707"/>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735" t="s">
        <v>2162</v>
      </c>
      <c r="U193" s="1735"/>
      <c r="V193" s="1735"/>
      <c r="W193" s="1735"/>
      <c r="X193" s="1735"/>
      <c r="Y193" s="1735"/>
      <c r="Z193" s="1735"/>
      <c r="AA193" s="1735"/>
      <c r="AB193" s="1735"/>
      <c r="AC193" s="1735"/>
      <c r="AD193" s="1735"/>
      <c r="AE193" s="1735"/>
      <c r="AF193" s="1735"/>
      <c r="AG193" s="1735"/>
      <c r="AH193" s="1735"/>
      <c r="AI193" s="1735"/>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285" t="s">
        <v>669</v>
      </c>
      <c r="AI194" s="1285"/>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285" t="s">
        <v>669</v>
      </c>
      <c r="U195" s="1285"/>
      <c r="W195" t="s">
        <v>684</v>
      </c>
      <c r="AH195" s="1285">
        <v>52</v>
      </c>
      <c r="AI195" s="1285"/>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26" t="s">
        <v>545</v>
      </c>
      <c r="U196" s="1326"/>
      <c r="W196" t="s">
        <v>685</v>
      </c>
      <c r="AH196" s="1285">
        <v>80</v>
      </c>
      <c r="AI196" s="1285"/>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26" t="s">
        <v>669</v>
      </c>
      <c r="U197" s="1326"/>
      <c r="W197" t="s">
        <v>686</v>
      </c>
      <c r="AH197" s="1285">
        <v>18</v>
      </c>
      <c r="AI197" s="1285"/>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326"/>
      <c r="U198" s="1326"/>
      <c r="V198"/>
      <c r="X198" s="1463" t="s">
        <v>2438</v>
      </c>
      <c r="Y198" s="1463"/>
      <c r="Z198" s="1463"/>
      <c r="AA198" s="1463"/>
      <c r="AB198" s="1463"/>
      <c r="AC198" s="1463"/>
      <c r="AD198" s="1463"/>
      <c r="AE198" s="1463"/>
      <c r="AF198" s="1463"/>
      <c r="AG198" s="1463"/>
      <c r="AH198" s="1463"/>
      <c r="AI198" s="1463"/>
      <c r="AJ198" s="1463"/>
      <c r="AK198" s="1463"/>
      <c r="AL198" s="1463"/>
      <c r="AM198" s="1463"/>
      <c r="AN198" s="1463"/>
      <c r="AO198" s="1463"/>
      <c r="AP198" s="1463"/>
      <c r="AQ198" s="1463"/>
      <c r="AR198" s="1463"/>
      <c r="AS198" s="1463"/>
      <c r="AT198" s="1463"/>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285" t="s">
        <v>669</v>
      </c>
      <c r="U199" s="1285"/>
      <c r="V199"/>
      <c r="W199"/>
      <c r="X199" s="1463"/>
      <c r="Y199" s="1463"/>
      <c r="Z199" s="1463"/>
      <c r="AA199" s="1463"/>
      <c r="AB199" s="1463"/>
      <c r="AC199" s="1463"/>
      <c r="AD199" s="1463"/>
      <c r="AE199" s="1463"/>
      <c r="AF199" s="1463"/>
      <c r="AG199" s="1463"/>
      <c r="AH199" s="1463"/>
      <c r="AI199" s="1463"/>
      <c r="AJ199" s="1463"/>
      <c r="AK199" s="1463"/>
      <c r="AL199" s="1463"/>
      <c r="AM199" s="1463"/>
      <c r="AN199" s="1463"/>
      <c r="AO199" s="1463"/>
      <c r="AP199" s="1463"/>
      <c r="AQ199" s="1463"/>
      <c r="AR199" s="1463"/>
      <c r="AS199" s="1463"/>
      <c r="AT199" s="1463"/>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285" t="s">
        <v>669</v>
      </c>
      <c r="U200" s="1285"/>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439" t="s">
        <v>385</v>
      </c>
      <c r="E204" s="1439"/>
      <c r="F204" s="1439"/>
      <c r="G204" s="1439"/>
      <c r="H204" s="1439"/>
      <c r="I204" s="1439"/>
      <c r="J204" s="1439"/>
      <c r="K204" s="1439"/>
      <c r="L204" s="1439"/>
      <c r="M204" s="1439"/>
      <c r="P204" s="1755">
        <f>M26</f>
        <v>2592503</v>
      </c>
      <c r="Q204" s="1731"/>
      <c r="R204" s="1731"/>
      <c r="S204" s="1731"/>
      <c r="T204" s="1731"/>
      <c r="U204" s="1731"/>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751" t="s">
        <v>1246</v>
      </c>
      <c r="E205" s="1439"/>
      <c r="F205" s="1439"/>
      <c r="G205" s="1439"/>
      <c r="H205" s="1439"/>
      <c r="I205" s="1439"/>
      <c r="J205" s="1439"/>
      <c r="K205" s="1439"/>
      <c r="L205" s="1439"/>
      <c r="M205" s="1439"/>
      <c r="P205" s="1731">
        <f>M27</f>
        <v>0</v>
      </c>
      <c r="Q205" s="1731"/>
      <c r="R205" s="1731"/>
      <c r="S205" s="1731"/>
      <c r="T205" s="1731"/>
      <c r="U205" s="1731"/>
      <c r="V205" s="28"/>
      <c r="W205" s="3" t="s">
        <v>1708</v>
      </c>
      <c r="Z205" s="1756" t="s">
        <v>1183</v>
      </c>
      <c r="AA205" s="1756"/>
      <c r="AB205" s="1756"/>
      <c r="AC205" s="1756"/>
      <c r="AD205" s="1756"/>
      <c r="AE205" s="1756"/>
      <c r="AF205" s="1756"/>
      <c r="AG205" s="1756"/>
      <c r="AH205" s="1756"/>
      <c r="AI205" s="1756"/>
      <c r="AJ205" s="1756"/>
      <c r="AK205" s="1756"/>
      <c r="AL205" s="1756"/>
      <c r="AM205" s="1756"/>
      <c r="AN205" s="1756"/>
      <c r="AP205" s="1313"/>
      <c r="AQ205" s="1313"/>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468" t="s">
        <v>2831</v>
      </c>
      <c r="E208" s="1468"/>
      <c r="F208" s="1468"/>
      <c r="G208" s="1468"/>
      <c r="H208" s="1468"/>
      <c r="I208" s="1468"/>
      <c r="J208" s="1468"/>
      <c r="K208" s="1468"/>
      <c r="L208" s="1468"/>
      <c r="M208" s="1468"/>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68" t="s">
        <v>1826</v>
      </c>
      <c r="E211" s="1468"/>
      <c r="F211" s="1468"/>
      <c r="G211" s="1468"/>
      <c r="H211" s="1468"/>
      <c r="I211" s="1468"/>
      <c r="J211" s="1468"/>
      <c r="K211" s="1468"/>
      <c r="L211" s="1468"/>
      <c r="M211" s="1468"/>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285"/>
      <c r="R212" s="1285"/>
      <c r="T212" s="1739">
        <f>IFERROR(Q212/AG449,0)</f>
        <v>0</v>
      </c>
      <c r="U212" s="1740"/>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752" t="s">
        <v>591</v>
      </c>
      <c r="E214" s="1752"/>
      <c r="F214" s="1752"/>
      <c r="G214" s="1752"/>
      <c r="H214" s="1752"/>
      <c r="I214" s="1752"/>
      <c r="J214" s="1752"/>
      <c r="K214" s="1752"/>
      <c r="L214" s="1752"/>
      <c r="M214" s="1752"/>
      <c r="N214" s="1752"/>
      <c r="O214" s="1752"/>
      <c r="P214" s="1752"/>
      <c r="Q214" s="1752"/>
      <c r="R214" s="1752"/>
      <c r="S214" s="1752"/>
      <c r="T214" s="1752"/>
      <c r="U214" s="1752"/>
      <c r="V214" s="1752"/>
      <c r="W214" s="1752"/>
      <c r="X214" s="1752"/>
      <c r="Y214" s="1752"/>
      <c r="Z214" s="1752"/>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717"/>
      <c r="AC215" s="1717"/>
      <c r="AD215" s="1717"/>
      <c r="AE215" s="1717"/>
      <c r="AF215" s="1717"/>
      <c r="AG215" s="1717"/>
      <c r="AH215" s="1717"/>
      <c r="AI215" s="1717"/>
      <c r="AJ215" s="1717"/>
      <c r="AK215" s="1717"/>
      <c r="AL215" s="1717"/>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717"/>
      <c r="AC216" s="1717"/>
      <c r="AD216" s="1717"/>
      <c r="AE216" s="1717"/>
      <c r="AF216" s="1717"/>
      <c r="AG216" s="1717"/>
      <c r="AH216" s="1717"/>
      <c r="AI216" s="1717"/>
      <c r="AJ216" s="1717"/>
      <c r="AK216" s="1717"/>
      <c r="AL216" s="1717"/>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468" t="s">
        <v>611</v>
      </c>
      <c r="E220" s="1468"/>
      <c r="F220" s="1468"/>
      <c r="G220" s="1468"/>
      <c r="H220" s="1468"/>
      <c r="I220" s="1468"/>
      <c r="J220" s="1468"/>
      <c r="K220" s="1468"/>
      <c r="L220" s="1468"/>
      <c r="M220" s="1468"/>
      <c r="N220" s="1468"/>
      <c r="O220" s="1468"/>
      <c r="P220" s="1468"/>
      <c r="Q220" s="1468"/>
      <c r="R220" s="1468"/>
      <c r="S220" s="1468"/>
      <c r="T220" s="1468"/>
      <c r="U220" s="1468"/>
      <c r="V220" s="1468"/>
      <c r="W220" s="1468"/>
      <c r="X220" s="1468"/>
      <c r="Y220" s="1468"/>
      <c r="Z220" s="1468"/>
      <c r="AC220" s="1750" t="s">
        <v>2389</v>
      </c>
      <c r="AD220" s="1750"/>
      <c r="AE220" s="1750"/>
      <c r="AF220" s="1750"/>
      <c r="AG220" s="1750"/>
      <c r="AH220" s="1750"/>
      <c r="AI220" s="1750"/>
      <c r="AJ220" s="1750"/>
      <c r="AK220" s="1750"/>
      <c r="AL220" s="1750"/>
      <c r="AM220" s="1750"/>
      <c r="AN220" s="1750"/>
      <c r="AO220" s="1750"/>
      <c r="AP220" s="1750"/>
      <c r="AQ220" s="1750"/>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285" t="s">
        <v>669</v>
      </c>
      <c r="W224" s="1285"/>
      <c r="Y224" s="1188"/>
      <c r="BA224" s="3"/>
      <c r="BI224" s="523" t="s">
        <v>2667</v>
      </c>
    </row>
    <row r="225" spans="1:69" ht="12.95" customHeight="1">
      <c r="A225" s="2"/>
      <c r="B225" s="14"/>
      <c r="C225" s="2"/>
      <c r="E225" s="3" t="s">
        <v>2534</v>
      </c>
      <c r="V225" s="1285" t="s">
        <v>669</v>
      </c>
      <c r="W225" s="1285"/>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326" t="s">
        <v>669</v>
      </c>
      <c r="W226" s="1326"/>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326" t="s">
        <v>669</v>
      </c>
      <c r="W227" s="1326"/>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326" t="s">
        <v>669</v>
      </c>
      <c r="W228" s="1326"/>
      <c r="Y228" s="1189" t="str">
        <f>IF(AND(V228="Yes",OR(V229="Yes",V225="Yes",V226="Yes")),"!","")</f>
        <v/>
      </c>
      <c r="Z228" s="1190" t="str">
        <f>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326" t="s">
        <v>669</v>
      </c>
      <c r="W229" s="1326"/>
      <c r="Y229" s="1189" t="str">
        <f>IF(AND(V229="Yes",OR(V228="Yes",V227="Yes",V226="Yes",V225="Yes")),"!","")</f>
        <v/>
      </c>
      <c r="Z229" s="1190" t="str">
        <f>IF(Y229="!","Requirements for pools/set-asides selected are mutually exclusive.","")</f>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486" t="s">
        <v>540</v>
      </c>
      <c r="B231" s="1486"/>
      <c r="C231" s="1486"/>
      <c r="D231" s="1486"/>
      <c r="E231" s="1486"/>
      <c r="F231" s="1486"/>
      <c r="G231" s="1486"/>
      <c r="H231" s="1486"/>
      <c r="I231" s="1486"/>
      <c r="J231" s="1486"/>
      <c r="K231" s="1486"/>
      <c r="L231" s="1486"/>
      <c r="M231" s="1486"/>
      <c r="N231" s="1486"/>
      <c r="O231" s="1486"/>
      <c r="P231" s="1486"/>
      <c r="Q231" s="1486"/>
      <c r="R231" s="1486"/>
      <c r="S231" s="1486"/>
      <c r="T231" s="1486"/>
      <c r="U231" s="1486"/>
      <c r="V231" s="1486"/>
      <c r="W231" s="1486"/>
      <c r="X231" s="1486"/>
      <c r="Y231" s="1486"/>
      <c r="Z231" s="1486"/>
      <c r="AA231" s="1486"/>
      <c r="AB231" s="1486"/>
      <c r="AC231" s="1486"/>
      <c r="AD231" s="1486"/>
      <c r="AE231" s="1486"/>
      <c r="AF231" s="1486"/>
      <c r="AG231" s="1486"/>
      <c r="AH231" s="1486"/>
      <c r="AI231" s="1486"/>
      <c r="AJ231" s="1486"/>
      <c r="AK231" s="1486"/>
      <c r="AL231" s="1486"/>
      <c r="AM231" s="1486"/>
      <c r="AN231" s="1486"/>
      <c r="AO231" s="1486"/>
      <c r="AP231" s="1486"/>
      <c r="AQ231" s="1486"/>
      <c r="AR231" s="1486"/>
      <c r="AS231" s="1486"/>
      <c r="AT231" s="1486"/>
      <c r="AU231" s="95"/>
      <c r="AV231" s="95"/>
      <c r="AW231" s="95"/>
      <c r="AX231" s="95"/>
      <c r="AY231" s="95"/>
      <c r="AZ231" s="3"/>
      <c r="BA231" s="3"/>
      <c r="BI231" s="523" t="s">
        <v>2673</v>
      </c>
      <c r="BP231" s="34"/>
    </row>
    <row r="232" spans="1:69" ht="12.95" customHeight="1">
      <c r="A232" s="1486"/>
      <c r="B232" s="1486"/>
      <c r="C232" s="1486"/>
      <c r="D232" s="1486"/>
      <c r="E232" s="1486"/>
      <c r="F232" s="1486"/>
      <c r="G232" s="1486"/>
      <c r="H232" s="1486"/>
      <c r="I232" s="1486"/>
      <c r="J232" s="1486"/>
      <c r="K232" s="1486"/>
      <c r="L232" s="1486"/>
      <c r="M232" s="1486"/>
      <c r="N232" s="1486"/>
      <c r="O232" s="1486"/>
      <c r="P232" s="1486"/>
      <c r="Q232" s="1486"/>
      <c r="R232" s="1486"/>
      <c r="S232" s="1486"/>
      <c r="T232" s="1486"/>
      <c r="U232" s="1486"/>
      <c r="V232" s="1486"/>
      <c r="W232" s="1486"/>
      <c r="X232" s="1486"/>
      <c r="Y232" s="1486"/>
      <c r="Z232" s="1486"/>
      <c r="AA232" s="1486"/>
      <c r="AB232" s="1486"/>
      <c r="AC232" s="1486"/>
      <c r="AD232" s="1486"/>
      <c r="AE232" s="1486"/>
      <c r="AF232" s="1486"/>
      <c r="AG232" s="1486"/>
      <c r="AH232" s="1486"/>
      <c r="AI232" s="1486"/>
      <c r="AJ232" s="1486"/>
      <c r="AK232" s="1486"/>
      <c r="AL232" s="1486"/>
      <c r="AM232" s="1486"/>
      <c r="AN232" s="1486"/>
      <c r="AO232" s="1486"/>
      <c r="AP232" s="1486"/>
      <c r="AQ232" s="1486"/>
      <c r="AR232" s="1486"/>
      <c r="AS232" s="1486"/>
      <c r="AT232" s="1486"/>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85" t="s">
        <v>545</v>
      </c>
      <c r="AJ235" s="1285"/>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85" t="s">
        <v>591</v>
      </c>
      <c r="AJ236" s="1285"/>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85" t="s">
        <v>591</v>
      </c>
      <c r="AJ237" s="1285"/>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85" t="s">
        <v>591</v>
      </c>
      <c r="AJ238" s="1285"/>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2</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746" t="str">
        <f>H16</f>
        <v>National City Pacific Associates II, LP</v>
      </c>
      <c r="N241" s="1746"/>
      <c r="O241" s="1746"/>
      <c r="P241" s="1746"/>
      <c r="Q241" s="1746"/>
      <c r="R241" s="1746"/>
      <c r="S241" s="1746"/>
      <c r="T241" s="1746"/>
      <c r="U241" s="1746"/>
      <c r="V241" s="1746"/>
      <c r="W241" s="1746"/>
      <c r="X241" s="1746"/>
      <c r="Y241" s="1746"/>
      <c r="Z241" s="1746"/>
      <c r="AA241" s="1746"/>
      <c r="AB241" s="1746"/>
      <c r="AC241" s="1746"/>
      <c r="AD241" s="1746"/>
      <c r="AE241" s="1746"/>
      <c r="AF241" s="1746"/>
      <c r="AG241" s="1746"/>
      <c r="AH241" s="1746"/>
      <c r="AI241" s="1746"/>
      <c r="AJ241" s="1746"/>
      <c r="AK241" s="1746"/>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467" t="s">
        <v>2701</v>
      </c>
      <c r="N242" s="1468"/>
      <c r="O242" s="1468"/>
      <c r="P242" s="1468"/>
      <c r="Q242" s="1468"/>
      <c r="R242" s="1468"/>
      <c r="S242" s="1468"/>
      <c r="T242" s="1468"/>
      <c r="U242" s="1468"/>
      <c r="V242" s="1468"/>
      <c r="W242" s="1468"/>
      <c r="X242" s="1468"/>
      <c r="Y242" s="1468"/>
      <c r="Z242" s="1468"/>
      <c r="AA242" s="1468"/>
      <c r="AB242" s="1468"/>
      <c r="AC242" s="1468"/>
      <c r="AD242" s="1468"/>
      <c r="AE242" s="1468"/>
      <c r="BB242" s="205" t="s">
        <v>538</v>
      </c>
      <c r="BG242" s="241">
        <f>IF(AND(AND($M$258="nonprofit",$M$266="for profit",$M$274="nonprofit")),2,0)</f>
        <v>0</v>
      </c>
    </row>
    <row r="243" spans="1:67" ht="12.95" customHeight="1">
      <c r="D243" s="4" t="s">
        <v>580</v>
      </c>
      <c r="E243" s="4"/>
      <c r="M243" s="1467" t="s">
        <v>2703</v>
      </c>
      <c r="N243" s="1468"/>
      <c r="O243" s="1468"/>
      <c r="P243" s="1468"/>
      <c r="Q243" s="1468"/>
      <c r="R243" s="1468"/>
      <c r="S243" s="1468"/>
      <c r="T243" s="1468"/>
      <c r="V243" s="33" t="s">
        <v>86</v>
      </c>
      <c r="W243" s="1335" t="s">
        <v>2704</v>
      </c>
      <c r="X243" s="1406"/>
      <c r="Y243" s="4" t="s">
        <v>583</v>
      </c>
      <c r="AC243" s="1468">
        <v>83616</v>
      </c>
      <c r="AD243" s="1468"/>
      <c r="AE243" s="1468"/>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467" t="s">
        <v>2705</v>
      </c>
      <c r="N244" s="1468"/>
      <c r="O244" s="1468"/>
      <c r="P244" s="1468"/>
      <c r="Q244" s="1468"/>
      <c r="R244" s="1468"/>
      <c r="S244" s="1468"/>
      <c r="T244" s="1468"/>
      <c r="U244" s="1468"/>
      <c r="V244" s="1468"/>
      <c r="W244" s="1468"/>
      <c r="X244" s="1468"/>
      <c r="Y244" s="1468"/>
      <c r="Z244" s="1468"/>
      <c r="AA244" s="1468"/>
      <c r="AB244" s="1468"/>
      <c r="AC244" s="1468"/>
      <c r="AD244" s="1468"/>
      <c r="AE244" s="1468"/>
      <c r="AI244" s="4"/>
      <c r="AJ244" s="4"/>
      <c r="AK244" s="4"/>
      <c r="AL244" s="4"/>
      <c r="AM244" s="4"/>
      <c r="AN244" s="4"/>
      <c r="AO244" s="4"/>
      <c r="AP244" s="4"/>
      <c r="AQ244" s="4"/>
      <c r="AR244" s="4"/>
      <c r="AS244" s="4"/>
      <c r="AT244" s="4"/>
      <c r="BB244" s="205"/>
      <c r="BG244" s="204"/>
    </row>
    <row r="245" spans="1:67" ht="12.95" customHeight="1">
      <c r="D245" s="4" t="s">
        <v>88</v>
      </c>
      <c r="E245" s="4"/>
      <c r="F245" s="4"/>
      <c r="M245" s="1496" t="s">
        <v>2706</v>
      </c>
      <c r="N245" s="1424"/>
      <c r="O245" s="1424"/>
      <c r="P245" s="1424"/>
      <c r="Q245" s="1424"/>
      <c r="R245" s="1424"/>
      <c r="S245" s="4" t="s">
        <v>206</v>
      </c>
      <c r="T245" s="4"/>
      <c r="U245" s="1406"/>
      <c r="V245" s="1406"/>
      <c r="W245" s="1406"/>
      <c r="X245" s="4" t="s">
        <v>89</v>
      </c>
      <c r="Z245" s="1424"/>
      <c r="AA245" s="1424"/>
      <c r="AB245" s="1424"/>
      <c r="AC245" s="1424"/>
      <c r="AD245" s="1424"/>
      <c r="AE245" s="1424"/>
      <c r="AU245" s="4"/>
      <c r="AV245" s="4"/>
      <c r="AW245" s="4"/>
      <c r="AX245" s="4"/>
      <c r="AY245" s="4"/>
      <c r="AZ245" s="4"/>
      <c r="BB245" s="204" t="s">
        <v>537</v>
      </c>
      <c r="BG245" s="241">
        <f>IF(AND(AND($M$258="nonprofit",$M$266="nonprofit",$M$274="(select one)")),1,0)</f>
        <v>0</v>
      </c>
    </row>
    <row r="246" spans="1:67" ht="12.95" customHeight="1">
      <c r="D246" s="4" t="s">
        <v>90</v>
      </c>
      <c r="E246" s="4"/>
      <c r="F246" s="4"/>
      <c r="M246" s="1734" t="s">
        <v>2707</v>
      </c>
      <c r="N246" s="1734"/>
      <c r="O246" s="1734"/>
      <c r="P246" s="1734"/>
      <c r="Q246" s="1734"/>
      <c r="R246" s="1734"/>
      <c r="S246" s="1734"/>
      <c r="T246" s="1734"/>
      <c r="U246" s="1734"/>
      <c r="V246" s="1734"/>
      <c r="W246" s="1734"/>
      <c r="X246" s="1734"/>
      <c r="Y246" s="1734"/>
      <c r="Z246" s="1734"/>
      <c r="AA246" s="1734"/>
      <c r="AB246" s="1734"/>
      <c r="AC246" s="1734"/>
      <c r="AD246" s="1734"/>
      <c r="AE246" s="1734"/>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08" t="s">
        <v>528</v>
      </c>
      <c r="N247" s="1408"/>
      <c r="O247" s="1408"/>
      <c r="P247" s="1408"/>
      <c r="Q247" s="1408"/>
      <c r="R247" s="1408"/>
      <c r="S247" s="1408"/>
      <c r="T247" s="1408"/>
      <c r="U247" s="204" t="s">
        <v>906</v>
      </c>
      <c r="V247" s="204"/>
      <c r="W247" s="204"/>
      <c r="X247" s="204"/>
      <c r="Y247" s="204"/>
      <c r="Z247" s="204"/>
      <c r="AA247" s="1727"/>
      <c r="AB247" s="1727"/>
      <c r="AC247" s="1727"/>
      <c r="AD247" s="1727"/>
      <c r="AE247" s="1727"/>
      <c r="AF247" s="1727"/>
      <c r="AG247" s="1727"/>
      <c r="AH247" s="1727"/>
      <c r="AI247" s="1727"/>
      <c r="AJ247" s="1727"/>
      <c r="AK247" s="1727"/>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428"/>
      <c r="N248" s="1428"/>
      <c r="O248" s="1428"/>
      <c r="P248" s="1428"/>
      <c r="Q248" s="1428"/>
      <c r="R248" s="1428"/>
      <c r="S248" s="1428"/>
      <c r="T248" s="1428"/>
      <c r="U248" s="1428"/>
      <c r="V248" s="1428"/>
      <c r="W248" s="1428"/>
      <c r="X248" s="1428"/>
      <c r="Y248" s="1428"/>
      <c r="Z248" s="1428"/>
      <c r="AA248" s="1428"/>
      <c r="AB248" s="1428"/>
      <c r="AC248" s="1428"/>
      <c r="AD248" s="1428"/>
      <c r="AE248" s="1428"/>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470" t="s">
        <v>2699</v>
      </c>
      <c r="N252" s="1471"/>
      <c r="O252" s="1471"/>
      <c r="P252" s="1471"/>
      <c r="Q252" s="1471"/>
      <c r="R252" s="1471"/>
      <c r="S252" s="1471"/>
      <c r="T252" s="1471"/>
      <c r="U252" s="1471"/>
      <c r="V252" s="1471"/>
      <c r="W252" s="1471"/>
      <c r="X252" s="1471"/>
      <c r="Y252" s="1471"/>
      <c r="Z252" s="1471"/>
      <c r="AA252" s="1471"/>
      <c r="AB252" s="1471"/>
      <c r="AC252" s="1471"/>
      <c r="AD252" s="1471"/>
      <c r="AE252" s="1471"/>
      <c r="AF252" s="1471" t="s">
        <v>2700</v>
      </c>
      <c r="AG252" s="1471"/>
      <c r="AH252" s="1471"/>
      <c r="AI252" s="1471"/>
      <c r="AJ252" s="1471"/>
      <c r="AK252" s="1471"/>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467" t="s">
        <v>2708</v>
      </c>
      <c r="N253" s="1468"/>
      <c r="O253" s="1468"/>
      <c r="P253" s="1468"/>
      <c r="Q253" s="1468"/>
      <c r="R253" s="1468"/>
      <c r="S253" s="1468"/>
      <c r="T253" s="1468"/>
      <c r="U253" s="1468"/>
      <c r="V253" s="1468"/>
      <c r="W253" s="1468"/>
      <c r="X253" s="1468"/>
      <c r="Y253" s="1468"/>
      <c r="Z253" s="1468"/>
      <c r="AA253" s="1468"/>
      <c r="AB253" s="1468"/>
      <c r="AC253" s="1468"/>
      <c r="AD253" s="1468"/>
      <c r="AE253" s="1468"/>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467" t="s">
        <v>55</v>
      </c>
      <c r="N254" s="1468"/>
      <c r="O254" s="1468"/>
      <c r="P254" s="1468"/>
      <c r="Q254" s="1468"/>
      <c r="R254" s="1468"/>
      <c r="S254" s="1468"/>
      <c r="T254" s="1468"/>
      <c r="V254" s="33" t="s">
        <v>86</v>
      </c>
      <c r="W254" s="1335" t="s">
        <v>2709</v>
      </c>
      <c r="X254" s="1406"/>
      <c r="Y254" s="4" t="s">
        <v>583</v>
      </c>
      <c r="AC254" s="1468">
        <v>95348</v>
      </c>
      <c r="AD254" s="1468"/>
      <c r="AE254" s="1468"/>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467" t="s">
        <v>2710</v>
      </c>
      <c r="N255" s="1468"/>
      <c r="O255" s="1468"/>
      <c r="P255" s="1468"/>
      <c r="Q255" s="1468"/>
      <c r="R255" s="1468"/>
      <c r="S255" s="1468"/>
      <c r="T255" s="1468"/>
      <c r="U255" s="1468"/>
      <c r="V255" s="1468"/>
      <c r="W255" s="1468"/>
      <c r="X255" s="1468"/>
      <c r="Y255" s="1468"/>
      <c r="Z255" s="1468"/>
      <c r="AA255" s="1468"/>
      <c r="AB255" s="1468"/>
      <c r="AC255" s="1468"/>
      <c r="AD255" s="1468"/>
      <c r="AE255" s="1468"/>
      <c r="AH255" s="1729">
        <v>1E-3</v>
      </c>
      <c r="AI255" s="1729"/>
      <c r="AJ255" s="1729"/>
      <c r="AK255" s="1729"/>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424"/>
      <c r="N256" s="1424"/>
      <c r="O256" s="1424"/>
      <c r="P256" s="1424"/>
      <c r="Q256" s="1424"/>
      <c r="R256" s="1424"/>
      <c r="S256" s="4" t="s">
        <v>206</v>
      </c>
      <c r="T256" s="4"/>
      <c r="U256" s="1406"/>
      <c r="V256" s="1406"/>
      <c r="W256" s="1406"/>
      <c r="X256" s="4" t="s">
        <v>89</v>
      </c>
      <c r="Z256" s="1424"/>
      <c r="AA256" s="1424"/>
      <c r="AB256" s="1424"/>
      <c r="AC256" s="1424"/>
      <c r="AD256" s="1424"/>
      <c r="AE256" s="1424"/>
      <c r="AU256" s="4"/>
      <c r="AV256" s="4"/>
      <c r="AW256" s="4"/>
      <c r="AX256" s="4"/>
      <c r="AY256" s="4"/>
      <c r="BG256">
        <v>0</v>
      </c>
      <c r="BH256" s="3" t="str">
        <f>""</f>
        <v/>
      </c>
      <c r="BN256" s="34"/>
    </row>
    <row r="257" spans="1:66" ht="12.95" customHeight="1">
      <c r="A257" s="19"/>
      <c r="B257" s="4"/>
      <c r="C257" s="4"/>
      <c r="D257" s="4" t="s">
        <v>90</v>
      </c>
      <c r="E257" s="4"/>
      <c r="F257" s="4"/>
      <c r="M257" s="1734" t="s">
        <v>2711</v>
      </c>
      <c r="N257" s="1734"/>
      <c r="O257" s="1734"/>
      <c r="P257" s="1734"/>
      <c r="Q257" s="1734"/>
      <c r="R257" s="1734"/>
      <c r="S257" s="1734"/>
      <c r="T257" s="1734"/>
      <c r="U257" s="1734"/>
      <c r="V257" s="1734"/>
      <c r="W257" s="1734"/>
      <c r="X257" s="1734"/>
      <c r="Y257" s="1734"/>
      <c r="Z257" s="1734"/>
      <c r="AA257" s="1734"/>
      <c r="AB257" s="1734"/>
      <c r="AC257" s="1734"/>
      <c r="AD257" s="1734"/>
      <c r="AE257" s="1734"/>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08" t="s">
        <v>534</v>
      </c>
      <c r="N258" s="1408"/>
      <c r="O258" s="1408"/>
      <c r="P258" s="1408"/>
      <c r="Q258" s="1408"/>
      <c r="R258" s="1408"/>
      <c r="S258" s="1408"/>
      <c r="T258" s="1408"/>
      <c r="U258" s="204" t="s">
        <v>906</v>
      </c>
      <c r="V258" s="204"/>
      <c r="W258" s="204"/>
      <c r="X258" s="204"/>
      <c r="Y258" s="204"/>
      <c r="Z258" s="204"/>
      <c r="AA258" s="1727"/>
      <c r="AB258" s="1727"/>
      <c r="AC258" s="1727"/>
      <c r="AD258" s="1727"/>
      <c r="AE258" s="1727"/>
      <c r="AF258" s="1727"/>
      <c r="AG258" s="1727"/>
      <c r="AH258" s="1727"/>
      <c r="AI258" s="1727"/>
      <c r="AJ258" s="1727"/>
      <c r="AK258" s="1727"/>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470" t="s">
        <v>2712</v>
      </c>
      <c r="N260" s="1471"/>
      <c r="O260" s="1471"/>
      <c r="P260" s="1471"/>
      <c r="Q260" s="1471"/>
      <c r="R260" s="1471"/>
      <c r="S260" s="1471"/>
      <c r="T260" s="1471"/>
      <c r="U260" s="1471"/>
      <c r="V260" s="1471"/>
      <c r="W260" s="1471"/>
      <c r="X260" s="1471"/>
      <c r="Y260" s="1471"/>
      <c r="Z260" s="1471"/>
      <c r="AA260" s="1471"/>
      <c r="AB260" s="1471"/>
      <c r="AC260" s="1471"/>
      <c r="AD260" s="1471"/>
      <c r="AE260" s="1471"/>
      <c r="AF260" s="1471" t="s">
        <v>2714</v>
      </c>
      <c r="AG260" s="1471"/>
      <c r="AH260" s="1471"/>
      <c r="AI260" s="1471"/>
      <c r="AJ260" s="1471"/>
      <c r="AK260" s="1471"/>
      <c r="AU260" s="4"/>
      <c r="AV260" s="4"/>
      <c r="AW260" s="4"/>
      <c r="AX260" s="4"/>
      <c r="AY260" s="4"/>
      <c r="BN260" s="34"/>
    </row>
    <row r="261" spans="1:66" ht="12.95" customHeight="1">
      <c r="A261" s="19"/>
      <c r="B261" s="4"/>
      <c r="C261" s="4"/>
      <c r="D261" s="4" t="s">
        <v>85</v>
      </c>
      <c r="E261" s="4"/>
      <c r="F261" s="4"/>
      <c r="G261" s="4"/>
      <c r="H261" s="4"/>
      <c r="I261" s="4"/>
      <c r="J261" s="4"/>
      <c r="K261" s="4"/>
      <c r="L261" s="4"/>
      <c r="M261" s="1468" t="s">
        <v>2701</v>
      </c>
      <c r="N261" s="1468"/>
      <c r="O261" s="1468"/>
      <c r="P261" s="1468"/>
      <c r="Q261" s="1468"/>
      <c r="R261" s="1468"/>
      <c r="S261" s="1468"/>
      <c r="T261" s="1468"/>
      <c r="U261" s="1468"/>
      <c r="V261" s="1468"/>
      <c r="W261" s="1468"/>
      <c r="X261" s="1468"/>
      <c r="Y261" s="1468"/>
      <c r="Z261" s="1468"/>
      <c r="AA261" s="1468"/>
      <c r="AB261" s="1468"/>
      <c r="AC261" s="1468"/>
      <c r="AD261" s="1468"/>
      <c r="AE261" s="1468"/>
      <c r="AF261" s="3" t="s">
        <v>1178</v>
      </c>
      <c r="AL261" s="4"/>
      <c r="AM261" s="4"/>
      <c r="AN261" s="4"/>
      <c r="AO261" s="4"/>
      <c r="AP261" s="4"/>
      <c r="AQ261" s="4"/>
      <c r="AR261" s="4"/>
      <c r="AS261" s="4"/>
      <c r="AT261" s="4"/>
      <c r="BN261" s="34"/>
    </row>
    <row r="262" spans="1:66" ht="12.95" customHeight="1">
      <c r="A262" s="19"/>
      <c r="B262" s="4"/>
      <c r="C262" s="4"/>
      <c r="D262" s="4" t="s">
        <v>580</v>
      </c>
      <c r="E262" s="4"/>
      <c r="M262" s="1468" t="s">
        <v>2703</v>
      </c>
      <c r="N262" s="1468"/>
      <c r="O262" s="1468"/>
      <c r="P262" s="1468"/>
      <c r="Q262" s="1468"/>
      <c r="R262" s="1468"/>
      <c r="S262" s="1468"/>
      <c r="T262" s="1468"/>
      <c r="V262" s="33" t="s">
        <v>86</v>
      </c>
      <c r="W262" s="1335" t="s">
        <v>2704</v>
      </c>
      <c r="X262" s="1406"/>
      <c r="Y262" s="4" t="s">
        <v>583</v>
      </c>
      <c r="AC262" s="1468">
        <v>83616</v>
      </c>
      <c r="AD262" s="1468"/>
      <c r="AE262" s="1468"/>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467" t="s">
        <v>2713</v>
      </c>
      <c r="N263" s="1468"/>
      <c r="O263" s="1468"/>
      <c r="P263" s="1468"/>
      <c r="Q263" s="1468"/>
      <c r="R263" s="1468"/>
      <c r="S263" s="1468"/>
      <c r="T263" s="1468"/>
      <c r="U263" s="1468"/>
      <c r="V263" s="1468"/>
      <c r="W263" s="1468"/>
      <c r="X263" s="1468"/>
      <c r="Y263" s="1468"/>
      <c r="Z263" s="1468"/>
      <c r="AA263" s="1468"/>
      <c r="AB263" s="1468"/>
      <c r="AC263" s="1468"/>
      <c r="AD263" s="1468"/>
      <c r="AE263" s="1468"/>
      <c r="AH263" s="1729">
        <v>8.9999999999999993E-3</v>
      </c>
      <c r="AI263" s="1729"/>
      <c r="AJ263" s="1729"/>
      <c r="AK263" s="1729"/>
      <c r="AL263" s="4"/>
      <c r="AM263" s="4"/>
      <c r="AN263" s="4"/>
      <c r="AO263" s="4"/>
      <c r="AP263" s="4"/>
      <c r="AQ263" s="4"/>
      <c r="AR263" s="4"/>
      <c r="AS263" s="4"/>
      <c r="AT263" s="4"/>
    </row>
    <row r="264" spans="1:66" ht="12.95" customHeight="1">
      <c r="A264" s="19"/>
      <c r="B264" s="4"/>
      <c r="C264" s="4"/>
      <c r="D264" s="4" t="s">
        <v>88</v>
      </c>
      <c r="E264" s="4"/>
      <c r="F264" s="4"/>
      <c r="M264" s="1496" t="s">
        <v>2732</v>
      </c>
      <c r="N264" s="1424"/>
      <c r="O264" s="1424"/>
      <c r="P264" s="1424"/>
      <c r="Q264" s="1424"/>
      <c r="R264" s="1424"/>
      <c r="S264" s="4" t="s">
        <v>206</v>
      </c>
      <c r="T264" s="4"/>
      <c r="U264" s="1406"/>
      <c r="V264" s="1406"/>
      <c r="W264" s="1406"/>
      <c r="X264" s="4" t="s">
        <v>89</v>
      </c>
      <c r="Z264" s="1424"/>
      <c r="AA264" s="1424"/>
      <c r="AB264" s="1424"/>
      <c r="AC264" s="1424"/>
      <c r="AD264" s="1424"/>
      <c r="AE264" s="1424"/>
      <c r="AU264" s="4"/>
      <c r="AV264" s="4"/>
      <c r="AW264" s="4"/>
      <c r="AX264" s="4"/>
      <c r="AY264" s="4"/>
      <c r="BN264" s="34"/>
    </row>
    <row r="265" spans="1:66" ht="12.95" customHeight="1">
      <c r="A265" s="19"/>
      <c r="B265" s="4"/>
      <c r="C265" s="4"/>
      <c r="D265" s="4" t="s">
        <v>90</v>
      </c>
      <c r="E265" s="4"/>
      <c r="F265" s="4"/>
      <c r="M265" s="1734" t="s">
        <v>2731</v>
      </c>
      <c r="N265" s="1734"/>
      <c r="O265" s="1734"/>
      <c r="P265" s="1734"/>
      <c r="Q265" s="1734"/>
      <c r="R265" s="1734"/>
      <c r="S265" s="1734"/>
      <c r="T265" s="1734"/>
      <c r="U265" s="1734"/>
      <c r="V265" s="1734"/>
      <c r="W265" s="1734"/>
      <c r="X265" s="1734"/>
      <c r="Y265" s="1734"/>
      <c r="Z265" s="1734"/>
      <c r="AA265" s="1734"/>
      <c r="AB265" s="1734"/>
      <c r="AC265" s="1734"/>
      <c r="AD265" s="1734"/>
      <c r="AE265" s="1734"/>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08" t="s">
        <v>536</v>
      </c>
      <c r="N266" s="1408"/>
      <c r="O266" s="1408"/>
      <c r="P266" s="1408"/>
      <c r="Q266" s="1408"/>
      <c r="R266" s="1408"/>
      <c r="S266" s="1408"/>
      <c r="T266" s="1408"/>
      <c r="U266" s="204" t="s">
        <v>906</v>
      </c>
      <c r="V266" s="204"/>
      <c r="W266" s="204"/>
      <c r="X266" s="204"/>
      <c r="Y266" s="204"/>
      <c r="Z266" s="204"/>
      <c r="AA266" s="1726" t="s">
        <v>2738</v>
      </c>
      <c r="AB266" s="1727"/>
      <c r="AC266" s="1727"/>
      <c r="AD266" s="1727"/>
      <c r="AE266" s="1727"/>
      <c r="AF266" s="1727"/>
      <c r="AG266" s="1727"/>
      <c r="AH266" s="1727"/>
      <c r="AI266" s="1727"/>
      <c r="AJ266" s="1727"/>
      <c r="AK266" s="1727"/>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471"/>
      <c r="N268" s="1471"/>
      <c r="O268" s="1471"/>
      <c r="P268" s="1471"/>
      <c r="Q268" s="1471"/>
      <c r="R268" s="1471"/>
      <c r="S268" s="1471"/>
      <c r="T268" s="1471"/>
      <c r="U268" s="1471"/>
      <c r="V268" s="1471"/>
      <c r="W268" s="1471"/>
      <c r="X268" s="1471"/>
      <c r="Y268" s="1471"/>
      <c r="Z268" s="1471"/>
      <c r="AA268" s="1471"/>
      <c r="AB268" s="1471"/>
      <c r="AC268" s="1471"/>
      <c r="AD268" s="1471"/>
      <c r="AE268" s="1471"/>
      <c r="AF268" s="1471" t="s">
        <v>307</v>
      </c>
      <c r="AG268" s="1471"/>
      <c r="AH268" s="1471"/>
      <c r="AI268" s="1471"/>
      <c r="AJ268" s="1471"/>
      <c r="AK268" s="1471"/>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68"/>
      <c r="N269" s="1468"/>
      <c r="O269" s="1468"/>
      <c r="P269" s="1468"/>
      <c r="Q269" s="1468"/>
      <c r="R269" s="1468"/>
      <c r="S269" s="1468"/>
      <c r="T269" s="1468"/>
      <c r="U269" s="1468"/>
      <c r="V269" s="1468"/>
      <c r="W269" s="1468"/>
      <c r="X269" s="1468"/>
      <c r="Y269" s="1468"/>
      <c r="Z269" s="1468"/>
      <c r="AA269" s="1468"/>
      <c r="AB269" s="1468"/>
      <c r="AC269" s="1468"/>
      <c r="AD269" s="1468"/>
      <c r="AE269" s="1468"/>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68"/>
      <c r="N270" s="1468"/>
      <c r="O270" s="1468"/>
      <c r="P270" s="1468"/>
      <c r="Q270" s="1468"/>
      <c r="R270" s="1468"/>
      <c r="S270" s="1468"/>
      <c r="T270" s="1468"/>
      <c r="V270" s="33" t="s">
        <v>86</v>
      </c>
      <c r="W270" s="1406"/>
      <c r="X270" s="1406"/>
      <c r="Y270" s="4" t="s">
        <v>583</v>
      </c>
      <c r="AC270" s="1468"/>
      <c r="AD270" s="1468"/>
      <c r="AE270" s="1468"/>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68"/>
      <c r="N271" s="1468"/>
      <c r="O271" s="1468"/>
      <c r="P271" s="1468"/>
      <c r="Q271" s="1468"/>
      <c r="R271" s="1468"/>
      <c r="S271" s="1468"/>
      <c r="T271" s="1468"/>
      <c r="U271" s="1468"/>
      <c r="V271" s="1468"/>
      <c r="W271" s="1468"/>
      <c r="X271" s="1468"/>
      <c r="Y271" s="1468"/>
      <c r="Z271" s="1468"/>
      <c r="AA271" s="1468"/>
      <c r="AB271" s="1468"/>
      <c r="AC271" s="1468"/>
      <c r="AD271" s="1468"/>
      <c r="AE271" s="1468"/>
      <c r="AH271" s="1729"/>
      <c r="AI271" s="1729"/>
      <c r="AJ271" s="1729"/>
      <c r="AK271" s="1729"/>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24"/>
      <c r="N272" s="1424"/>
      <c r="O272" s="1424"/>
      <c r="P272" s="1424"/>
      <c r="Q272" s="1424"/>
      <c r="R272" s="1424"/>
      <c r="S272" s="4" t="s">
        <v>206</v>
      </c>
      <c r="T272" s="4"/>
      <c r="U272" s="1406"/>
      <c r="V272" s="1406"/>
      <c r="W272" s="1406"/>
      <c r="X272" s="4" t="s">
        <v>89</v>
      </c>
      <c r="Z272" s="1424"/>
      <c r="AA272" s="1424"/>
      <c r="AB272" s="1424"/>
      <c r="AC272" s="1424"/>
      <c r="AD272" s="1424"/>
      <c r="AE272" s="1424"/>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734"/>
      <c r="N273" s="1734"/>
      <c r="O273" s="1734"/>
      <c r="P273" s="1734"/>
      <c r="Q273" s="1734"/>
      <c r="R273" s="1734"/>
      <c r="S273" s="1734"/>
      <c r="T273" s="1734"/>
      <c r="U273" s="1734"/>
      <c r="V273" s="1734"/>
      <c r="W273" s="1734"/>
      <c r="X273" s="1734"/>
      <c r="Y273" s="1734"/>
      <c r="Z273" s="1734"/>
      <c r="AA273" s="1759"/>
      <c r="AB273" s="1759"/>
      <c r="AC273" s="1759"/>
      <c r="AD273" s="1759"/>
      <c r="AE273" s="1759"/>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08" t="s">
        <v>307</v>
      </c>
      <c r="N274" s="1408"/>
      <c r="O274" s="1408"/>
      <c r="P274" s="1408"/>
      <c r="Q274" s="1408"/>
      <c r="R274" s="1408"/>
      <c r="S274" s="1408"/>
      <c r="T274" s="1408"/>
      <c r="U274" s="204" t="s">
        <v>906</v>
      </c>
      <c r="V274" s="204"/>
      <c r="W274" s="204"/>
      <c r="X274" s="204"/>
      <c r="Y274" s="204"/>
      <c r="Z274" s="204"/>
      <c r="AA274" s="1728"/>
      <c r="AB274" s="1728"/>
      <c r="AC274" s="1728"/>
      <c r="AD274" s="1728"/>
      <c r="AE274" s="1728"/>
      <c r="AF274" s="1728"/>
      <c r="AG274" s="1728"/>
      <c r="AH274" s="1728"/>
      <c r="AI274" s="1728"/>
      <c r="AJ274" s="1728"/>
      <c r="AK274" s="1728"/>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749" t="str">
        <f>IFERROR(BO254,"")</f>
        <v>Joint Venture</v>
      </c>
      <c r="U276" s="1749"/>
      <c r="V276" s="1749"/>
      <c r="W276" s="1749"/>
      <c r="X276" s="1749"/>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468" t="s">
        <v>173</v>
      </c>
      <c r="E279" s="1468"/>
      <c r="F279" s="1468"/>
      <c r="G279" s="1468"/>
      <c r="H279" s="1468"/>
      <c r="J279" t="s">
        <v>279</v>
      </c>
      <c r="X279" s="1644">
        <v>46357</v>
      </c>
      <c r="Y279" s="1644"/>
      <c r="Z279" s="1644"/>
      <c r="AA279" s="1644"/>
      <c r="AB279" s="1644"/>
      <c r="AC279" s="1644"/>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470" t="s">
        <v>2715</v>
      </c>
      <c r="M283" s="1471"/>
      <c r="N283" s="1471"/>
      <c r="O283" s="1471"/>
      <c r="P283" s="1471"/>
      <c r="Q283" s="1471"/>
      <c r="R283" s="1471"/>
      <c r="S283" s="1471"/>
      <c r="T283" s="1471"/>
      <c r="U283" s="1471"/>
      <c r="V283" s="1471"/>
      <c r="W283" s="1471"/>
      <c r="X283" s="1471"/>
      <c r="Y283" s="1471"/>
      <c r="Z283" s="1471"/>
      <c r="AA283" s="1471"/>
      <c r="AB283" s="1471"/>
      <c r="AC283" s="1471"/>
      <c r="AD283" s="1471"/>
      <c r="AE283" s="1471"/>
      <c r="AF283" s="1471"/>
      <c r="AG283" s="1471"/>
      <c r="AH283" s="1471"/>
      <c r="AI283" s="1471"/>
      <c r="AJ283" s="1471"/>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67" t="s">
        <v>2716</v>
      </c>
      <c r="M284" s="1468"/>
      <c r="N284" s="1468"/>
      <c r="O284" s="1468"/>
      <c r="P284" s="1468"/>
      <c r="Q284" s="1468"/>
      <c r="R284" s="1468"/>
      <c r="S284" s="1468"/>
      <c r="T284" s="1468"/>
      <c r="U284" s="1468"/>
      <c r="V284" s="1468"/>
      <c r="W284" s="1468"/>
      <c r="X284" s="1468"/>
      <c r="Y284" s="1468"/>
      <c r="Z284" s="1468"/>
      <c r="AA284" s="1468"/>
      <c r="AB284" s="1468"/>
      <c r="AC284" s="1468"/>
      <c r="AD284" s="1468"/>
      <c r="AK284" s="3"/>
      <c r="AL284" s="3"/>
      <c r="AM284" s="3"/>
      <c r="AN284" s="3"/>
      <c r="AO284" s="3"/>
      <c r="AP284" s="3"/>
      <c r="AQ284" s="3"/>
      <c r="AR284" s="3"/>
      <c r="AS284" s="3"/>
      <c r="AT284" s="3"/>
      <c r="AU284" s="3"/>
      <c r="AV284" s="3"/>
      <c r="AW284" s="3"/>
      <c r="AX284" s="3"/>
      <c r="AY284" s="3"/>
    </row>
    <row r="285" spans="1:51" ht="12.95" customHeight="1">
      <c r="D285" s="4" t="s">
        <v>580</v>
      </c>
      <c r="E285" s="4"/>
      <c r="L285" s="1467" t="s">
        <v>68</v>
      </c>
      <c r="M285" s="1468"/>
      <c r="N285" s="1468"/>
      <c r="O285" s="1468"/>
      <c r="P285" s="1468"/>
      <c r="Q285" s="1468"/>
      <c r="R285" s="1468"/>
      <c r="S285" s="1468"/>
      <c r="U285" s="33" t="s">
        <v>86</v>
      </c>
      <c r="V285" s="1335" t="s">
        <v>2709</v>
      </c>
      <c r="W285" s="1406"/>
      <c r="X285" s="4" t="s">
        <v>583</v>
      </c>
      <c r="AB285" s="1468">
        <v>95811</v>
      </c>
      <c r="AC285" s="1468"/>
      <c r="AD285" s="1468"/>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467" t="s">
        <v>2717</v>
      </c>
      <c r="M286" s="1468"/>
      <c r="N286" s="1468"/>
      <c r="O286" s="1468"/>
      <c r="P286" s="1468"/>
      <c r="Q286" s="1468"/>
      <c r="R286" s="1468"/>
      <c r="S286" s="1468"/>
      <c r="T286" s="1468"/>
      <c r="U286" s="1468"/>
      <c r="V286" s="1468"/>
      <c r="W286" s="1468"/>
      <c r="X286" s="1468"/>
      <c r="Y286" s="1468"/>
      <c r="Z286" s="1468"/>
      <c r="AA286" s="1468"/>
      <c r="AB286" s="1468"/>
      <c r="AC286" s="1468"/>
      <c r="AD286" s="1468"/>
      <c r="AI286" s="4"/>
      <c r="AJ286" s="4"/>
      <c r="AK286" s="3"/>
      <c r="AL286" s="3"/>
      <c r="AM286" s="3"/>
      <c r="AN286" s="3"/>
      <c r="AO286" s="3"/>
      <c r="AP286" s="3"/>
      <c r="AQ286" s="3"/>
      <c r="AR286" s="3"/>
      <c r="AS286" s="3"/>
      <c r="AT286" s="3"/>
    </row>
    <row r="287" spans="1:51" ht="12.95" customHeight="1">
      <c r="D287" s="4" t="s">
        <v>88</v>
      </c>
      <c r="E287" s="4"/>
      <c r="F287" s="4"/>
      <c r="L287" s="1496" t="s">
        <v>2721</v>
      </c>
      <c r="M287" s="1424"/>
      <c r="N287" s="1424"/>
      <c r="O287" s="1424"/>
      <c r="P287" s="1424"/>
      <c r="Q287" s="1424"/>
      <c r="R287" s="4" t="s">
        <v>206</v>
      </c>
      <c r="S287" s="4"/>
      <c r="T287" s="1406"/>
      <c r="U287" s="1406"/>
      <c r="V287" s="1406"/>
      <c r="W287" s="4" t="s">
        <v>89</v>
      </c>
      <c r="Y287" s="1424"/>
      <c r="Z287" s="1424"/>
      <c r="AA287" s="1424"/>
      <c r="AB287" s="1424"/>
      <c r="AC287" s="1424"/>
      <c r="AD287" s="1424"/>
    </row>
    <row r="288" spans="1:51" ht="12.95" customHeight="1">
      <c r="D288" s="4" t="s">
        <v>90</v>
      </c>
      <c r="E288" s="4"/>
      <c r="F288" s="4"/>
      <c r="L288" s="1734" t="s">
        <v>2718</v>
      </c>
      <c r="M288" s="1734"/>
      <c r="N288" s="1734"/>
      <c r="O288" s="1734"/>
      <c r="P288" s="1734"/>
      <c r="Q288" s="1734"/>
      <c r="R288" s="1734"/>
      <c r="S288" s="1734"/>
      <c r="T288" s="1734"/>
      <c r="U288" s="1734"/>
      <c r="V288" s="1734"/>
      <c r="W288" s="1734"/>
      <c r="X288" s="1734"/>
      <c r="Y288" s="1734"/>
      <c r="Z288" s="1734"/>
      <c r="AA288" s="1734"/>
      <c r="AB288" s="1734"/>
      <c r="AC288" s="1734"/>
      <c r="AD288" s="1734"/>
      <c r="AF288" s="4"/>
      <c r="AG288" s="4"/>
      <c r="AH288" s="4"/>
      <c r="AI288" s="4"/>
      <c r="AJ288" s="4"/>
      <c r="AU288" s="3"/>
      <c r="AV288" s="3"/>
      <c r="AW288" s="3"/>
      <c r="AX288" s="3"/>
      <c r="AY288" s="3"/>
    </row>
    <row r="289" spans="1:51" ht="12.95" customHeight="1">
      <c r="D289" s="3" t="s">
        <v>623</v>
      </c>
      <c r="E289" s="3"/>
      <c r="F289" s="3"/>
      <c r="G289" s="3"/>
      <c r="H289" s="3"/>
      <c r="I289" s="3"/>
      <c r="L289" s="1335" t="s">
        <v>2739</v>
      </c>
      <c r="M289" s="1335"/>
      <c r="N289" s="1335"/>
      <c r="O289" s="1335"/>
      <c r="P289" s="1335"/>
      <c r="Q289" s="1335"/>
      <c r="R289" s="1335"/>
      <c r="S289" s="1335"/>
      <c r="T289" s="1335"/>
      <c r="U289" s="1335"/>
      <c r="V289" s="1335"/>
      <c r="W289" s="1335"/>
      <c r="X289" s="1335"/>
      <c r="Y289" s="1335"/>
      <c r="Z289" s="1335"/>
      <c r="AA289" s="1335"/>
      <c r="AB289" s="1335"/>
      <c r="AC289" s="1335"/>
      <c r="AD289" s="1335"/>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86" t="s">
        <v>541</v>
      </c>
      <c r="B291" s="1486"/>
      <c r="C291" s="1486"/>
      <c r="D291" s="1486"/>
      <c r="E291" s="1486"/>
      <c r="F291" s="1486"/>
      <c r="G291" s="1486"/>
      <c r="H291" s="1486"/>
      <c r="I291" s="1486"/>
      <c r="J291" s="1486"/>
      <c r="K291" s="1486"/>
      <c r="L291" s="1486"/>
      <c r="M291" s="1486"/>
      <c r="N291" s="1486"/>
      <c r="O291" s="1486"/>
      <c r="P291" s="1486"/>
      <c r="Q291" s="1486"/>
      <c r="R291" s="1486"/>
      <c r="S291" s="1486"/>
      <c r="T291" s="1486"/>
      <c r="U291" s="1486"/>
      <c r="V291" s="1486"/>
      <c r="W291" s="1486"/>
      <c r="X291" s="1486"/>
      <c r="Y291" s="1486"/>
      <c r="Z291" s="1486"/>
      <c r="AA291" s="1486"/>
      <c r="AB291" s="1486"/>
      <c r="AC291" s="1486"/>
      <c r="AD291" s="1486"/>
      <c r="AE291" s="1486"/>
      <c r="AF291" s="1486"/>
      <c r="AG291" s="1486"/>
      <c r="AH291" s="1486"/>
      <c r="AI291" s="1486"/>
      <c r="AJ291" s="1486"/>
      <c r="AK291" s="1486"/>
      <c r="AL291" s="1486"/>
      <c r="AM291" s="1486"/>
      <c r="AN291" s="1486"/>
      <c r="AO291" s="1486"/>
      <c r="AP291" s="1486"/>
      <c r="AQ291" s="1486"/>
      <c r="AR291" s="1486"/>
      <c r="AS291" s="1486"/>
      <c r="AT291" s="1486"/>
      <c r="AU291" s="95"/>
      <c r="AV291" s="95"/>
      <c r="AW291" s="95"/>
      <c r="AX291" s="95"/>
      <c r="AY291" s="95"/>
    </row>
    <row r="292" spans="1:51" ht="12.95" customHeight="1">
      <c r="A292" s="1486"/>
      <c r="B292" s="1486"/>
      <c r="C292" s="1486"/>
      <c r="D292" s="1486"/>
      <c r="E292" s="1486"/>
      <c r="F292" s="1486"/>
      <c r="G292" s="1486"/>
      <c r="H292" s="1486"/>
      <c r="I292" s="1486"/>
      <c r="J292" s="1486"/>
      <c r="K292" s="1486"/>
      <c r="L292" s="1486"/>
      <c r="M292" s="1486"/>
      <c r="N292" s="1486"/>
      <c r="O292" s="1486"/>
      <c r="P292" s="1486"/>
      <c r="Q292" s="1486"/>
      <c r="R292" s="1486"/>
      <c r="S292" s="1486"/>
      <c r="T292" s="1486"/>
      <c r="U292" s="1486"/>
      <c r="V292" s="1486"/>
      <c r="W292" s="1486"/>
      <c r="X292" s="1486"/>
      <c r="Y292" s="1486"/>
      <c r="Z292" s="1486"/>
      <c r="AA292" s="1486"/>
      <c r="AB292" s="1486"/>
      <c r="AC292" s="1486"/>
      <c r="AD292" s="1486"/>
      <c r="AE292" s="1486"/>
      <c r="AF292" s="1486"/>
      <c r="AG292" s="1486"/>
      <c r="AH292" s="1486"/>
      <c r="AI292" s="1486"/>
      <c r="AJ292" s="1486"/>
      <c r="AK292" s="1486"/>
      <c r="AL292" s="1486"/>
      <c r="AM292" s="1486"/>
      <c r="AN292" s="1486"/>
      <c r="AO292" s="1486"/>
      <c r="AP292" s="1486"/>
      <c r="AQ292" s="1486"/>
      <c r="AR292" s="1486"/>
      <c r="AS292" s="1486"/>
      <c r="AT292" s="1486"/>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428" t="s">
        <v>2728</v>
      </c>
      <c r="I296" s="1428"/>
      <c r="J296" s="1428"/>
      <c r="K296" s="1428"/>
      <c r="L296" s="1428"/>
      <c r="M296" s="1428"/>
      <c r="N296" s="1428"/>
      <c r="O296" s="1428"/>
      <c r="P296" s="1428"/>
      <c r="Q296" s="1428"/>
      <c r="R296" s="1428"/>
      <c r="T296" s="3" t="s">
        <v>567</v>
      </c>
      <c r="V296" s="3"/>
      <c r="W296" s="3"/>
      <c r="X296" s="3"/>
      <c r="Y296" s="3"/>
      <c r="AA296" s="1428" t="s">
        <v>2722</v>
      </c>
      <c r="AB296" s="1428"/>
      <c r="AC296" s="1428"/>
      <c r="AD296" s="1428"/>
      <c r="AE296" s="1428"/>
      <c r="AF296" s="1428"/>
      <c r="AG296" s="1428"/>
      <c r="AH296" s="1428"/>
      <c r="AI296" s="1428"/>
      <c r="AJ296" s="1428"/>
      <c r="AK296" s="1428"/>
    </row>
    <row r="297" spans="1:51" ht="12.95" customHeight="1">
      <c r="B297" s="3" t="s">
        <v>471</v>
      </c>
      <c r="C297" s="3"/>
      <c r="D297" s="3"/>
      <c r="E297" s="3"/>
      <c r="F297" s="3"/>
      <c r="H297" s="1408" t="s">
        <v>2729</v>
      </c>
      <c r="I297" s="1408"/>
      <c r="J297" s="1408"/>
      <c r="K297" s="1408"/>
      <c r="L297" s="1408"/>
      <c r="M297" s="1408"/>
      <c r="N297" s="1408"/>
      <c r="O297" s="1408"/>
      <c r="P297" s="1408"/>
      <c r="Q297" s="1408"/>
      <c r="R297" s="1408"/>
      <c r="T297" s="3" t="s">
        <v>471</v>
      </c>
      <c r="V297" s="3"/>
      <c r="W297" s="3"/>
      <c r="X297" s="3"/>
      <c r="Y297" s="3"/>
      <c r="AA297" s="1408" t="s">
        <v>2724</v>
      </c>
      <c r="AB297" s="1408"/>
      <c r="AC297" s="1408"/>
      <c r="AD297" s="1408"/>
      <c r="AE297" s="1408"/>
      <c r="AF297" s="1408"/>
      <c r="AG297" s="1408"/>
      <c r="AH297" s="1408"/>
      <c r="AI297" s="1408"/>
      <c r="AJ297" s="1408"/>
      <c r="AK297" s="1408"/>
    </row>
    <row r="298" spans="1:51" ht="12.95" customHeight="1">
      <c r="B298" s="3" t="s">
        <v>472</v>
      </c>
      <c r="C298" s="3"/>
      <c r="D298" s="3"/>
      <c r="E298" s="3"/>
      <c r="F298" s="3"/>
      <c r="H298" s="1408" t="s">
        <v>2702</v>
      </c>
      <c r="I298" s="1408"/>
      <c r="J298" s="1408"/>
      <c r="K298" s="1408"/>
      <c r="L298" s="1408"/>
      <c r="M298" s="1408"/>
      <c r="N298" s="1408"/>
      <c r="O298" s="1408"/>
      <c r="P298" s="1408"/>
      <c r="Q298" s="1408"/>
      <c r="R298" s="1408"/>
      <c r="T298" s="3" t="s">
        <v>75</v>
      </c>
      <c r="V298" s="3"/>
      <c r="W298" s="3"/>
      <c r="X298" s="3"/>
      <c r="Y298" s="3"/>
      <c r="AA298" s="1408" t="s">
        <v>2725</v>
      </c>
      <c r="AB298" s="1408"/>
      <c r="AC298" s="1408"/>
      <c r="AD298" s="1408"/>
      <c r="AE298" s="1408"/>
      <c r="AF298" s="1408"/>
      <c r="AG298" s="1408"/>
      <c r="AH298" s="1408"/>
      <c r="AI298" s="1408"/>
      <c r="AJ298" s="1408"/>
      <c r="AK298" s="1408"/>
    </row>
    <row r="299" spans="1:51" ht="12.95" customHeight="1">
      <c r="B299" s="3" t="s">
        <v>87</v>
      </c>
      <c r="C299" s="3"/>
      <c r="D299" s="3"/>
      <c r="E299" s="3"/>
      <c r="F299" s="3"/>
      <c r="H299" s="1408" t="s">
        <v>2713</v>
      </c>
      <c r="I299" s="1408"/>
      <c r="J299" s="1408"/>
      <c r="K299" s="1408"/>
      <c r="L299" s="1408"/>
      <c r="M299" s="1408"/>
      <c r="N299" s="1408"/>
      <c r="O299" s="1408"/>
      <c r="P299" s="1408"/>
      <c r="Q299" s="1408"/>
      <c r="R299" s="1408"/>
      <c r="T299" s="3" t="s">
        <v>87</v>
      </c>
      <c r="V299" s="3"/>
      <c r="W299" s="3"/>
      <c r="X299" s="3"/>
      <c r="Y299" s="3"/>
      <c r="AA299" s="1408" t="s">
        <v>2723</v>
      </c>
      <c r="AB299" s="1408"/>
      <c r="AC299" s="1408"/>
      <c r="AD299" s="1408"/>
      <c r="AE299" s="1408"/>
      <c r="AF299" s="1408"/>
      <c r="AG299" s="1408"/>
      <c r="AH299" s="1408"/>
      <c r="AI299" s="1408"/>
      <c r="AJ299" s="1408"/>
      <c r="AK299" s="1408"/>
    </row>
    <row r="300" spans="1:51" ht="12.95" customHeight="1">
      <c r="B300" s="3" t="s">
        <v>88</v>
      </c>
      <c r="C300" s="3"/>
      <c r="D300" s="3"/>
      <c r="E300" s="3"/>
      <c r="F300" s="3"/>
      <c r="G300" s="3"/>
      <c r="H300" s="1494" t="s">
        <v>2730</v>
      </c>
      <c r="I300" s="1487"/>
      <c r="J300" s="1487"/>
      <c r="K300" s="1487"/>
      <c r="L300" s="1487"/>
      <c r="M300" s="1487"/>
      <c r="N300" s="4" t="s">
        <v>206</v>
      </c>
      <c r="O300" s="4"/>
      <c r="P300" s="1468"/>
      <c r="Q300" s="1468"/>
      <c r="R300" s="1468"/>
      <c r="S300" s="3"/>
      <c r="T300" s="3" t="s">
        <v>88</v>
      </c>
      <c r="V300" s="3"/>
      <c r="W300" s="3"/>
      <c r="X300" s="3"/>
      <c r="Y300" s="3"/>
      <c r="AA300" s="1494" t="s">
        <v>2726</v>
      </c>
      <c r="AB300" s="1487"/>
      <c r="AC300" s="1487"/>
      <c r="AD300" s="1487"/>
      <c r="AE300" s="1487"/>
      <c r="AF300" s="1487"/>
      <c r="AG300" s="4" t="s">
        <v>206</v>
      </c>
      <c r="AH300" s="4"/>
      <c r="AI300" s="1468"/>
      <c r="AJ300" s="1468"/>
      <c r="AK300" s="1468"/>
    </row>
    <row r="301" spans="1:51" ht="12.95" customHeight="1">
      <c r="B301" s="3" t="s">
        <v>89</v>
      </c>
      <c r="C301" s="3"/>
      <c r="D301" s="3"/>
      <c r="E301" s="3"/>
      <c r="F301" s="3"/>
      <c r="G301" s="3"/>
      <c r="H301" s="1424"/>
      <c r="I301" s="1424"/>
      <c r="J301" s="1424"/>
      <c r="K301" s="1424"/>
      <c r="L301" s="1424"/>
      <c r="M301" s="1424"/>
      <c r="N301" s="4"/>
      <c r="O301" s="4"/>
      <c r="P301" s="35"/>
      <c r="Q301" s="35"/>
      <c r="R301" s="35"/>
      <c r="S301" s="3"/>
      <c r="T301" s="3" t="s">
        <v>89</v>
      </c>
      <c r="V301" s="3"/>
      <c r="W301" s="3"/>
      <c r="X301" s="3"/>
      <c r="Y301" s="3"/>
      <c r="AA301" s="1424"/>
      <c r="AB301" s="1424"/>
      <c r="AC301" s="1424"/>
      <c r="AD301" s="1424"/>
      <c r="AE301" s="1424"/>
      <c r="AF301" s="1424"/>
      <c r="AG301" s="4"/>
      <c r="AH301" s="4"/>
      <c r="AI301" s="35"/>
      <c r="AJ301" s="35"/>
      <c r="AK301" s="35"/>
    </row>
    <row r="302" spans="1:51" ht="12.95" customHeight="1">
      <c r="B302" s="3" t="s">
        <v>76</v>
      </c>
      <c r="C302" s="3"/>
      <c r="D302" s="3"/>
      <c r="E302" s="3"/>
      <c r="F302" s="3"/>
      <c r="G302" s="3"/>
      <c r="H302" s="1408" t="s">
        <v>2731</v>
      </c>
      <c r="I302" s="1408"/>
      <c r="J302" s="1408"/>
      <c r="K302" s="1408"/>
      <c r="L302" s="1408"/>
      <c r="M302" s="1408"/>
      <c r="N302" s="1428"/>
      <c r="O302" s="1428"/>
      <c r="P302" s="1428"/>
      <c r="Q302" s="1428"/>
      <c r="R302" s="1428"/>
      <c r="S302" s="3"/>
      <c r="T302" s="3" t="s">
        <v>76</v>
      </c>
      <c r="V302" s="3"/>
      <c r="W302" s="3"/>
      <c r="X302" s="3"/>
      <c r="Y302" s="3"/>
      <c r="AA302" s="1408" t="s">
        <v>2727</v>
      </c>
      <c r="AB302" s="1408"/>
      <c r="AC302" s="1408"/>
      <c r="AD302" s="1408"/>
      <c r="AE302" s="1408"/>
      <c r="AF302" s="1408"/>
      <c r="AG302" s="1428"/>
      <c r="AH302" s="1428"/>
      <c r="AI302" s="1428"/>
      <c r="AJ302" s="1428"/>
      <c r="AK302" s="1428"/>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28" t="s">
        <v>2715</v>
      </c>
      <c r="I304" s="1428"/>
      <c r="J304" s="1428"/>
      <c r="K304" s="1428"/>
      <c r="L304" s="1428"/>
      <c r="M304" s="1428"/>
      <c r="N304" s="1428"/>
      <c r="O304" s="1428"/>
      <c r="P304" s="1428"/>
      <c r="Q304" s="1428"/>
      <c r="R304" s="1428"/>
      <c r="T304" s="3" t="s">
        <v>364</v>
      </c>
      <c r="V304" s="3"/>
      <c r="W304" s="3"/>
      <c r="X304" s="3"/>
      <c r="Y304" s="3"/>
      <c r="AA304" s="1428" t="s">
        <v>2746</v>
      </c>
      <c r="AB304" s="1428"/>
      <c r="AC304" s="1428"/>
      <c r="AD304" s="1428"/>
      <c r="AE304" s="1428"/>
      <c r="AF304" s="1428"/>
      <c r="AG304" s="1428"/>
      <c r="AH304" s="1428"/>
      <c r="AI304" s="1428"/>
      <c r="AJ304" s="1428"/>
      <c r="AK304" s="1428"/>
    </row>
    <row r="305" spans="2:72" ht="12.95" customHeight="1">
      <c r="B305" s="3" t="s">
        <v>471</v>
      </c>
      <c r="C305" s="3"/>
      <c r="D305" s="3"/>
      <c r="E305" s="3"/>
      <c r="F305" s="3"/>
      <c r="H305" s="1408" t="s">
        <v>2716</v>
      </c>
      <c r="I305" s="1408"/>
      <c r="J305" s="1408"/>
      <c r="K305" s="1408"/>
      <c r="L305" s="1408"/>
      <c r="M305" s="1408"/>
      <c r="N305" s="1408"/>
      <c r="O305" s="1408"/>
      <c r="P305" s="1408"/>
      <c r="Q305" s="1408"/>
      <c r="R305" s="1408"/>
      <c r="T305" s="3" t="s">
        <v>471</v>
      </c>
      <c r="V305" s="3"/>
      <c r="W305" s="3"/>
      <c r="X305" s="3"/>
      <c r="Y305" s="3"/>
      <c r="AA305" s="1408" t="s">
        <v>2729</v>
      </c>
      <c r="AB305" s="1408"/>
      <c r="AC305" s="1408"/>
      <c r="AD305" s="1408"/>
      <c r="AE305" s="1408"/>
      <c r="AF305" s="1408"/>
      <c r="AG305" s="1408"/>
      <c r="AH305" s="1408"/>
      <c r="AI305" s="1408"/>
      <c r="AJ305" s="1408"/>
      <c r="AK305" s="1408"/>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08" t="s">
        <v>2719</v>
      </c>
      <c r="I306" s="1408"/>
      <c r="J306" s="1408"/>
      <c r="K306" s="1408"/>
      <c r="L306" s="1408"/>
      <c r="M306" s="1408"/>
      <c r="N306" s="1408"/>
      <c r="O306" s="1408"/>
      <c r="P306" s="1408"/>
      <c r="Q306" s="1408"/>
      <c r="R306" s="1408"/>
      <c r="T306" s="3" t="s">
        <v>75</v>
      </c>
      <c r="V306" s="3"/>
      <c r="W306" s="3"/>
      <c r="X306" s="3"/>
      <c r="Y306" s="3"/>
      <c r="AA306" s="1408" t="s">
        <v>2702</v>
      </c>
      <c r="AB306" s="1408"/>
      <c r="AC306" s="1408"/>
      <c r="AD306" s="1408"/>
      <c r="AE306" s="1408"/>
      <c r="AF306" s="1408"/>
      <c r="AG306" s="1408"/>
      <c r="AH306" s="1408"/>
      <c r="AI306" s="1408"/>
      <c r="AJ306" s="1408"/>
      <c r="AK306" s="1408"/>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08" t="s">
        <v>2720</v>
      </c>
      <c r="I307" s="1408"/>
      <c r="J307" s="1408"/>
      <c r="K307" s="1408"/>
      <c r="L307" s="1408"/>
      <c r="M307" s="1408"/>
      <c r="N307" s="1408"/>
      <c r="O307" s="1408"/>
      <c r="P307" s="1408"/>
      <c r="Q307" s="1408"/>
      <c r="R307" s="1408"/>
      <c r="T307" s="3" t="s">
        <v>87</v>
      </c>
      <c r="V307" s="3"/>
      <c r="W307" s="3"/>
      <c r="X307" s="3"/>
      <c r="Y307" s="3"/>
      <c r="AA307" s="1408" t="s">
        <v>2713</v>
      </c>
      <c r="AB307" s="1408"/>
      <c r="AC307" s="1408"/>
      <c r="AD307" s="1408"/>
      <c r="AE307" s="1408"/>
      <c r="AF307" s="1408"/>
      <c r="AG307" s="1408"/>
      <c r="AH307" s="1408"/>
      <c r="AI307" s="1408"/>
      <c r="AJ307" s="1408"/>
      <c r="AK307" s="1408"/>
    </row>
    <row r="308" spans="2:72" ht="12.95" customHeight="1">
      <c r="B308" s="3" t="s">
        <v>88</v>
      </c>
      <c r="C308" s="3"/>
      <c r="D308" s="3"/>
      <c r="E308" s="3"/>
      <c r="F308" s="3"/>
      <c r="G308" s="3"/>
      <c r="H308" s="1494" t="s">
        <v>2721</v>
      </c>
      <c r="I308" s="1487"/>
      <c r="J308" s="1487"/>
      <c r="K308" s="1487"/>
      <c r="L308" s="1487"/>
      <c r="M308" s="1487"/>
      <c r="N308" s="4" t="s">
        <v>206</v>
      </c>
      <c r="O308" s="4"/>
      <c r="P308" s="1468"/>
      <c r="Q308" s="1468"/>
      <c r="R308" s="1468"/>
      <c r="S308" s="3"/>
      <c r="T308" s="3" t="s">
        <v>88</v>
      </c>
      <c r="V308" s="3"/>
      <c r="W308" s="3"/>
      <c r="X308" s="3"/>
      <c r="Y308" s="3"/>
      <c r="AA308" s="1494" t="s">
        <v>2732</v>
      </c>
      <c r="AB308" s="1487"/>
      <c r="AC308" s="1487"/>
      <c r="AD308" s="1487"/>
      <c r="AE308" s="1487"/>
      <c r="AF308" s="1487"/>
      <c r="AG308" s="4" t="s">
        <v>206</v>
      </c>
      <c r="AH308" s="4"/>
      <c r="AI308" s="1468"/>
      <c r="AJ308" s="1468"/>
      <c r="AK308" s="1468"/>
    </row>
    <row r="309" spans="2:72" ht="12.95" customHeight="1">
      <c r="B309" s="3" t="s">
        <v>89</v>
      </c>
      <c r="C309" s="3"/>
      <c r="D309" s="3"/>
      <c r="E309" s="3"/>
      <c r="F309" s="3"/>
      <c r="G309" s="3"/>
      <c r="H309" s="1424"/>
      <c r="I309" s="1424"/>
      <c r="J309" s="1424"/>
      <c r="K309" s="1424"/>
      <c r="L309" s="1424"/>
      <c r="M309" s="1424"/>
      <c r="N309" s="4"/>
      <c r="O309" s="4"/>
      <c r="P309" s="35"/>
      <c r="Q309" s="35"/>
      <c r="R309" s="35"/>
      <c r="S309" s="3"/>
      <c r="T309" s="3" t="s">
        <v>89</v>
      </c>
      <c r="V309" s="3"/>
      <c r="W309" s="3"/>
      <c r="X309" s="3"/>
      <c r="Y309" s="3"/>
      <c r="AA309" s="1424"/>
      <c r="AB309" s="1424"/>
      <c r="AC309" s="1424"/>
      <c r="AD309" s="1424"/>
      <c r="AE309" s="1424"/>
      <c r="AF309" s="1424"/>
      <c r="AG309" s="4"/>
      <c r="AH309" s="4"/>
      <c r="AI309" s="35"/>
      <c r="AJ309" s="35"/>
      <c r="AK309" s="35"/>
    </row>
    <row r="310" spans="2:72" ht="12.95" customHeight="1">
      <c r="B310" s="3" t="s">
        <v>76</v>
      </c>
      <c r="C310" s="3"/>
      <c r="D310" s="3"/>
      <c r="E310" s="3"/>
      <c r="F310" s="3"/>
      <c r="G310" s="3"/>
      <c r="H310" s="1408" t="s">
        <v>2718</v>
      </c>
      <c r="I310" s="1408"/>
      <c r="J310" s="1408"/>
      <c r="K310" s="1408"/>
      <c r="L310" s="1408"/>
      <c r="M310" s="1408"/>
      <c r="N310" s="1428"/>
      <c r="O310" s="1428"/>
      <c r="P310" s="1428"/>
      <c r="Q310" s="1428"/>
      <c r="R310" s="1428"/>
      <c r="S310" s="3"/>
      <c r="T310" s="3" t="s">
        <v>76</v>
      </c>
      <c r="V310" s="3"/>
      <c r="W310" s="3"/>
      <c r="X310" s="3"/>
      <c r="Y310" s="3"/>
      <c r="AA310" s="1408" t="s">
        <v>2707</v>
      </c>
      <c r="AB310" s="1408"/>
      <c r="AC310" s="1408"/>
      <c r="AD310" s="1408"/>
      <c r="AE310" s="1408"/>
      <c r="AF310" s="1408"/>
      <c r="AG310" s="1428"/>
      <c r="AH310" s="1428"/>
      <c r="AI310" s="1428"/>
      <c r="AJ310" s="1428"/>
      <c r="AK310" s="1428"/>
    </row>
    <row r="311" spans="2:72" ht="12.95" customHeight="1"/>
    <row r="312" spans="2:72" ht="12.95" customHeight="1">
      <c r="B312" s="3" t="s">
        <v>77</v>
      </c>
      <c r="C312" s="3"/>
      <c r="D312" s="3"/>
      <c r="E312" s="3"/>
      <c r="F312" s="3"/>
      <c r="H312" s="1428" t="s">
        <v>2715</v>
      </c>
      <c r="I312" s="1428"/>
      <c r="J312" s="1428"/>
      <c r="K312" s="1428"/>
      <c r="L312" s="1428"/>
      <c r="M312" s="1428"/>
      <c r="N312" s="1428"/>
      <c r="O312" s="1428"/>
      <c r="P312" s="1428"/>
      <c r="Q312" s="1428"/>
      <c r="R312" s="1428"/>
      <c r="T312" s="4" t="s">
        <v>878</v>
      </c>
      <c r="V312" s="3"/>
      <c r="W312" s="3"/>
      <c r="X312" s="3"/>
      <c r="Y312" s="3"/>
      <c r="AA312" s="1428" t="s">
        <v>591</v>
      </c>
      <c r="AB312" s="1428"/>
      <c r="AC312" s="1428"/>
      <c r="AD312" s="1428"/>
      <c r="AE312" s="1428"/>
      <c r="AF312" s="1428"/>
      <c r="AG312" s="1428"/>
      <c r="AH312" s="1428"/>
      <c r="AI312" s="1428"/>
      <c r="AJ312" s="1428"/>
      <c r="AK312" s="1428"/>
    </row>
    <row r="313" spans="2:72" ht="12.95" customHeight="1">
      <c r="B313" s="3" t="s">
        <v>471</v>
      </c>
      <c r="C313" s="3"/>
      <c r="D313" s="3"/>
      <c r="E313" s="3"/>
      <c r="F313" s="3"/>
      <c r="H313" s="1408" t="s">
        <v>2716</v>
      </c>
      <c r="I313" s="1408"/>
      <c r="J313" s="1408"/>
      <c r="K313" s="1408"/>
      <c r="L313" s="1408"/>
      <c r="M313" s="1408"/>
      <c r="N313" s="1408"/>
      <c r="O313" s="1408"/>
      <c r="P313" s="1408"/>
      <c r="Q313" s="1408"/>
      <c r="R313" s="1408"/>
      <c r="T313" s="3" t="s">
        <v>471</v>
      </c>
      <c r="V313" s="3"/>
      <c r="W313" s="3"/>
      <c r="X313" s="3"/>
      <c r="Y313" s="3"/>
      <c r="AA313" s="1408"/>
      <c r="AB313" s="1408"/>
      <c r="AC313" s="1408"/>
      <c r="AD313" s="1408"/>
      <c r="AE313" s="1408"/>
      <c r="AF313" s="1408"/>
      <c r="AG313" s="1408"/>
      <c r="AH313" s="1408"/>
      <c r="AI313" s="1408"/>
      <c r="AJ313" s="1408"/>
      <c r="AK313" s="1408"/>
    </row>
    <row r="314" spans="2:72" ht="12.95" customHeight="1">
      <c r="B314" s="3" t="s">
        <v>472</v>
      </c>
      <c r="C314" s="3"/>
      <c r="D314" s="3"/>
      <c r="E314" s="3"/>
      <c r="F314" s="3"/>
      <c r="H314" s="1408" t="s">
        <v>2719</v>
      </c>
      <c r="I314" s="1408"/>
      <c r="J314" s="1408"/>
      <c r="K314" s="1408"/>
      <c r="L314" s="1408"/>
      <c r="M314" s="1408"/>
      <c r="N314" s="1408"/>
      <c r="O314" s="1408"/>
      <c r="P314" s="1408"/>
      <c r="Q314" s="1408"/>
      <c r="R314" s="1408"/>
      <c r="T314" s="3" t="s">
        <v>75</v>
      </c>
      <c r="V314" s="3"/>
      <c r="W314" s="3"/>
      <c r="X314" s="3"/>
      <c r="Y314" s="3"/>
      <c r="AA314" s="1408"/>
      <c r="AB314" s="1408"/>
      <c r="AC314" s="1408"/>
      <c r="AD314" s="1408"/>
      <c r="AE314" s="1408"/>
      <c r="AF314" s="1408"/>
      <c r="AG314" s="1408"/>
      <c r="AH314" s="1408"/>
      <c r="AI314" s="1408"/>
      <c r="AJ314" s="1408"/>
      <c r="AK314" s="1408"/>
    </row>
    <row r="315" spans="2:72" ht="12.95" customHeight="1">
      <c r="B315" s="3" t="s">
        <v>87</v>
      </c>
      <c r="C315" s="3"/>
      <c r="D315" s="3"/>
      <c r="E315" s="3"/>
      <c r="F315" s="3"/>
      <c r="H315" s="1408" t="s">
        <v>2720</v>
      </c>
      <c r="I315" s="1408"/>
      <c r="J315" s="1408"/>
      <c r="K315" s="1408"/>
      <c r="L315" s="1408"/>
      <c r="M315" s="1408"/>
      <c r="N315" s="1408"/>
      <c r="O315" s="1408"/>
      <c r="P315" s="1408"/>
      <c r="Q315" s="1408"/>
      <c r="R315" s="1408"/>
      <c r="T315" s="3" t="s">
        <v>87</v>
      </c>
      <c r="V315" s="3"/>
      <c r="W315" s="3"/>
      <c r="X315" s="3"/>
      <c r="Y315" s="3"/>
      <c r="AA315" s="1408"/>
      <c r="AB315" s="1408"/>
      <c r="AC315" s="1408"/>
      <c r="AD315" s="1408"/>
      <c r="AE315" s="1408"/>
      <c r="AF315" s="1408"/>
      <c r="AG315" s="1408"/>
      <c r="AH315" s="1408"/>
      <c r="AI315" s="1408"/>
      <c r="AJ315" s="1408"/>
      <c r="AK315" s="1408"/>
    </row>
    <row r="316" spans="2:72" ht="12.95" customHeight="1">
      <c r="B316" s="3" t="s">
        <v>88</v>
      </c>
      <c r="C316" s="3"/>
      <c r="D316" s="3"/>
      <c r="E316" s="3"/>
      <c r="F316" s="3"/>
      <c r="G316" s="3"/>
      <c r="H316" s="1494" t="s">
        <v>2721</v>
      </c>
      <c r="I316" s="1487"/>
      <c r="J316" s="1487"/>
      <c r="K316" s="1487"/>
      <c r="L316" s="1487"/>
      <c r="M316" s="1487"/>
      <c r="N316" s="4" t="s">
        <v>206</v>
      </c>
      <c r="O316" s="4"/>
      <c r="P316" s="1468"/>
      <c r="Q316" s="1468"/>
      <c r="R316" s="1468"/>
      <c r="S316" s="3"/>
      <c r="T316" s="3" t="s">
        <v>88</v>
      </c>
      <c r="V316" s="3"/>
      <c r="W316" s="3"/>
      <c r="X316" s="3"/>
      <c r="Y316" s="3"/>
      <c r="AA316" s="1487"/>
      <c r="AB316" s="1487"/>
      <c r="AC316" s="1487"/>
      <c r="AD316" s="1487"/>
      <c r="AE316" s="1487"/>
      <c r="AF316" s="1487"/>
      <c r="AG316" s="4" t="s">
        <v>206</v>
      </c>
      <c r="AH316" s="4"/>
      <c r="AI316" s="1468"/>
      <c r="AJ316" s="1468"/>
      <c r="AK316" s="1468"/>
    </row>
    <row r="317" spans="2:72" ht="12.95" customHeight="1">
      <c r="B317" s="3" t="s">
        <v>89</v>
      </c>
      <c r="C317" s="3"/>
      <c r="D317" s="3"/>
      <c r="E317" s="3"/>
      <c r="F317" s="3"/>
      <c r="G317" s="3"/>
      <c r="H317" s="1424"/>
      <c r="I317" s="1424"/>
      <c r="J317" s="1424"/>
      <c r="K317" s="1424"/>
      <c r="L317" s="1424"/>
      <c r="M317" s="1424"/>
      <c r="N317" s="4"/>
      <c r="O317" s="4"/>
      <c r="P317" s="35"/>
      <c r="Q317" s="35"/>
      <c r="R317" s="35"/>
      <c r="S317" s="3"/>
      <c r="T317" s="3" t="s">
        <v>89</v>
      </c>
      <c r="V317" s="3"/>
      <c r="W317" s="3"/>
      <c r="X317" s="3"/>
      <c r="Y317" s="3"/>
      <c r="AA317" s="1424"/>
      <c r="AB317" s="1424"/>
      <c r="AC317" s="1424"/>
      <c r="AD317" s="1424"/>
      <c r="AE317" s="1424"/>
      <c r="AF317" s="1424"/>
      <c r="AG317" s="4"/>
      <c r="AH317" s="4"/>
      <c r="AI317" s="35"/>
      <c r="AJ317" s="35"/>
      <c r="AK317" s="35"/>
    </row>
    <row r="318" spans="2:72" ht="12.95" customHeight="1">
      <c r="B318" s="3" t="s">
        <v>76</v>
      </c>
      <c r="C318" s="3"/>
      <c r="D318" s="3"/>
      <c r="E318" s="3"/>
      <c r="F318" s="3"/>
      <c r="G318" s="3"/>
      <c r="H318" s="1408" t="s">
        <v>2718</v>
      </c>
      <c r="I318" s="1408"/>
      <c r="J318" s="1408"/>
      <c r="K318" s="1408"/>
      <c r="L318" s="1408"/>
      <c r="M318" s="1408"/>
      <c r="N318" s="1428"/>
      <c r="O318" s="1428"/>
      <c r="P318" s="1428"/>
      <c r="Q318" s="1428"/>
      <c r="R318" s="1428"/>
      <c r="S318" s="3"/>
      <c r="T318" s="3" t="s">
        <v>76</v>
      </c>
      <c r="V318" s="3"/>
      <c r="W318" s="3"/>
      <c r="X318" s="3"/>
      <c r="Y318" s="3"/>
      <c r="AA318" s="1408"/>
      <c r="AB318" s="1408"/>
      <c r="AC318" s="1408"/>
      <c r="AD318" s="1408"/>
      <c r="AE318" s="1408"/>
      <c r="AF318" s="1408"/>
      <c r="AG318" s="1428"/>
      <c r="AH318" s="1428"/>
      <c r="AI318" s="1428"/>
      <c r="AJ318" s="1428"/>
      <c r="AK318" s="1428"/>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428" t="s">
        <v>2741</v>
      </c>
      <c r="I320" s="1428"/>
      <c r="J320" s="1428"/>
      <c r="K320" s="1428"/>
      <c r="L320" s="1428"/>
      <c r="M320" s="1428"/>
      <c r="N320" s="1428"/>
      <c r="O320" s="1428"/>
      <c r="P320" s="1428"/>
      <c r="Q320" s="1428"/>
      <c r="R320" s="1428"/>
      <c r="S320" s="3"/>
      <c r="T320" s="3" t="s">
        <v>365</v>
      </c>
      <c r="V320" s="3"/>
      <c r="W320" s="3"/>
      <c r="X320" s="3"/>
      <c r="Y320" s="3"/>
      <c r="AA320" s="1428" t="s">
        <v>2808</v>
      </c>
      <c r="AB320" s="1428"/>
      <c r="AC320" s="1428"/>
      <c r="AD320" s="1428"/>
      <c r="AE320" s="1428"/>
      <c r="AF320" s="1428"/>
      <c r="AG320" s="1428"/>
      <c r="AH320" s="1428"/>
      <c r="AI320" s="1428"/>
      <c r="AJ320" s="1428"/>
      <c r="AK320" s="1428"/>
    </row>
    <row r="321" spans="2:37" ht="12.95" customHeight="1">
      <c r="B321" s="3" t="s">
        <v>471</v>
      </c>
      <c r="C321" s="3"/>
      <c r="D321" s="3"/>
      <c r="E321" s="3"/>
      <c r="F321" s="3"/>
      <c r="H321" s="1408" t="s">
        <v>2742</v>
      </c>
      <c r="I321" s="1408"/>
      <c r="J321" s="1408"/>
      <c r="K321" s="1408"/>
      <c r="L321" s="1408"/>
      <c r="M321" s="1408"/>
      <c r="N321" s="1408"/>
      <c r="O321" s="1408"/>
      <c r="P321" s="1408"/>
      <c r="Q321" s="1408"/>
      <c r="R321" s="1408"/>
      <c r="S321" s="3"/>
      <c r="T321" s="3" t="s">
        <v>471</v>
      </c>
      <c r="V321" s="3"/>
      <c r="W321" s="3"/>
      <c r="X321" s="3"/>
      <c r="Y321" s="3"/>
      <c r="AA321" s="1408" t="s">
        <v>2809</v>
      </c>
      <c r="AB321" s="1408"/>
      <c r="AC321" s="1408"/>
      <c r="AD321" s="1408"/>
      <c r="AE321" s="1408"/>
      <c r="AF321" s="1408"/>
      <c r="AG321" s="1408"/>
      <c r="AH321" s="1408"/>
      <c r="AI321" s="1408"/>
      <c r="AJ321" s="1408"/>
      <c r="AK321" s="1408"/>
    </row>
    <row r="322" spans="2:37" ht="12.95" customHeight="1">
      <c r="B322" s="3" t="s">
        <v>472</v>
      </c>
      <c r="C322" s="3"/>
      <c r="D322" s="3"/>
      <c r="E322" s="3"/>
      <c r="F322" s="3"/>
      <c r="H322" s="1408" t="s">
        <v>2743</v>
      </c>
      <c r="I322" s="1408"/>
      <c r="J322" s="1408"/>
      <c r="K322" s="1408"/>
      <c r="L322" s="1408"/>
      <c r="M322" s="1408"/>
      <c r="N322" s="1408"/>
      <c r="O322" s="1408"/>
      <c r="P322" s="1408"/>
      <c r="Q322" s="1408"/>
      <c r="R322" s="1408"/>
      <c r="S322" s="3"/>
      <c r="T322" s="3" t="s">
        <v>75</v>
      </c>
      <c r="V322" s="3"/>
      <c r="W322" s="3"/>
      <c r="X322" s="3"/>
      <c r="Y322" s="3"/>
      <c r="AA322" s="1408" t="s">
        <v>2810</v>
      </c>
      <c r="AB322" s="1408"/>
      <c r="AC322" s="1408"/>
      <c r="AD322" s="1408"/>
      <c r="AE322" s="1408"/>
      <c r="AF322" s="1408"/>
      <c r="AG322" s="1408"/>
      <c r="AH322" s="1408"/>
      <c r="AI322" s="1408"/>
      <c r="AJ322" s="1408"/>
      <c r="AK322" s="1408"/>
    </row>
    <row r="323" spans="2:37" ht="12.95" customHeight="1">
      <c r="B323" s="3" t="s">
        <v>87</v>
      </c>
      <c r="C323" s="3"/>
      <c r="D323" s="3"/>
      <c r="E323" s="3"/>
      <c r="F323" s="3"/>
      <c r="H323" s="1408" t="s">
        <v>2740</v>
      </c>
      <c r="I323" s="1408"/>
      <c r="J323" s="1408"/>
      <c r="K323" s="1408"/>
      <c r="L323" s="1408"/>
      <c r="M323" s="1408"/>
      <c r="N323" s="1408"/>
      <c r="O323" s="1408"/>
      <c r="P323" s="1408"/>
      <c r="Q323" s="1408"/>
      <c r="R323" s="1408"/>
      <c r="S323" s="3"/>
      <c r="T323" s="3" t="s">
        <v>87</v>
      </c>
      <c r="V323" s="3"/>
      <c r="W323" s="3"/>
      <c r="X323" s="3"/>
      <c r="Y323" s="3"/>
      <c r="AA323" s="1408" t="s">
        <v>2811</v>
      </c>
      <c r="AB323" s="1408"/>
      <c r="AC323" s="1408"/>
      <c r="AD323" s="1408"/>
      <c r="AE323" s="1408"/>
      <c r="AF323" s="1408"/>
      <c r="AG323" s="1408"/>
      <c r="AH323" s="1408"/>
      <c r="AI323" s="1408"/>
      <c r="AJ323" s="1408"/>
      <c r="AK323" s="1408"/>
    </row>
    <row r="324" spans="2:37" ht="12.95" customHeight="1">
      <c r="B324" s="3" t="s">
        <v>88</v>
      </c>
      <c r="C324" s="3"/>
      <c r="D324" s="3"/>
      <c r="E324" s="3"/>
      <c r="F324" s="3"/>
      <c r="G324" s="3"/>
      <c r="H324" s="1494" t="s">
        <v>2744</v>
      </c>
      <c r="I324" s="1487"/>
      <c r="J324" s="1487"/>
      <c r="K324" s="1487"/>
      <c r="L324" s="1487"/>
      <c r="M324" s="1487"/>
      <c r="N324" s="4" t="s">
        <v>206</v>
      </c>
      <c r="O324" s="4"/>
      <c r="P324" s="1468"/>
      <c r="Q324" s="1468"/>
      <c r="R324" s="1468"/>
      <c r="S324" s="3"/>
      <c r="T324" s="3" t="s">
        <v>88</v>
      </c>
      <c r="V324" s="3"/>
      <c r="W324" s="3"/>
      <c r="X324" s="3"/>
      <c r="Y324" s="3"/>
      <c r="AA324" s="1494" t="s">
        <v>2812</v>
      </c>
      <c r="AB324" s="1487"/>
      <c r="AC324" s="1487"/>
      <c r="AD324" s="1487"/>
      <c r="AE324" s="1487"/>
      <c r="AF324" s="1487"/>
      <c r="AG324" s="4" t="s">
        <v>206</v>
      </c>
      <c r="AH324" s="4"/>
      <c r="AI324" s="1468"/>
      <c r="AJ324" s="1468"/>
      <c r="AK324" s="1468"/>
    </row>
    <row r="325" spans="2:37" ht="12.95" customHeight="1">
      <c r="B325" s="3" t="s">
        <v>89</v>
      </c>
      <c r="C325" s="3"/>
      <c r="D325" s="3"/>
      <c r="E325" s="3"/>
      <c r="F325" s="3"/>
      <c r="G325" s="3"/>
      <c r="H325" s="1424"/>
      <c r="I325" s="1424"/>
      <c r="J325" s="1424"/>
      <c r="K325" s="1424"/>
      <c r="L325" s="1424"/>
      <c r="M325" s="1424"/>
      <c r="N325" s="4"/>
      <c r="O325" s="4"/>
      <c r="P325" s="35"/>
      <c r="Q325" s="35"/>
      <c r="R325" s="35"/>
      <c r="S325" s="3"/>
      <c r="T325" s="3" t="s">
        <v>89</v>
      </c>
      <c r="V325" s="3"/>
      <c r="W325" s="3"/>
      <c r="X325" s="3"/>
      <c r="Y325" s="3"/>
      <c r="AA325" s="1424"/>
      <c r="AB325" s="1424"/>
      <c r="AC325" s="1424"/>
      <c r="AD325" s="1424"/>
      <c r="AE325" s="1424"/>
      <c r="AF325" s="1424"/>
      <c r="AG325" s="4"/>
      <c r="AH325" s="4"/>
      <c r="AI325" s="35"/>
      <c r="AJ325" s="35"/>
      <c r="AK325" s="35"/>
    </row>
    <row r="326" spans="2:37" ht="12.95" customHeight="1">
      <c r="B326" s="3" t="s">
        <v>76</v>
      </c>
      <c r="C326" s="3"/>
      <c r="D326" s="3"/>
      <c r="E326" s="3"/>
      <c r="F326" s="3"/>
      <c r="G326" s="3"/>
      <c r="H326" s="1408" t="s">
        <v>2745</v>
      </c>
      <c r="I326" s="1408"/>
      <c r="J326" s="1408"/>
      <c r="K326" s="1408"/>
      <c r="L326" s="1408"/>
      <c r="M326" s="1408"/>
      <c r="N326" s="1428"/>
      <c r="O326" s="1428"/>
      <c r="P326" s="1428"/>
      <c r="Q326" s="1428"/>
      <c r="R326" s="1428"/>
      <c r="S326" s="3"/>
      <c r="T326" s="3" t="s">
        <v>76</v>
      </c>
      <c r="V326" s="3"/>
      <c r="W326" s="3"/>
      <c r="X326" s="3"/>
      <c r="Y326" s="3"/>
      <c r="AA326" s="1408" t="s">
        <v>2813</v>
      </c>
      <c r="AB326" s="1408"/>
      <c r="AC326" s="1408"/>
      <c r="AD326" s="1408"/>
      <c r="AE326" s="1408"/>
      <c r="AF326" s="1408"/>
      <c r="AG326" s="1428"/>
      <c r="AH326" s="1428"/>
      <c r="AI326" s="1428"/>
      <c r="AJ326" s="1428"/>
      <c r="AK326" s="1428"/>
    </row>
    <row r="327" spans="2:37" ht="12.95" customHeight="1"/>
    <row r="328" spans="2:37" ht="12.95" customHeight="1">
      <c r="B328" s="4" t="s">
        <v>908</v>
      </c>
      <c r="C328" s="3"/>
      <c r="D328" s="3"/>
      <c r="E328" s="3"/>
      <c r="F328" s="3"/>
      <c r="H328" s="1428" t="s">
        <v>2715</v>
      </c>
      <c r="I328" s="1428"/>
      <c r="J328" s="1428"/>
      <c r="K328" s="1428"/>
      <c r="L328" s="1428"/>
      <c r="M328" s="1428"/>
      <c r="N328" s="1428"/>
      <c r="O328" s="1428"/>
      <c r="P328" s="1428"/>
      <c r="Q328" s="1428"/>
      <c r="R328" s="1428"/>
      <c r="T328" s="3" t="s">
        <v>366</v>
      </c>
      <c r="V328" s="3"/>
      <c r="W328" s="3"/>
      <c r="X328" s="3"/>
      <c r="Y328" s="3"/>
      <c r="AA328" s="1428" t="s">
        <v>2747</v>
      </c>
      <c r="AB328" s="1428"/>
      <c r="AC328" s="1428"/>
      <c r="AD328" s="1428"/>
      <c r="AE328" s="1428"/>
      <c r="AF328" s="1428"/>
      <c r="AG328" s="1428"/>
      <c r="AH328" s="1428"/>
      <c r="AI328" s="1428"/>
      <c r="AJ328" s="1428"/>
      <c r="AK328" s="1428"/>
    </row>
    <row r="329" spans="2:37" ht="12.95" customHeight="1">
      <c r="B329" s="3" t="s">
        <v>471</v>
      </c>
      <c r="C329" s="3"/>
      <c r="D329" s="3"/>
      <c r="E329" s="3"/>
      <c r="F329" s="3"/>
      <c r="H329" s="1408" t="s">
        <v>2716</v>
      </c>
      <c r="I329" s="1408"/>
      <c r="J329" s="1408"/>
      <c r="K329" s="1408"/>
      <c r="L329" s="1408"/>
      <c r="M329" s="1408"/>
      <c r="N329" s="1408"/>
      <c r="O329" s="1408"/>
      <c r="P329" s="1408"/>
      <c r="Q329" s="1408"/>
      <c r="R329" s="1408"/>
      <c r="T329" s="3" t="s">
        <v>471</v>
      </c>
      <c r="V329" s="3"/>
      <c r="W329" s="3"/>
      <c r="X329" s="3"/>
      <c r="Y329" s="3"/>
      <c r="AA329" s="1408" t="s">
        <v>2748</v>
      </c>
      <c r="AB329" s="1408"/>
      <c r="AC329" s="1408"/>
      <c r="AD329" s="1408"/>
      <c r="AE329" s="1408"/>
      <c r="AF329" s="1408"/>
      <c r="AG329" s="1408"/>
      <c r="AH329" s="1408"/>
      <c r="AI329" s="1408"/>
      <c r="AJ329" s="1408"/>
      <c r="AK329" s="1408"/>
    </row>
    <row r="330" spans="2:37" ht="12.95" customHeight="1">
      <c r="B330" s="3" t="s">
        <v>472</v>
      </c>
      <c r="C330" s="3"/>
      <c r="D330" s="3"/>
      <c r="E330" s="3"/>
      <c r="F330" s="3"/>
      <c r="H330" s="1408" t="s">
        <v>2719</v>
      </c>
      <c r="I330" s="1408"/>
      <c r="J330" s="1408"/>
      <c r="K330" s="1408"/>
      <c r="L330" s="1408"/>
      <c r="M330" s="1408"/>
      <c r="N330" s="1408"/>
      <c r="O330" s="1408"/>
      <c r="P330" s="1408"/>
      <c r="Q330" s="1408"/>
      <c r="R330" s="1408"/>
      <c r="T330" s="3" t="s">
        <v>75</v>
      </c>
      <c r="V330" s="3"/>
      <c r="W330" s="3"/>
      <c r="X330" s="3"/>
      <c r="Y330" s="3"/>
      <c r="AA330" s="1408" t="s">
        <v>2749</v>
      </c>
      <c r="AB330" s="1408"/>
      <c r="AC330" s="1408"/>
      <c r="AD330" s="1408"/>
      <c r="AE330" s="1408"/>
      <c r="AF330" s="1408"/>
      <c r="AG330" s="1408"/>
      <c r="AH330" s="1408"/>
      <c r="AI330" s="1408"/>
      <c r="AJ330" s="1408"/>
      <c r="AK330" s="1408"/>
    </row>
    <row r="331" spans="2:37" ht="12.95" customHeight="1">
      <c r="B331" s="3" t="s">
        <v>87</v>
      </c>
      <c r="C331" s="3"/>
      <c r="D331" s="3"/>
      <c r="E331" s="3"/>
      <c r="F331" s="3"/>
      <c r="H331" s="1408" t="s">
        <v>2720</v>
      </c>
      <c r="I331" s="1408"/>
      <c r="J331" s="1408"/>
      <c r="K331" s="1408"/>
      <c r="L331" s="1408"/>
      <c r="M331" s="1408"/>
      <c r="N331" s="1408"/>
      <c r="O331" s="1408"/>
      <c r="P331" s="1408"/>
      <c r="Q331" s="1408"/>
      <c r="R331" s="1408"/>
      <c r="T331" s="3" t="s">
        <v>87</v>
      </c>
      <c r="V331" s="3"/>
      <c r="W331" s="3"/>
      <c r="X331" s="3"/>
      <c r="Y331" s="3"/>
      <c r="AA331" s="1408" t="s">
        <v>2750</v>
      </c>
      <c r="AB331" s="1408"/>
      <c r="AC331" s="1408"/>
      <c r="AD331" s="1408"/>
      <c r="AE331" s="1408"/>
      <c r="AF331" s="1408"/>
      <c r="AG331" s="1408"/>
      <c r="AH331" s="1408"/>
      <c r="AI331" s="1408"/>
      <c r="AJ331" s="1408"/>
      <c r="AK331" s="1408"/>
    </row>
    <row r="332" spans="2:37" ht="12.95" customHeight="1">
      <c r="B332" s="3" t="s">
        <v>88</v>
      </c>
      <c r="C332" s="3"/>
      <c r="D332" s="3"/>
      <c r="E332" s="3"/>
      <c r="F332" s="3"/>
      <c r="G332" s="3"/>
      <c r="H332" s="1494" t="s">
        <v>2721</v>
      </c>
      <c r="I332" s="1487"/>
      <c r="J332" s="1487"/>
      <c r="K332" s="1487"/>
      <c r="L332" s="1487"/>
      <c r="M332" s="1487"/>
      <c r="N332" s="4" t="s">
        <v>206</v>
      </c>
      <c r="O332" s="4"/>
      <c r="P332" s="1468"/>
      <c r="Q332" s="1468"/>
      <c r="R332" s="1468"/>
      <c r="S332" s="3"/>
      <c r="T332" s="3" t="s">
        <v>88</v>
      </c>
      <c r="V332" s="3"/>
      <c r="W332" s="3"/>
      <c r="X332" s="3"/>
      <c r="Y332" s="3"/>
      <c r="AA332" s="1494" t="s">
        <v>2751</v>
      </c>
      <c r="AB332" s="1487"/>
      <c r="AC332" s="1487"/>
      <c r="AD332" s="1487"/>
      <c r="AE332" s="1487"/>
      <c r="AF332" s="1487"/>
      <c r="AG332" s="4" t="s">
        <v>206</v>
      </c>
      <c r="AH332" s="4"/>
      <c r="AI332" s="1468"/>
      <c r="AJ332" s="1468"/>
      <c r="AK332" s="1468"/>
    </row>
    <row r="333" spans="2:37" ht="12.95" customHeight="1">
      <c r="B333" s="3" t="s">
        <v>89</v>
      </c>
      <c r="C333" s="3"/>
      <c r="D333" s="3"/>
      <c r="E333" s="3"/>
      <c r="F333" s="3"/>
      <c r="G333" s="3"/>
      <c r="H333" s="1424"/>
      <c r="I333" s="1424"/>
      <c r="J333" s="1424"/>
      <c r="K333" s="1424"/>
      <c r="L333" s="1424"/>
      <c r="M333" s="1424"/>
      <c r="N333" s="4"/>
      <c r="O333" s="4"/>
      <c r="P333" s="35"/>
      <c r="Q333" s="35"/>
      <c r="R333" s="35"/>
      <c r="S333" s="3"/>
      <c r="T333" s="3" t="s">
        <v>89</v>
      </c>
      <c r="V333" s="3"/>
      <c r="W333" s="3"/>
      <c r="X333" s="3"/>
      <c r="Y333" s="3"/>
      <c r="AA333" s="1424"/>
      <c r="AB333" s="1424"/>
      <c r="AC333" s="1424"/>
      <c r="AD333" s="1424"/>
      <c r="AE333" s="1424"/>
      <c r="AF333" s="1424"/>
      <c r="AG333" s="4"/>
      <c r="AH333" s="4"/>
      <c r="AI333" s="35"/>
      <c r="AJ333" s="35"/>
      <c r="AK333" s="35"/>
    </row>
    <row r="334" spans="2:37" ht="12.95" customHeight="1">
      <c r="B334" s="3" t="s">
        <v>76</v>
      </c>
      <c r="C334" s="3"/>
      <c r="D334" s="3"/>
      <c r="E334" s="3"/>
      <c r="F334" s="3"/>
      <c r="G334" s="3"/>
      <c r="H334" s="1408" t="s">
        <v>2718</v>
      </c>
      <c r="I334" s="1408"/>
      <c r="J334" s="1408"/>
      <c r="K334" s="1408"/>
      <c r="L334" s="1408"/>
      <c r="M334" s="1408"/>
      <c r="N334" s="1428"/>
      <c r="O334" s="1428"/>
      <c r="P334" s="1428"/>
      <c r="Q334" s="1428"/>
      <c r="R334" s="1428"/>
      <c r="S334" s="3"/>
      <c r="T334" s="3" t="s">
        <v>76</v>
      </c>
      <c r="V334" s="3"/>
      <c r="W334" s="3"/>
      <c r="X334" s="3"/>
      <c r="Y334" s="3"/>
      <c r="AA334" s="1408" t="s">
        <v>2752</v>
      </c>
      <c r="AB334" s="1408"/>
      <c r="AC334" s="1408"/>
      <c r="AD334" s="1408"/>
      <c r="AE334" s="1408"/>
      <c r="AF334" s="1408"/>
      <c r="AG334" s="1428"/>
      <c r="AH334" s="1428"/>
      <c r="AI334" s="1428"/>
      <c r="AJ334" s="1428"/>
      <c r="AK334" s="1428"/>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28" t="s">
        <v>591</v>
      </c>
      <c r="I336" s="1428"/>
      <c r="J336" s="1428"/>
      <c r="K336" s="1428"/>
      <c r="L336" s="1428"/>
      <c r="M336" s="1428"/>
      <c r="N336" s="1428"/>
      <c r="O336" s="1428"/>
      <c r="P336" s="1428"/>
      <c r="Q336" s="1428"/>
      <c r="R336" s="1428"/>
      <c r="T336" s="3" t="s">
        <v>368</v>
      </c>
      <c r="V336" s="3"/>
      <c r="W336" s="3"/>
      <c r="X336" s="3"/>
      <c r="Y336" s="3"/>
      <c r="AA336" s="1428" t="s">
        <v>591</v>
      </c>
      <c r="AB336" s="1428"/>
      <c r="AC336" s="1428"/>
      <c r="AD336" s="1428"/>
      <c r="AE336" s="1428"/>
      <c r="AF336" s="1428"/>
      <c r="AG336" s="1428"/>
      <c r="AH336" s="1428"/>
      <c r="AI336" s="1428"/>
      <c r="AJ336" s="1428"/>
      <c r="AK336" s="1428"/>
    </row>
    <row r="337" spans="2:66" ht="12.95" customHeight="1">
      <c r="B337" s="3" t="s">
        <v>471</v>
      </c>
      <c r="C337" s="3"/>
      <c r="D337" s="3"/>
      <c r="E337" s="3"/>
      <c r="F337" s="3"/>
      <c r="H337" s="1408"/>
      <c r="I337" s="1408"/>
      <c r="J337" s="1408"/>
      <c r="K337" s="1408"/>
      <c r="L337" s="1408"/>
      <c r="M337" s="1408"/>
      <c r="N337" s="1408"/>
      <c r="O337" s="1408"/>
      <c r="P337" s="1408"/>
      <c r="Q337" s="1408"/>
      <c r="R337" s="1408"/>
      <c r="T337" s="3" t="s">
        <v>471</v>
      </c>
      <c r="V337" s="3"/>
      <c r="W337" s="3"/>
      <c r="X337" s="3"/>
      <c r="Y337" s="3"/>
      <c r="AA337" s="1408"/>
      <c r="AB337" s="1408"/>
      <c r="AC337" s="1408"/>
      <c r="AD337" s="1408"/>
      <c r="AE337" s="1408"/>
      <c r="AF337" s="1408"/>
      <c r="AG337" s="1408"/>
      <c r="AH337" s="1408"/>
      <c r="AI337" s="1408"/>
      <c r="AJ337" s="1408"/>
      <c r="AK337" s="1408"/>
    </row>
    <row r="338" spans="2:66" ht="12.95" customHeight="1">
      <c r="B338" s="3" t="s">
        <v>472</v>
      </c>
      <c r="C338" s="3"/>
      <c r="D338" s="3"/>
      <c r="E338" s="3"/>
      <c r="F338" s="3"/>
      <c r="H338" s="1408"/>
      <c r="I338" s="1408"/>
      <c r="J338" s="1408"/>
      <c r="K338" s="1408"/>
      <c r="L338" s="1408"/>
      <c r="M338" s="1408"/>
      <c r="N338" s="1408"/>
      <c r="O338" s="1408"/>
      <c r="P338" s="1408"/>
      <c r="Q338" s="1408"/>
      <c r="R338" s="1408"/>
      <c r="T338" s="3" t="s">
        <v>75</v>
      </c>
      <c r="V338" s="3"/>
      <c r="W338" s="3"/>
      <c r="X338" s="3"/>
      <c r="Y338" s="3"/>
      <c r="AA338" s="1408"/>
      <c r="AB338" s="1408"/>
      <c r="AC338" s="1408"/>
      <c r="AD338" s="1408"/>
      <c r="AE338" s="1408"/>
      <c r="AF338" s="1408"/>
      <c r="AG338" s="1408"/>
      <c r="AH338" s="1408"/>
      <c r="AI338" s="1408"/>
      <c r="AJ338" s="1408"/>
      <c r="AK338" s="1408"/>
    </row>
    <row r="339" spans="2:66" ht="12.95" customHeight="1">
      <c r="B339" s="3" t="s">
        <v>87</v>
      </c>
      <c r="C339" s="3"/>
      <c r="D339" s="3"/>
      <c r="E339" s="3"/>
      <c r="F339" s="3"/>
      <c r="H339" s="1408"/>
      <c r="I339" s="1408"/>
      <c r="J339" s="1408"/>
      <c r="K339" s="1408"/>
      <c r="L339" s="1408"/>
      <c r="M339" s="1408"/>
      <c r="N339" s="1408"/>
      <c r="O339" s="1408"/>
      <c r="P339" s="1408"/>
      <c r="Q339" s="1408"/>
      <c r="R339" s="1408"/>
      <c r="T339" s="3" t="s">
        <v>87</v>
      </c>
      <c r="V339" s="3"/>
      <c r="W339" s="3"/>
      <c r="X339" s="3"/>
      <c r="Y339" s="3"/>
      <c r="AA339" s="1408"/>
      <c r="AB339" s="1408"/>
      <c r="AC339" s="1408"/>
      <c r="AD339" s="1408"/>
      <c r="AE339" s="1408"/>
      <c r="AF339" s="1408"/>
      <c r="AG339" s="1408"/>
      <c r="AH339" s="1408"/>
      <c r="AI339" s="1408"/>
      <c r="AJ339" s="1408"/>
      <c r="AK339" s="1408"/>
    </row>
    <row r="340" spans="2:66" ht="12.95" customHeight="1">
      <c r="B340" s="3" t="s">
        <v>88</v>
      </c>
      <c r="C340" s="3"/>
      <c r="D340" s="3"/>
      <c r="E340" s="3"/>
      <c r="F340" s="3"/>
      <c r="G340" s="3"/>
      <c r="H340" s="1487"/>
      <c r="I340" s="1487"/>
      <c r="J340" s="1487"/>
      <c r="K340" s="1487"/>
      <c r="L340" s="1487"/>
      <c r="M340" s="1487"/>
      <c r="N340" s="4" t="s">
        <v>206</v>
      </c>
      <c r="O340" s="4"/>
      <c r="P340" s="1468"/>
      <c r="Q340" s="1468"/>
      <c r="R340" s="1468"/>
      <c r="S340" s="3"/>
      <c r="T340" s="3" t="s">
        <v>88</v>
      </c>
      <c r="V340" s="3"/>
      <c r="W340" s="3"/>
      <c r="X340" s="3"/>
      <c r="Y340" s="3"/>
      <c r="AA340" s="1487"/>
      <c r="AB340" s="1487"/>
      <c r="AC340" s="1487"/>
      <c r="AD340" s="1487"/>
      <c r="AE340" s="1487"/>
      <c r="AF340" s="1487"/>
      <c r="AG340" s="4" t="s">
        <v>206</v>
      </c>
      <c r="AH340" s="4"/>
      <c r="AI340" s="1468"/>
      <c r="AJ340" s="1468"/>
      <c r="AK340" s="1468"/>
    </row>
    <row r="341" spans="2:66" ht="12.95" customHeight="1">
      <c r="B341" s="3" t="s">
        <v>89</v>
      </c>
      <c r="C341" s="3"/>
      <c r="D341" s="3"/>
      <c r="E341" s="3"/>
      <c r="F341" s="3"/>
      <c r="G341" s="3"/>
      <c r="H341" s="1424"/>
      <c r="I341" s="1424"/>
      <c r="J341" s="1424"/>
      <c r="K341" s="1424"/>
      <c r="L341" s="1424"/>
      <c r="M341" s="1424"/>
      <c r="N341" s="4"/>
      <c r="O341" s="4"/>
      <c r="P341" s="35"/>
      <c r="Q341" s="35"/>
      <c r="R341" s="35"/>
      <c r="S341" s="3"/>
      <c r="T341" s="3" t="s">
        <v>89</v>
      </c>
      <c r="V341" s="3"/>
      <c r="W341" s="3"/>
      <c r="X341" s="3"/>
      <c r="Y341" s="3"/>
      <c r="AA341" s="1424"/>
      <c r="AB341" s="1424"/>
      <c r="AC341" s="1424"/>
      <c r="AD341" s="1424"/>
      <c r="AE341" s="1424"/>
      <c r="AF341" s="1424"/>
      <c r="AG341" s="4"/>
      <c r="AH341" s="4"/>
      <c r="AI341" s="35"/>
      <c r="AJ341" s="35"/>
      <c r="AK341" s="35"/>
    </row>
    <row r="342" spans="2:66" ht="12.95" customHeight="1">
      <c r="B342" s="3" t="s">
        <v>76</v>
      </c>
      <c r="C342" s="3"/>
      <c r="D342" s="3"/>
      <c r="E342" s="3"/>
      <c r="F342" s="3"/>
      <c r="G342" s="3"/>
      <c r="H342" s="1408"/>
      <c r="I342" s="1408"/>
      <c r="J342" s="1408"/>
      <c r="K342" s="1408"/>
      <c r="L342" s="1408"/>
      <c r="M342" s="1408"/>
      <c r="N342" s="1428"/>
      <c r="O342" s="1428"/>
      <c r="P342" s="1428"/>
      <c r="Q342" s="1428"/>
      <c r="R342" s="1428"/>
      <c r="S342" s="3"/>
      <c r="T342" s="3" t="s">
        <v>76</v>
      </c>
      <c r="V342" s="3"/>
      <c r="W342" s="3"/>
      <c r="X342" s="3"/>
      <c r="Y342" s="3"/>
      <c r="AA342" s="1408"/>
      <c r="AB342" s="1408"/>
      <c r="AC342" s="1408"/>
      <c r="AD342" s="1408"/>
      <c r="AE342" s="1408"/>
      <c r="AF342" s="1408"/>
      <c r="AG342" s="1428"/>
      <c r="AH342" s="1428"/>
      <c r="AI342" s="1428"/>
      <c r="AJ342" s="1428"/>
      <c r="AK342" s="1428"/>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428" t="s">
        <v>2666</v>
      </c>
      <c r="I344" s="1428"/>
      <c r="J344" s="1428"/>
      <c r="K344" s="1428"/>
      <c r="L344" s="1428"/>
      <c r="M344" s="1428"/>
      <c r="N344" s="1428"/>
      <c r="O344" s="1428"/>
      <c r="P344" s="1428"/>
      <c r="Q344" s="1428"/>
      <c r="R344" s="1428"/>
      <c r="T344" s="204" t="s">
        <v>886</v>
      </c>
      <c r="V344" s="3"/>
      <c r="W344" s="3"/>
      <c r="X344" s="3"/>
      <c r="Y344" s="3"/>
      <c r="AA344" s="1428" t="s">
        <v>2733</v>
      </c>
      <c r="AB344" s="1428"/>
      <c r="AC344" s="1428"/>
      <c r="AD344" s="1428"/>
      <c r="AE344" s="1428"/>
      <c r="AF344" s="1428"/>
      <c r="AG344" s="1428"/>
      <c r="AH344" s="1428"/>
      <c r="AI344" s="1428"/>
      <c r="AJ344" s="1428"/>
      <c r="AK344" s="1428"/>
    </row>
    <row r="345" spans="2:66" ht="12.95" customHeight="1">
      <c r="B345" s="3" t="s">
        <v>471</v>
      </c>
      <c r="C345" s="3"/>
      <c r="D345" s="3"/>
      <c r="E345" s="3"/>
      <c r="F345" s="3"/>
      <c r="H345" s="1408" t="s">
        <v>2753</v>
      </c>
      <c r="I345" s="1408"/>
      <c r="J345" s="1408"/>
      <c r="K345" s="1408"/>
      <c r="L345" s="1408"/>
      <c r="M345" s="1408"/>
      <c r="N345" s="1408"/>
      <c r="O345" s="1408"/>
      <c r="P345" s="1408"/>
      <c r="Q345" s="1408"/>
      <c r="R345" s="1408"/>
      <c r="T345" s="3" t="s">
        <v>471</v>
      </c>
      <c r="V345" s="3"/>
      <c r="W345" s="3"/>
      <c r="X345" s="3"/>
      <c r="Y345" s="3"/>
      <c r="AA345" s="1408" t="s">
        <v>2734</v>
      </c>
      <c r="AB345" s="1408"/>
      <c r="AC345" s="1408"/>
      <c r="AD345" s="1408"/>
      <c r="AE345" s="1408"/>
      <c r="AF345" s="1408"/>
      <c r="AG345" s="1408"/>
      <c r="AH345" s="1408"/>
      <c r="AI345" s="1408"/>
      <c r="AJ345" s="1408"/>
      <c r="AK345" s="1408"/>
    </row>
    <row r="346" spans="2:66" ht="12.95" customHeight="1">
      <c r="B346" s="3" t="s">
        <v>75</v>
      </c>
      <c r="C346" s="3"/>
      <c r="D346" s="3"/>
      <c r="E346" s="3"/>
      <c r="F346" s="3"/>
      <c r="H346" s="1408" t="s">
        <v>2754</v>
      </c>
      <c r="I346" s="1408"/>
      <c r="J346" s="1408"/>
      <c r="K346" s="1408"/>
      <c r="L346" s="1408"/>
      <c r="M346" s="1408"/>
      <c r="N346" s="1408"/>
      <c r="O346" s="1408"/>
      <c r="P346" s="1408"/>
      <c r="Q346" s="1408"/>
      <c r="R346" s="1408"/>
      <c r="T346" s="3" t="s">
        <v>75</v>
      </c>
      <c r="V346" s="3"/>
      <c r="W346" s="3"/>
      <c r="X346" s="3"/>
      <c r="Y346" s="3"/>
      <c r="AA346" s="1408" t="s">
        <v>2735</v>
      </c>
      <c r="AB346" s="1408"/>
      <c r="AC346" s="1408"/>
      <c r="AD346" s="1408"/>
      <c r="AE346" s="1408"/>
      <c r="AF346" s="1408"/>
      <c r="AG346" s="1408"/>
      <c r="AH346" s="1408"/>
      <c r="AI346" s="1408"/>
      <c r="AJ346" s="1408"/>
      <c r="AK346" s="1408"/>
    </row>
    <row r="347" spans="2:66" ht="12.95" customHeight="1">
      <c r="B347" s="3" t="s">
        <v>87</v>
      </c>
      <c r="C347" s="3"/>
      <c r="D347" s="3"/>
      <c r="E347" s="3"/>
      <c r="F347" s="3"/>
      <c r="G347" s="3"/>
      <c r="H347" s="1408" t="s">
        <v>2755</v>
      </c>
      <c r="I347" s="1408"/>
      <c r="J347" s="1408"/>
      <c r="K347" s="1408"/>
      <c r="L347" s="1408"/>
      <c r="M347" s="1408"/>
      <c r="N347" s="1408"/>
      <c r="O347" s="1408"/>
      <c r="P347" s="1408"/>
      <c r="Q347" s="1408"/>
      <c r="R347" s="1408"/>
      <c r="T347" s="3" t="s">
        <v>87</v>
      </c>
      <c r="V347" s="3"/>
      <c r="W347" s="3"/>
      <c r="X347" s="3"/>
      <c r="Y347" s="3"/>
      <c r="AA347" s="1408" t="s">
        <v>2736</v>
      </c>
      <c r="AB347" s="1408"/>
      <c r="AC347" s="1408"/>
      <c r="AD347" s="1408"/>
      <c r="AE347" s="1408"/>
      <c r="AF347" s="1408"/>
      <c r="AG347" s="1408"/>
      <c r="AH347" s="1408"/>
      <c r="AI347" s="1408"/>
      <c r="AJ347" s="1408"/>
      <c r="AK347" s="1408"/>
    </row>
    <row r="348" spans="2:66" ht="12.95" customHeight="1">
      <c r="B348" s="3" t="s">
        <v>88</v>
      </c>
      <c r="C348" s="3"/>
      <c r="D348" s="3"/>
      <c r="E348" s="3"/>
      <c r="F348" s="3"/>
      <c r="G348" s="3"/>
      <c r="H348" s="1494" t="s">
        <v>2756</v>
      </c>
      <c r="I348" s="1487"/>
      <c r="J348" s="1487"/>
      <c r="K348" s="1487"/>
      <c r="L348" s="1487"/>
      <c r="M348" s="1487"/>
      <c r="N348" s="4" t="s">
        <v>206</v>
      </c>
      <c r="O348" s="4"/>
      <c r="P348" s="1468"/>
      <c r="Q348" s="1468"/>
      <c r="R348" s="1468"/>
      <c r="S348" s="3"/>
      <c r="T348" s="3" t="s">
        <v>88</v>
      </c>
      <c r="V348" s="3"/>
      <c r="W348" s="3"/>
      <c r="X348" s="3"/>
      <c r="Y348" s="3"/>
      <c r="AA348" s="1494" t="s">
        <v>2737</v>
      </c>
      <c r="AB348" s="1487"/>
      <c r="AC348" s="1487"/>
      <c r="AD348" s="1487"/>
      <c r="AE348" s="1487"/>
      <c r="AF348" s="1487"/>
      <c r="AG348" s="4" t="s">
        <v>206</v>
      </c>
      <c r="AH348" s="4"/>
      <c r="AI348" s="1468"/>
      <c r="AJ348" s="1468"/>
      <c r="AK348" s="1468"/>
    </row>
    <row r="349" spans="2:66" ht="12.95" customHeight="1">
      <c r="B349" s="3" t="s">
        <v>89</v>
      </c>
      <c r="C349" s="3"/>
      <c r="D349" s="3"/>
      <c r="E349" s="3"/>
      <c r="F349" s="3"/>
      <c r="G349" s="3"/>
      <c r="H349" s="1496" t="s">
        <v>2757</v>
      </c>
      <c r="I349" s="1424"/>
      <c r="J349" s="1424"/>
      <c r="K349" s="1424"/>
      <c r="L349" s="1424"/>
      <c r="M349" s="1424"/>
      <c r="N349" s="4"/>
      <c r="O349" s="4"/>
      <c r="P349" s="35"/>
      <c r="Q349" s="35"/>
      <c r="R349" s="35"/>
      <c r="S349" s="3"/>
      <c r="T349" s="3" t="s">
        <v>89</v>
      </c>
      <c r="V349" s="3"/>
      <c r="W349" s="3"/>
      <c r="X349" s="3"/>
      <c r="Y349" s="3"/>
      <c r="AA349" s="1424"/>
      <c r="AB349" s="1424"/>
      <c r="AC349" s="1424"/>
      <c r="AD349" s="1424"/>
      <c r="AE349" s="1424"/>
      <c r="AF349" s="1424"/>
      <c r="AG349" s="4"/>
      <c r="AH349" s="4"/>
      <c r="AI349" s="35"/>
      <c r="AJ349" s="35"/>
      <c r="AK349" s="35"/>
    </row>
    <row r="350" spans="2:66" ht="12.95" customHeight="1">
      <c r="B350" s="3" t="s">
        <v>76</v>
      </c>
      <c r="C350" s="3"/>
      <c r="D350" s="3"/>
      <c r="E350" s="3"/>
      <c r="F350" s="3"/>
      <c r="G350" s="3"/>
      <c r="H350" s="1408" t="s">
        <v>2758</v>
      </c>
      <c r="I350" s="1408"/>
      <c r="J350" s="1408"/>
      <c r="K350" s="1408"/>
      <c r="L350" s="1408"/>
      <c r="M350" s="1408"/>
      <c r="N350" s="1428"/>
      <c r="O350" s="1428"/>
      <c r="P350" s="1428"/>
      <c r="Q350" s="1428"/>
      <c r="R350" s="1428"/>
      <c r="S350" s="3"/>
      <c r="T350" s="3" t="s">
        <v>76</v>
      </c>
      <c r="V350" s="3"/>
      <c r="W350" s="3"/>
      <c r="X350" s="3"/>
      <c r="Y350" s="3"/>
      <c r="AA350" s="1408"/>
      <c r="AB350" s="1408"/>
      <c r="AC350" s="1408"/>
      <c r="AD350" s="1408"/>
      <c r="AE350" s="1408"/>
      <c r="AF350" s="1408"/>
      <c r="AG350" s="1428"/>
      <c r="AH350" s="1428"/>
      <c r="AI350" s="1428"/>
      <c r="AJ350" s="1428"/>
      <c r="AK350" s="1428"/>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428" t="s">
        <v>591</v>
      </c>
      <c r="Q352" s="1428"/>
      <c r="R352" s="1428"/>
      <c r="S352" s="1428"/>
      <c r="T352" s="1428"/>
      <c r="U352" s="1428"/>
      <c r="V352" s="1428"/>
      <c r="W352" s="1428"/>
      <c r="X352" s="1428"/>
      <c r="Y352" s="1428"/>
      <c r="Z352" s="1428"/>
      <c r="AA352" s="1428"/>
      <c r="AB352" s="1428"/>
      <c r="AC352" s="1428"/>
      <c r="AD352" s="1428"/>
      <c r="AE352" s="1428"/>
      <c r="BN352" t="s">
        <v>669</v>
      </c>
    </row>
    <row r="353" spans="1:66" ht="12.95" customHeight="1">
      <c r="B353" s="4"/>
      <c r="C353" s="4"/>
      <c r="D353" s="4"/>
      <c r="E353" s="4"/>
      <c r="F353" s="4"/>
      <c r="I353" s="4" t="s">
        <v>471</v>
      </c>
      <c r="P353" s="1408"/>
      <c r="Q353" s="1408"/>
      <c r="R353" s="1408"/>
      <c r="S353" s="1408"/>
      <c r="T353" s="1408"/>
      <c r="U353" s="1408"/>
      <c r="V353" s="1408"/>
      <c r="W353" s="1408"/>
      <c r="X353" s="1408"/>
      <c r="Y353" s="1408"/>
      <c r="Z353" s="1408"/>
      <c r="AA353" s="1408"/>
      <c r="AB353" s="1408"/>
      <c r="AC353" s="1408"/>
      <c r="AD353" s="1408"/>
      <c r="AE353" s="1408"/>
      <c r="BN353" t="s">
        <v>545</v>
      </c>
    </row>
    <row r="354" spans="1:66" ht="12.95" customHeight="1">
      <c r="B354" s="4"/>
      <c r="C354" s="4"/>
      <c r="D354" s="4"/>
      <c r="E354" s="4"/>
      <c r="F354" s="4"/>
      <c r="I354" s="4" t="s">
        <v>75</v>
      </c>
      <c r="P354" s="1408"/>
      <c r="Q354" s="1408"/>
      <c r="R354" s="1408"/>
      <c r="S354" s="1408"/>
      <c r="T354" s="1408"/>
      <c r="U354" s="1408"/>
      <c r="V354" s="1408"/>
      <c r="W354" s="1408"/>
      <c r="X354" s="1408"/>
      <c r="Y354" s="1408"/>
      <c r="Z354" s="1408"/>
      <c r="AA354" s="1408"/>
      <c r="AB354" s="1408"/>
      <c r="AC354" s="1408"/>
      <c r="AD354" s="1408"/>
      <c r="AE354" s="1408"/>
    </row>
    <row r="355" spans="1:66" ht="12.95" customHeight="1">
      <c r="B355" s="4"/>
      <c r="C355" s="4"/>
      <c r="D355" s="4"/>
      <c r="E355" s="4"/>
      <c r="F355" s="4"/>
      <c r="G355" s="4"/>
      <c r="I355" s="4" t="s">
        <v>87</v>
      </c>
      <c r="P355" s="1408"/>
      <c r="Q355" s="1408"/>
      <c r="R355" s="1408"/>
      <c r="S355" s="1408"/>
      <c r="T355" s="1408"/>
      <c r="U355" s="1408"/>
      <c r="V355" s="1408"/>
      <c r="W355" s="1408"/>
      <c r="X355" s="1408"/>
      <c r="Y355" s="1408"/>
      <c r="Z355" s="1408"/>
      <c r="AA355" s="1408"/>
      <c r="AB355" s="1408"/>
      <c r="AC355" s="1408"/>
      <c r="AD355" s="1408"/>
      <c r="AE355" s="1408"/>
    </row>
    <row r="356" spans="1:66" ht="12.95" customHeight="1">
      <c r="B356" s="4"/>
      <c r="C356" s="4"/>
      <c r="D356" s="4"/>
      <c r="E356" s="4"/>
      <c r="F356" s="4"/>
      <c r="G356" s="4"/>
      <c r="H356" s="302"/>
      <c r="I356" s="4" t="s">
        <v>88</v>
      </c>
      <c r="P356" s="1424"/>
      <c r="Q356" s="1424"/>
      <c r="R356" s="1424"/>
      <c r="S356" s="1424"/>
      <c r="T356" s="1424"/>
      <c r="U356" s="1424"/>
      <c r="V356" s="1424"/>
      <c r="W356" s="1424"/>
      <c r="X356" s="1424"/>
      <c r="Y356" s="1424"/>
      <c r="Z356" s="1424"/>
      <c r="AA356" s="4" t="s">
        <v>206</v>
      </c>
      <c r="AB356" s="4"/>
      <c r="AC356" s="1406"/>
      <c r="AD356" s="1406"/>
      <c r="AE356" s="1406"/>
      <c r="AF356" s="302"/>
      <c r="AG356" s="4"/>
      <c r="AH356" s="4"/>
      <c r="AI356" s="4"/>
      <c r="AJ356" s="4"/>
      <c r="AK356" s="4"/>
    </row>
    <row r="357" spans="1:66" ht="12.95" customHeight="1">
      <c r="B357" s="4"/>
      <c r="C357" s="4"/>
      <c r="D357" s="4"/>
      <c r="E357" s="4"/>
      <c r="F357" s="4"/>
      <c r="G357" s="4"/>
      <c r="H357" s="302"/>
      <c r="I357" s="4" t="s">
        <v>89</v>
      </c>
      <c r="P357" s="1424"/>
      <c r="Q357" s="1424"/>
      <c r="R357" s="1424"/>
      <c r="S357" s="1424"/>
      <c r="T357" s="1424"/>
      <c r="U357" s="1424"/>
      <c r="V357" s="1424"/>
      <c r="W357" s="1424"/>
      <c r="X357" s="1424"/>
      <c r="Y357" s="1424"/>
      <c r="Z357" s="1424"/>
      <c r="AF357" s="302"/>
      <c r="AG357" s="4"/>
      <c r="AH357" s="4"/>
      <c r="AI357" s="35"/>
      <c r="AJ357" s="35"/>
      <c r="AK357" s="35"/>
    </row>
    <row r="358" spans="1:66" ht="12.95" customHeight="1">
      <c r="B358" s="4"/>
      <c r="C358" s="4"/>
      <c r="D358" s="4"/>
      <c r="E358" s="4"/>
      <c r="F358" s="4"/>
      <c r="G358" s="4"/>
      <c r="I358" s="4" t="s">
        <v>76</v>
      </c>
      <c r="P358" s="1428"/>
      <c r="Q358" s="1428"/>
      <c r="R358" s="1428"/>
      <c r="S358" s="1428"/>
      <c r="T358" s="1428"/>
      <c r="U358" s="1428"/>
      <c r="V358" s="1428"/>
      <c r="W358" s="1428"/>
      <c r="X358" s="1428"/>
      <c r="Y358" s="1428"/>
      <c r="Z358" s="1428"/>
      <c r="AA358" s="1428"/>
      <c r="AB358" s="1428"/>
      <c r="AC358" s="1428"/>
      <c r="AD358" s="1428"/>
      <c r="AE358" s="1428"/>
    </row>
    <row r="359" spans="1:66" ht="12.95" customHeight="1">
      <c r="T359" s="8"/>
      <c r="U359" s="8"/>
      <c r="V359" s="8"/>
      <c r="W359" s="8"/>
      <c r="X359" s="8"/>
      <c r="Y359" s="8"/>
      <c r="Z359" s="8"/>
      <c r="AU359" s="95"/>
      <c r="AV359" s="95"/>
      <c r="AW359" s="95"/>
      <c r="AX359" s="95"/>
      <c r="AY359" s="95"/>
    </row>
    <row r="360" spans="1:66" ht="12.95" customHeight="1">
      <c r="A360" s="1486" t="s">
        <v>542</v>
      </c>
      <c r="B360" s="1486"/>
      <c r="C360" s="1486"/>
      <c r="D360" s="1486"/>
      <c r="E360" s="1486"/>
      <c r="F360" s="1486"/>
      <c r="G360" s="1486"/>
      <c r="H360" s="1486"/>
      <c r="I360" s="1486"/>
      <c r="J360" s="1486"/>
      <c r="K360" s="1486"/>
      <c r="L360" s="1486"/>
      <c r="M360" s="1486"/>
      <c r="N360" s="1486"/>
      <c r="O360" s="1486"/>
      <c r="P360" s="1486"/>
      <c r="Q360" s="1486"/>
      <c r="R360" s="1486"/>
      <c r="S360" s="1486"/>
      <c r="T360" s="1486"/>
      <c r="U360" s="1486"/>
      <c r="V360" s="1486"/>
      <c r="W360" s="1486"/>
      <c r="X360" s="1486"/>
      <c r="Y360" s="1486"/>
      <c r="Z360" s="1486"/>
      <c r="AA360" s="1486"/>
      <c r="AB360" s="1486"/>
      <c r="AC360" s="1486"/>
      <c r="AD360" s="1486"/>
      <c r="AE360" s="1486"/>
      <c r="AF360" s="1486"/>
      <c r="AG360" s="1486"/>
      <c r="AH360" s="1486"/>
      <c r="AI360" s="1486"/>
      <c r="AJ360" s="1486"/>
      <c r="AK360" s="1486"/>
      <c r="AL360" s="1486"/>
      <c r="AM360" s="1486"/>
      <c r="AN360" s="1486"/>
      <c r="AO360" s="1486"/>
      <c r="AP360" s="1486"/>
      <c r="AQ360" s="1486"/>
      <c r="AR360" s="1486"/>
      <c r="AS360" s="1486"/>
      <c r="AT360" s="1486"/>
      <c r="AU360" s="95"/>
      <c r="AV360" s="95"/>
      <c r="AW360" s="95"/>
      <c r="AX360" s="95"/>
      <c r="AY360" s="95"/>
    </row>
    <row r="361" spans="1:66" ht="12.95" customHeight="1">
      <c r="A361" s="1486"/>
      <c r="B361" s="1486"/>
      <c r="C361" s="1486"/>
      <c r="D361" s="1486"/>
      <c r="E361" s="1486"/>
      <c r="F361" s="1486"/>
      <c r="G361" s="1486"/>
      <c r="H361" s="1486"/>
      <c r="I361" s="1486"/>
      <c r="J361" s="1486"/>
      <c r="K361" s="1486"/>
      <c r="L361" s="1486"/>
      <c r="M361" s="1486"/>
      <c r="N361" s="1486"/>
      <c r="O361" s="1486"/>
      <c r="P361" s="1486"/>
      <c r="Q361" s="1486"/>
      <c r="R361" s="1486"/>
      <c r="S361" s="1486"/>
      <c r="T361" s="1486"/>
      <c r="U361" s="1486"/>
      <c r="V361" s="1486"/>
      <c r="W361" s="1486"/>
      <c r="X361" s="1486"/>
      <c r="Y361" s="1486"/>
      <c r="Z361" s="1486"/>
      <c r="AA361" s="1486"/>
      <c r="AB361" s="1486"/>
      <c r="AC361" s="1486"/>
      <c r="AD361" s="1486"/>
      <c r="AE361" s="1486"/>
      <c r="AF361" s="1486"/>
      <c r="AG361" s="1486"/>
      <c r="AH361" s="1486"/>
      <c r="AI361" s="1486"/>
      <c r="AJ361" s="1486"/>
      <c r="AK361" s="1486"/>
      <c r="AL361" s="1486"/>
      <c r="AM361" s="1486"/>
      <c r="AN361" s="1486"/>
      <c r="AO361" s="1486"/>
      <c r="AP361" s="1486"/>
      <c r="AQ361" s="1486"/>
      <c r="AR361" s="1486"/>
      <c r="AS361" s="1486"/>
      <c r="AT361" s="1486"/>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285" t="s">
        <v>545</v>
      </c>
      <c r="N364" s="1285"/>
      <c r="P364" t="s">
        <v>1638</v>
      </c>
      <c r="AJ364" s="1285" t="s">
        <v>591</v>
      </c>
      <c r="AK364" s="1285"/>
    </row>
    <row r="365" spans="1:66" ht="12.95" customHeight="1">
      <c r="D365" s="3" t="s">
        <v>1627</v>
      </c>
      <c r="M365" s="1285" t="s">
        <v>591</v>
      </c>
      <c r="N365" s="1285"/>
      <c r="P365" s="3" t="s">
        <v>1707</v>
      </c>
      <c r="AJ365" s="1430"/>
      <c r="AK365" s="1430"/>
    </row>
    <row r="366" spans="1:66" ht="12.95" customHeight="1">
      <c r="D366" s="3" t="s">
        <v>704</v>
      </c>
      <c r="M366" s="1285" t="s">
        <v>591</v>
      </c>
      <c r="N366" s="1285"/>
      <c r="P366" t="s">
        <v>1637</v>
      </c>
      <c r="AJ366" s="1285" t="s">
        <v>591</v>
      </c>
      <c r="AK366" s="1285"/>
    </row>
    <row r="367" spans="1:66" ht="12.95" customHeight="1">
      <c r="D367" s="3" t="s">
        <v>705</v>
      </c>
      <c r="M367" s="1285" t="s">
        <v>591</v>
      </c>
      <c r="N367" s="1285"/>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285" t="s">
        <v>591</v>
      </c>
      <c r="O372" s="1285"/>
      <c r="P372" s="40"/>
      <c r="Q372" s="40"/>
      <c r="R372" s="40"/>
      <c r="S372" s="40"/>
      <c r="T372" s="40"/>
      <c r="U372" s="40"/>
      <c r="V372" s="40"/>
      <c r="W372" s="40"/>
      <c r="X372" s="40"/>
      <c r="Y372" s="40"/>
      <c r="Z372" s="40"/>
      <c r="AC372" s="40"/>
      <c r="AD372" s="40"/>
      <c r="AE372" s="40"/>
    </row>
    <row r="373" spans="1:34" ht="12.95" customHeight="1">
      <c r="E373" t="s">
        <v>370</v>
      </c>
      <c r="Y373" s="1285" t="s">
        <v>591</v>
      </c>
      <c r="Z373" s="1285"/>
    </row>
    <row r="374" spans="1:34" ht="12.95" customHeight="1">
      <c r="D374" s="4" t="s">
        <v>978</v>
      </c>
      <c r="Q374" s="1428"/>
      <c r="R374" s="1428"/>
      <c r="S374" s="1428"/>
      <c r="T374" s="1428"/>
      <c r="U374" s="1428"/>
      <c r="V374" s="1428"/>
      <c r="W374" s="1428"/>
      <c r="X374" s="1428"/>
      <c r="Y374" s="1428"/>
      <c r="Z374" s="1428"/>
      <c r="AA374" s="1428"/>
      <c r="AB374" s="1428"/>
      <c r="AC374" s="1428"/>
      <c r="AD374" s="1428"/>
      <c r="AE374" s="1428"/>
      <c r="AF374" s="1428"/>
      <c r="AG374" s="1428"/>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285" t="s">
        <v>591</v>
      </c>
      <c r="K376" s="1285"/>
      <c r="L376" s="40"/>
      <c r="M376" s="40"/>
      <c r="N376" s="40"/>
      <c r="O376" s="40"/>
      <c r="P376" s="40"/>
      <c r="Q376" s="40"/>
      <c r="R376" s="40"/>
      <c r="S376" s="40"/>
      <c r="T376" s="40"/>
      <c r="U376" s="40"/>
      <c r="V376" s="40"/>
      <c r="W376" s="40"/>
      <c r="X376" s="40"/>
      <c r="Y376" s="40"/>
      <c r="Z376" s="40"/>
      <c r="AC376" s="40"/>
      <c r="AD376" s="40"/>
      <c r="AE376" s="40"/>
    </row>
    <row r="377" spans="1:34" ht="12.95" customHeight="1">
      <c r="E377" s="1466" t="s">
        <v>706</v>
      </c>
      <c r="F377" s="1466"/>
      <c r="G377" s="1466"/>
      <c r="H377" s="1466"/>
      <c r="I377" s="1466"/>
      <c r="J377" s="1466"/>
      <c r="K377" s="1466"/>
      <c r="L377" s="1466"/>
      <c r="M377" s="1466"/>
      <c r="N377" s="1466"/>
      <c r="O377" s="1466"/>
      <c r="P377" s="1466"/>
      <c r="Q377" s="1466"/>
      <c r="R377" s="1466"/>
      <c r="S377" s="1466"/>
      <c r="T377" s="1466"/>
      <c r="U377" s="1466"/>
      <c r="V377" s="1466"/>
      <c r="W377" s="1466"/>
      <c r="X377" s="1466"/>
      <c r="Y377" s="1466"/>
      <c r="Z377" s="1466"/>
      <c r="AA377" s="1466"/>
      <c r="AB377" s="1466"/>
      <c r="AC377" s="1466"/>
      <c r="AD377" s="1466"/>
      <c r="AE377" s="1466"/>
      <c r="AF377" s="1466"/>
      <c r="AG377" s="1466"/>
      <c r="AH377" s="1466"/>
    </row>
    <row r="378" spans="1:34" ht="12.95" customHeight="1">
      <c r="E378" s="1466"/>
      <c r="F378" s="1466"/>
      <c r="G378" s="1466"/>
      <c r="H378" s="1466"/>
      <c r="I378" s="1466"/>
      <c r="J378" s="1466"/>
      <c r="K378" s="1466"/>
      <c r="L378" s="1466"/>
      <c r="M378" s="1466"/>
      <c r="N378" s="1466"/>
      <c r="O378" s="1466"/>
      <c r="P378" s="1466"/>
      <c r="Q378" s="1466"/>
      <c r="R378" s="1466"/>
      <c r="S378" s="1466"/>
      <c r="T378" s="1466"/>
      <c r="U378" s="1466"/>
      <c r="V378" s="1466"/>
      <c r="W378" s="1466"/>
      <c r="X378" s="1466"/>
      <c r="Y378" s="1466"/>
      <c r="Z378" s="1466"/>
      <c r="AA378" s="1466"/>
      <c r="AB378" s="1466"/>
      <c r="AC378" s="1466"/>
      <c r="AD378" s="1466"/>
      <c r="AE378" s="1466"/>
      <c r="AF378" s="1466"/>
      <c r="AG378" s="1466"/>
      <c r="AH378" s="1466"/>
    </row>
    <row r="379" spans="1:34" ht="12.95" customHeight="1">
      <c r="E379" s="4" t="s">
        <v>448</v>
      </c>
      <c r="F379" s="4"/>
      <c r="G379" s="4"/>
      <c r="H379" s="4"/>
      <c r="I379" s="4"/>
      <c r="J379" s="4"/>
      <c r="K379" s="4"/>
      <c r="L379" s="4"/>
      <c r="N379" s="1492"/>
      <c r="O379" s="1492"/>
      <c r="P379" s="1492"/>
      <c r="Q379" s="1492"/>
      <c r="R379" s="4"/>
      <c r="U379" s="4" t="s">
        <v>449</v>
      </c>
      <c r="V379" s="4"/>
      <c r="W379" s="4"/>
      <c r="X379" s="4"/>
      <c r="Y379" s="4"/>
      <c r="Z379" s="4"/>
      <c r="AA379" s="4"/>
      <c r="AB379" s="4"/>
      <c r="AC379" s="1492"/>
      <c r="AD379" s="1492"/>
      <c r="AE379" s="1492"/>
      <c r="AF379" s="1492"/>
    </row>
    <row r="380" spans="1:34" ht="12.95" customHeight="1">
      <c r="E380" s="4" t="s">
        <v>450</v>
      </c>
      <c r="F380" s="4"/>
      <c r="G380" s="4"/>
      <c r="H380" s="4"/>
      <c r="I380" s="4"/>
      <c r="J380" s="4"/>
      <c r="K380" s="4"/>
      <c r="L380" s="4"/>
      <c r="N380" s="1492"/>
      <c r="O380" s="1492"/>
      <c r="P380" s="1492"/>
      <c r="Q380" s="1492"/>
      <c r="R380" s="4"/>
      <c r="U380" s="4" t="s">
        <v>0</v>
      </c>
      <c r="V380" s="4"/>
      <c r="W380" s="4"/>
      <c r="X380" s="4"/>
      <c r="Y380" s="4"/>
      <c r="Z380" s="4"/>
      <c r="AA380" s="4"/>
      <c r="AB380" s="4"/>
      <c r="AC380" s="1492"/>
      <c r="AD380" s="1492"/>
      <c r="AE380" s="1492"/>
      <c r="AF380" s="1492"/>
    </row>
    <row r="381" spans="1:34" ht="12.95" customHeight="1">
      <c r="E381" s="4" t="s">
        <v>1</v>
      </c>
      <c r="F381" s="4"/>
      <c r="G381" s="4"/>
      <c r="H381" s="4"/>
      <c r="I381" s="4"/>
      <c r="J381" s="4"/>
      <c r="K381" s="4"/>
      <c r="L381" s="4"/>
      <c r="N381" s="1492"/>
      <c r="O381" s="1492"/>
      <c r="P381" s="1492"/>
      <c r="Q381" s="1492"/>
      <c r="R381" s="4"/>
      <c r="V381" s="4"/>
      <c r="W381" s="4"/>
      <c r="X381" s="4"/>
      <c r="Y381" s="4"/>
      <c r="Z381" s="4"/>
      <c r="AA381" s="4"/>
      <c r="AB381" s="4"/>
    </row>
    <row r="382" spans="1:34" ht="12.95" customHeight="1">
      <c r="E382" s="4" t="s">
        <v>2</v>
      </c>
      <c r="F382" s="4"/>
      <c r="G382" s="4"/>
      <c r="H382" s="4"/>
      <c r="I382" s="4"/>
      <c r="J382" s="4"/>
      <c r="K382" s="4"/>
      <c r="L382" s="4"/>
      <c r="N382" s="1760"/>
      <c r="O382" s="1760"/>
      <c r="P382" s="1760"/>
      <c r="Q382" s="1760"/>
      <c r="R382" s="1760"/>
      <c r="S382" s="1760"/>
      <c r="T382" s="1760"/>
      <c r="U382" s="1760"/>
      <c r="V382" s="1760"/>
      <c r="W382" s="1760"/>
      <c r="X382" s="1760"/>
      <c r="Y382" s="1760"/>
      <c r="Z382" s="1760"/>
      <c r="AA382" s="1760"/>
      <c r="AB382" s="1760"/>
      <c r="AC382" s="1760"/>
      <c r="AD382" s="1760"/>
      <c r="AE382" s="1760"/>
      <c r="AF382" s="1760"/>
    </row>
    <row r="383" spans="1:34" ht="12.95" customHeight="1">
      <c r="E383" s="4"/>
      <c r="F383" s="4"/>
      <c r="G383" s="4"/>
      <c r="H383" s="4"/>
      <c r="I383" s="4"/>
      <c r="J383" s="4"/>
      <c r="K383" s="4"/>
      <c r="L383" s="4"/>
      <c r="N383" s="1761"/>
      <c r="O383" s="1761"/>
      <c r="P383" s="1761"/>
      <c r="Q383" s="1761"/>
      <c r="R383" s="1761"/>
      <c r="S383" s="1761"/>
      <c r="T383" s="1761"/>
      <c r="U383" s="1761"/>
      <c r="V383" s="1761"/>
      <c r="W383" s="1761"/>
      <c r="X383" s="1761"/>
      <c r="Y383" s="1761"/>
      <c r="Z383" s="1761"/>
      <c r="AA383" s="1761"/>
      <c r="AB383" s="1761"/>
      <c r="AC383" s="1761"/>
      <c r="AD383" s="1761"/>
      <c r="AE383" s="1761"/>
      <c r="AF383" s="1761"/>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710"/>
      <c r="T386" s="1710"/>
      <c r="U386" s="1" t="s">
        <v>306</v>
      </c>
      <c r="V386" s="1710"/>
      <c r="W386" s="1710"/>
      <c r="Y386" t="s">
        <v>2030</v>
      </c>
      <c r="AC386" s="27" t="s">
        <v>305</v>
      </c>
      <c r="AD386" s="1710"/>
      <c r="AE386" s="1710"/>
      <c r="AF386" s="1" t="s">
        <v>306</v>
      </c>
      <c r="AG386" s="1710"/>
      <c r="AH386" s="1710"/>
    </row>
    <row r="387" spans="1:36" ht="12.95" customHeight="1">
      <c r="E387" s="4" t="s">
        <v>987</v>
      </c>
      <c r="F387" s="4"/>
      <c r="G387" s="4"/>
      <c r="H387" s="4"/>
      <c r="I387" s="4"/>
      <c r="J387" s="4"/>
      <c r="K387" s="4"/>
      <c r="L387" s="4"/>
      <c r="N387" s="1710"/>
      <c r="O387" s="1710"/>
      <c r="P387" s="1710"/>
    </row>
    <row r="388" spans="1:36" ht="12.95" customHeight="1">
      <c r="E388" s="204" t="s">
        <v>2035</v>
      </c>
      <c r="F388" s="4"/>
      <c r="G388" s="4"/>
      <c r="H388" s="4"/>
      <c r="I388" s="4"/>
      <c r="J388" s="4"/>
      <c r="K388" s="4"/>
      <c r="L388" s="4"/>
      <c r="AG388" s="1738" t="s">
        <v>591</v>
      </c>
      <c r="AH388" s="1738"/>
    </row>
    <row r="389" spans="1:36" ht="12.95" customHeight="1">
      <c r="E389" s="4"/>
      <c r="F389" s="4"/>
      <c r="G389" s="4" t="s">
        <v>2036</v>
      </c>
      <c r="H389" s="4"/>
      <c r="I389" s="4"/>
      <c r="J389" s="4"/>
      <c r="K389" s="4"/>
      <c r="L389" s="4"/>
      <c r="AG389" s="1738" t="s">
        <v>591</v>
      </c>
      <c r="AH389" s="1738"/>
    </row>
    <row r="390" spans="1:36" ht="12.95" customHeight="1">
      <c r="E390" s="4"/>
      <c r="F390" s="4"/>
      <c r="G390" s="317" t="s">
        <v>988</v>
      </c>
      <c r="H390" s="4"/>
      <c r="I390" s="4"/>
      <c r="J390" s="4"/>
      <c r="K390" s="4"/>
      <c r="L390" s="4"/>
      <c r="V390" s="1285" t="s">
        <v>591</v>
      </c>
      <c r="W390" s="1285"/>
      <c r="Y390" s="22" t="s">
        <v>980</v>
      </c>
    </row>
    <row r="391" spans="1:36" ht="12.95" customHeight="1">
      <c r="E391" s="4" t="s">
        <v>981</v>
      </c>
      <c r="F391" s="4"/>
      <c r="G391" s="4"/>
      <c r="H391" s="4"/>
      <c r="I391" s="4"/>
      <c r="J391" s="4"/>
      <c r="K391" s="4"/>
      <c r="L391" s="4"/>
      <c r="V391" s="1285" t="s">
        <v>591</v>
      </c>
      <c r="W391" s="1285"/>
      <c r="Y391" s="4" t="s">
        <v>982</v>
      </c>
    </row>
    <row r="392" spans="1:36" ht="12.95" customHeight="1"/>
    <row r="393" spans="1:36" ht="12.95" customHeight="1">
      <c r="A393" s="2" t="s">
        <v>78</v>
      </c>
      <c r="B393" s="2"/>
    </row>
    <row r="394" spans="1:36" ht="12.95" customHeight="1">
      <c r="D394" t="s">
        <v>428</v>
      </c>
      <c r="J394" s="1428" t="s">
        <v>2804</v>
      </c>
      <c r="K394" s="1428"/>
      <c r="L394" s="1428"/>
      <c r="M394" s="1428"/>
      <c r="N394" s="1428"/>
      <c r="O394" s="1428"/>
      <c r="P394" s="1428"/>
      <c r="Q394" s="1428"/>
      <c r="R394" s="1428"/>
      <c r="S394" s="1428"/>
      <c r="T394" s="1428"/>
      <c r="U394" s="1428"/>
      <c r="V394" s="8" t="s">
        <v>83</v>
      </c>
      <c r="W394" s="8"/>
      <c r="X394" s="8"/>
      <c r="Y394" s="8"/>
      <c r="Z394" s="8"/>
      <c r="AA394" s="8"/>
      <c r="AB394" s="8"/>
      <c r="AC394" s="1428" t="s">
        <v>2690</v>
      </c>
      <c r="AD394" s="1428"/>
      <c r="AE394" s="1428"/>
      <c r="AF394" s="1428"/>
      <c r="AG394" s="1428"/>
      <c r="AH394" s="1428"/>
      <c r="AI394" s="1428"/>
      <c r="AJ394" s="1428"/>
    </row>
    <row r="395" spans="1:36" ht="12.95" customHeight="1">
      <c r="D395" s="3" t="s">
        <v>1181</v>
      </c>
      <c r="J395" s="1408" t="s">
        <v>2690</v>
      </c>
      <c r="K395" s="1408"/>
      <c r="L395" s="1408"/>
      <c r="M395" s="1408"/>
      <c r="N395" s="1408"/>
      <c r="O395" s="1408"/>
      <c r="P395" s="1408"/>
      <c r="Q395" s="1408"/>
      <c r="R395" s="1408"/>
      <c r="S395" s="1408"/>
      <c r="T395" s="1408"/>
      <c r="U395" s="1408"/>
      <c r="V395" s="3" t="s">
        <v>1181</v>
      </c>
      <c r="W395" s="8"/>
      <c r="X395" s="8"/>
      <c r="Y395" s="8"/>
      <c r="Z395" s="8"/>
      <c r="AA395" s="8"/>
      <c r="AB395" s="8"/>
      <c r="AC395" s="1428"/>
      <c r="AD395" s="1428"/>
      <c r="AE395" s="1428"/>
      <c r="AF395" s="1428"/>
      <c r="AG395" s="1428"/>
      <c r="AH395" s="1428"/>
      <c r="AI395" s="1428"/>
      <c r="AJ395" s="1428"/>
    </row>
    <row r="396" spans="1:36" ht="12.95" customHeight="1">
      <c r="D396" s="3" t="s">
        <v>441</v>
      </c>
      <c r="J396" s="1408" t="s">
        <v>2806</v>
      </c>
      <c r="K396" s="1408"/>
      <c r="L396" s="1408"/>
      <c r="M396" s="1408"/>
      <c r="N396" s="1408"/>
      <c r="O396" s="1408"/>
      <c r="P396" s="1408"/>
      <c r="Q396" s="1408"/>
      <c r="R396" s="1408"/>
      <c r="S396" s="1408"/>
      <c r="T396" s="1408"/>
      <c r="U396" s="1408"/>
      <c r="V396" s="3" t="s">
        <v>441</v>
      </c>
      <c r="W396" s="8"/>
      <c r="X396" s="8"/>
      <c r="Y396" s="8"/>
      <c r="Z396" s="8"/>
      <c r="AA396" s="8"/>
      <c r="AB396" s="8"/>
      <c r="AC396" s="1428"/>
      <c r="AD396" s="1428"/>
      <c r="AE396" s="1428"/>
      <c r="AF396" s="1428"/>
      <c r="AG396" s="1428"/>
      <c r="AH396" s="1428"/>
      <c r="AI396" s="1428"/>
      <c r="AJ396" s="1428"/>
    </row>
    <row r="397" spans="1:36" ht="12.95" customHeight="1">
      <c r="D397" t="s">
        <v>1177</v>
      </c>
      <c r="J397" s="1326" t="s">
        <v>2691</v>
      </c>
      <c r="K397" s="1326"/>
      <c r="L397" s="1326"/>
      <c r="M397" s="1326"/>
      <c r="N397" s="1326"/>
      <c r="O397" s="1326"/>
      <c r="P397" s="1326"/>
      <c r="Q397" s="1326"/>
      <c r="R397" s="1326"/>
      <c r="S397" s="1326"/>
      <c r="T397" s="1326"/>
      <c r="U397" s="1326"/>
      <c r="V397" s="1428"/>
      <c r="W397" s="1428"/>
      <c r="X397" s="1428"/>
      <c r="Y397" s="1428"/>
      <c r="Z397" s="1428"/>
      <c r="AA397" s="1428"/>
      <c r="AB397" s="1428"/>
      <c r="AC397" s="1428"/>
      <c r="AD397" s="1428"/>
      <c r="AE397" s="1428"/>
      <c r="AF397" s="1428"/>
      <c r="AG397" s="1428"/>
      <c r="AH397" s="1428"/>
      <c r="AI397" s="1428"/>
      <c r="AJ397" s="1428"/>
    </row>
    <row r="398" spans="1:36" ht="12.95" customHeight="1">
      <c r="D398" t="s">
        <v>4</v>
      </c>
      <c r="Q398" s="1766">
        <v>45435</v>
      </c>
      <c r="R398" s="1766"/>
      <c r="S398" s="1766"/>
      <c r="T398" s="1766"/>
      <c r="U398" s="1766"/>
      <c r="V398" t="s">
        <v>309</v>
      </c>
      <c r="AI398" s="1285" t="s">
        <v>669</v>
      </c>
      <c r="AJ398" s="1285"/>
    </row>
    <row r="399" spans="1:36" ht="12.95" customHeight="1">
      <c r="D399" t="s">
        <v>5</v>
      </c>
      <c r="Q399" s="1574" t="s">
        <v>591</v>
      </c>
      <c r="R399" s="1768"/>
      <c r="S399" s="1768"/>
      <c r="T399" s="1768"/>
      <c r="U399" s="1768"/>
      <c r="W399" s="21" t="s">
        <v>74</v>
      </c>
      <c r="AG399" s="1711"/>
      <c r="AH399" s="1711"/>
      <c r="AI399" s="1711"/>
      <c r="AJ399" s="1711"/>
    </row>
    <row r="400" spans="1:36" ht="12.95" customHeight="1">
      <c r="D400" t="s">
        <v>427</v>
      </c>
      <c r="Q400" s="1767">
        <v>4500000</v>
      </c>
      <c r="R400" s="1767"/>
      <c r="S400" s="1767"/>
      <c r="T400" s="1767"/>
      <c r="U400" s="1767"/>
      <c r="V400" s="3" t="s">
        <v>1180</v>
      </c>
      <c r="AG400" s="1716">
        <v>46303</v>
      </c>
      <c r="AH400" s="1716"/>
      <c r="AI400" s="1716"/>
      <c r="AJ400" s="1716"/>
    </row>
    <row r="401" spans="4:36" ht="12.95" customHeight="1">
      <c r="D401" t="s">
        <v>88</v>
      </c>
      <c r="I401" s="1487"/>
      <c r="J401" s="1487"/>
      <c r="K401" s="1487"/>
      <c r="L401" s="1487"/>
      <c r="M401" s="1487"/>
      <c r="N401" s="1487"/>
      <c r="Q401" s="4" t="s">
        <v>206</v>
      </c>
      <c r="S401" s="1769"/>
      <c r="T401" s="1769"/>
      <c r="U401" s="1769"/>
      <c r="V401" t="s">
        <v>73</v>
      </c>
      <c r="AI401" s="1285" t="s">
        <v>669</v>
      </c>
      <c r="AJ401" s="1285"/>
    </row>
    <row r="402" spans="4:36" ht="12.95" customHeight="1">
      <c r="D402" t="s">
        <v>310</v>
      </c>
      <c r="Q402" s="1392"/>
      <c r="R402" s="1392"/>
      <c r="S402" s="1392"/>
      <c r="T402" s="1392"/>
      <c r="U402" s="1392"/>
      <c r="V402" t="s">
        <v>311</v>
      </c>
      <c r="AG402" s="1711"/>
      <c r="AH402" s="1711"/>
      <c r="AI402" s="1711"/>
      <c r="AJ402" s="1711"/>
    </row>
    <row r="403" spans="4:36" ht="12.95" customHeight="1">
      <c r="D403" t="s">
        <v>312</v>
      </c>
      <c r="Q403" s="1781"/>
      <c r="R403" s="1781"/>
      <c r="S403" s="1781"/>
      <c r="T403" s="1781"/>
      <c r="U403" s="1781"/>
      <c r="V403" t="s">
        <v>1162</v>
      </c>
      <c r="AG403" s="1711"/>
      <c r="AH403" s="1711"/>
      <c r="AI403" s="1711"/>
      <c r="AJ403" s="1711"/>
    </row>
    <row r="404" spans="4:36" ht="12.95" customHeight="1">
      <c r="D404" t="s">
        <v>1161</v>
      </c>
      <c r="AG404" s="1711"/>
      <c r="AH404" s="1711"/>
      <c r="AI404" s="1711"/>
      <c r="AJ404" s="1711"/>
    </row>
    <row r="405" spans="4:36" ht="12.95" customHeight="1">
      <c r="AG405" s="452"/>
      <c r="AH405" s="452"/>
      <c r="AI405" s="452"/>
      <c r="AJ405" s="452"/>
    </row>
    <row r="406" spans="4:36" ht="12.95" customHeight="1">
      <c r="D406" s="3" t="s">
        <v>2092</v>
      </c>
      <c r="AG406" s="452"/>
      <c r="AH406" s="452"/>
      <c r="AI406" s="1285" t="s">
        <v>669</v>
      </c>
      <c r="AJ406" s="1285"/>
    </row>
    <row r="407" spans="4:36" ht="12.95" customHeight="1">
      <c r="D407" s="3" t="s">
        <v>1655</v>
      </c>
      <c r="T407" s="1715"/>
      <c r="U407" s="1715"/>
      <c r="V407" s="1715"/>
      <c r="W407" s="1715"/>
      <c r="X407" s="1715"/>
      <c r="Y407" s="1715"/>
      <c r="Z407" s="1715"/>
      <c r="AA407" s="1715"/>
      <c r="AB407" s="1715"/>
      <c r="AC407" s="1715"/>
      <c r="AD407" s="1715"/>
      <c r="AE407" s="1715"/>
      <c r="AF407" s="1715"/>
      <c r="AG407" s="1715"/>
      <c r="AH407" s="1715"/>
      <c r="AI407" s="1715"/>
      <c r="AJ407" s="1715"/>
    </row>
    <row r="408" spans="4:36" ht="12.95" customHeight="1">
      <c r="D408" s="3" t="s">
        <v>1654</v>
      </c>
      <c r="T408" s="1715"/>
      <c r="U408" s="1715"/>
      <c r="V408" s="1715"/>
      <c r="W408" s="1715"/>
      <c r="X408" s="1715"/>
      <c r="Y408" s="1715"/>
      <c r="Z408" s="1715"/>
      <c r="AA408" s="1715"/>
      <c r="AB408" s="1715"/>
      <c r="AC408" s="1715"/>
      <c r="AD408" s="1715"/>
      <c r="AE408" s="1715"/>
      <c r="AF408" s="1715"/>
      <c r="AG408" s="1715"/>
      <c r="AH408" s="1715"/>
      <c r="AI408" s="1715"/>
      <c r="AJ408" s="1715"/>
    </row>
    <row r="409" spans="4:36" ht="12.95" customHeight="1">
      <c r="AG409" s="452"/>
      <c r="AH409" s="452"/>
      <c r="AI409" s="452"/>
      <c r="AJ409" s="452"/>
    </row>
    <row r="410" spans="4:36" ht="12.95" customHeight="1">
      <c r="D410" s="3" t="s">
        <v>1648</v>
      </c>
      <c r="S410" s="1715" t="s">
        <v>669</v>
      </c>
      <c r="T410" s="1715"/>
      <c r="U410" s="1715"/>
      <c r="V410" t="s">
        <v>1649</v>
      </c>
      <c r="AG410" s="1719"/>
      <c r="AH410" s="1719"/>
      <c r="AI410" s="1719"/>
      <c r="AJ410" s="1719"/>
    </row>
    <row r="411" spans="4:36" ht="12.95" customHeight="1">
      <c r="D411" s="3" t="s">
        <v>1646</v>
      </c>
      <c r="S411" s="1715" t="s">
        <v>591</v>
      </c>
      <c r="T411" s="1715"/>
      <c r="U411" s="1715"/>
      <c r="V411" t="s">
        <v>1651</v>
      </c>
      <c r="AE411" s="1770"/>
      <c r="AF411" s="1770"/>
      <c r="AG411" s="1770"/>
      <c r="AH411" s="1770"/>
      <c r="AI411" s="1770"/>
      <c r="AJ411" s="1770"/>
    </row>
    <row r="412" spans="4:36" ht="12.95" customHeight="1">
      <c r="D412" s="3" t="s">
        <v>1647</v>
      </c>
      <c r="K412" s="1717"/>
      <c r="L412" s="1717"/>
      <c r="M412" s="1717"/>
      <c r="N412" s="1717"/>
      <c r="O412" s="1717"/>
      <c r="P412" s="1717"/>
      <c r="Q412" s="1717"/>
      <c r="R412" s="1717"/>
      <c r="S412" s="1717"/>
      <c r="T412" s="1717"/>
      <c r="U412" s="1717"/>
      <c r="V412" s="1717"/>
      <c r="W412" s="1717"/>
      <c r="X412" s="1717"/>
      <c r="Y412" s="1717"/>
      <c r="Z412" s="1717"/>
      <c r="AA412" s="1717"/>
      <c r="AB412" s="1717"/>
      <c r="AC412" s="1717"/>
      <c r="AD412" s="1717"/>
      <c r="AE412" s="1717"/>
      <c r="AF412" s="1717"/>
      <c r="AG412" s="1717"/>
      <c r="AH412" s="1717"/>
      <c r="AI412" s="1717"/>
      <c r="AJ412" s="1717"/>
    </row>
    <row r="413" spans="4:36" ht="12.95" customHeight="1">
      <c r="D413" s="3" t="s">
        <v>1650</v>
      </c>
      <c r="K413" s="1717"/>
      <c r="L413" s="1717"/>
      <c r="M413" s="1717"/>
      <c r="N413" s="1717"/>
      <c r="O413" s="1717"/>
      <c r="P413" s="1717"/>
      <c r="Q413" s="1717"/>
      <c r="R413" s="1717"/>
      <c r="S413" s="1717"/>
      <c r="T413" s="1717"/>
      <c r="U413" s="1717"/>
      <c r="V413" s="1717"/>
      <c r="W413" s="1717"/>
      <c r="X413" s="1717"/>
      <c r="Y413" s="1717"/>
      <c r="Z413" s="1717"/>
      <c r="AA413" s="1717"/>
      <c r="AB413" s="1717"/>
      <c r="AC413" s="1717"/>
      <c r="AD413" s="1717"/>
      <c r="AE413" s="1717"/>
      <c r="AF413" s="1717"/>
      <c r="AG413" s="1717"/>
      <c r="AH413" s="1717"/>
      <c r="AI413" s="1717"/>
      <c r="AJ413" s="1717"/>
    </row>
    <row r="414" spans="4:36" ht="12.95" customHeight="1">
      <c r="D414" s="3" t="s">
        <v>1653</v>
      </c>
      <c r="E414" s="473"/>
      <c r="F414" s="473"/>
      <c r="G414" s="473"/>
      <c r="H414" s="473"/>
      <c r="I414" s="473"/>
      <c r="J414" s="473"/>
      <c r="K414" s="473"/>
      <c r="L414" s="473"/>
      <c r="M414" s="473"/>
      <c r="N414" s="473"/>
      <c r="O414" s="473"/>
      <c r="P414" s="473"/>
      <c r="Q414" s="473"/>
      <c r="R414" s="473"/>
      <c r="S414" s="1721" t="s">
        <v>1183</v>
      </c>
      <c r="T414" s="1721"/>
      <c r="U414" s="1721"/>
      <c r="V414" s="1721"/>
      <c r="W414" s="1721"/>
      <c r="X414" s="1721"/>
      <c r="Y414" s="1721"/>
      <c r="Z414" s="1721"/>
      <c r="AA414" s="1721"/>
      <c r="AB414" s="1721"/>
      <c r="AC414" s="1721"/>
      <c r="AD414" s="1721"/>
      <c r="AE414" s="1721"/>
      <c r="AF414" s="1721"/>
      <c r="AG414" s="1721"/>
      <c r="AH414" s="1721"/>
      <c r="AI414" s="1721"/>
      <c r="AJ414" s="1721"/>
    </row>
    <row r="415" spans="4:36" ht="12.95" customHeight="1">
      <c r="D415" s="1303" t="s">
        <v>1652</v>
      </c>
      <c r="E415" s="1303"/>
      <c r="F415" s="1303"/>
      <c r="G415" s="1303"/>
      <c r="H415" s="1303"/>
      <c r="I415" s="1303"/>
      <c r="J415" s="1303"/>
      <c r="K415" s="1303"/>
      <c r="L415" s="1303"/>
      <c r="M415" s="1303"/>
      <c r="N415" s="1303"/>
      <c r="O415" s="1303"/>
      <c r="P415" s="1303"/>
      <c r="Q415" s="1303"/>
      <c r="R415" s="1303"/>
      <c r="S415" s="1303"/>
      <c r="T415" s="1303"/>
      <c r="U415" s="1303"/>
      <c r="V415" s="1303"/>
      <c r="W415" s="1303"/>
      <c r="X415" s="1303"/>
      <c r="Y415" s="1303"/>
      <c r="Z415" s="1303"/>
      <c r="AA415" s="1303"/>
      <c r="AB415" s="1303"/>
      <c r="AC415" s="1303"/>
      <c r="AD415" s="1303"/>
      <c r="AE415" s="1303"/>
      <c r="AF415" s="1303"/>
      <c r="AG415" s="1303"/>
      <c r="AH415" s="1303"/>
      <c r="AI415" s="1303"/>
      <c r="AJ415" s="1303"/>
    </row>
    <row r="416" spans="4:36" ht="12.95" customHeight="1">
      <c r="D416" s="1303"/>
      <c r="E416" s="1303"/>
      <c r="F416" s="1303"/>
      <c r="G416" s="1303"/>
      <c r="H416" s="1303"/>
      <c r="I416" s="1303"/>
      <c r="J416" s="1303"/>
      <c r="K416" s="1303"/>
      <c r="L416" s="1303"/>
      <c r="M416" s="1303"/>
      <c r="N416" s="1303"/>
      <c r="O416" s="1303"/>
      <c r="P416" s="1303"/>
      <c r="Q416" s="1303"/>
      <c r="R416" s="1303"/>
      <c r="S416" s="1303"/>
      <c r="T416" s="1303"/>
      <c r="U416" s="1303"/>
      <c r="V416" s="1303"/>
      <c r="W416" s="1303"/>
      <c r="X416" s="1303"/>
      <c r="Y416" s="1303"/>
      <c r="Z416" s="1303"/>
      <c r="AA416" s="1303"/>
      <c r="AB416" s="1303"/>
      <c r="AC416" s="1303"/>
      <c r="AD416" s="1303"/>
      <c r="AE416" s="1303"/>
      <c r="AF416" s="1303"/>
      <c r="AG416" s="1303"/>
      <c r="AH416" s="1303"/>
      <c r="AI416" s="1303"/>
      <c r="AJ416" s="1303"/>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467" t="s">
        <v>2759</v>
      </c>
      <c r="J419" s="1467"/>
      <c r="K419" s="1467"/>
      <c r="L419" s="1467"/>
      <c r="M419" s="1467"/>
      <c r="N419" s="1467"/>
      <c r="O419" s="1467"/>
      <c r="P419" s="1467"/>
      <c r="Q419" s="1467"/>
      <c r="R419" s="1467"/>
      <c r="S419" s="1467"/>
      <c r="T419" s="1467"/>
      <c r="U419" s="1467"/>
      <c r="V419" s="1467"/>
      <c r="W419" s="1467"/>
      <c r="X419" s="1467"/>
      <c r="Y419" s="1467"/>
      <c r="Z419" s="1467"/>
      <c r="AA419" s="1467"/>
      <c r="AB419" s="1467"/>
      <c r="AC419" s="1467"/>
      <c r="AD419" s="1467"/>
      <c r="AE419" s="1467"/>
    </row>
    <row r="420" spans="1:39" ht="12.95" customHeight="1">
      <c r="E420" t="s">
        <v>106</v>
      </c>
      <c r="R420" s="1285" t="s">
        <v>591</v>
      </c>
      <c r="S420" s="1285"/>
      <c r="AC420" s="27" t="s">
        <v>570</v>
      </c>
      <c r="AD420" s="1492"/>
      <c r="AE420" s="1492"/>
    </row>
    <row r="421" spans="1:39" ht="12.95" customHeight="1">
      <c r="E421" t="s">
        <v>107</v>
      </c>
      <c r="R421" s="1285" t="s">
        <v>545</v>
      </c>
      <c r="S421" s="1285"/>
      <c r="AC421" s="27" t="s">
        <v>570</v>
      </c>
      <c r="AD421" s="1492">
        <v>5</v>
      </c>
      <c r="AE421" s="1492"/>
    </row>
    <row r="422" spans="1:39" ht="12.95" customHeight="1">
      <c r="E422" t="s">
        <v>108</v>
      </c>
      <c r="S422" s="1285" t="s">
        <v>591</v>
      </c>
      <c r="T422" s="1285"/>
    </row>
    <row r="423" spans="1:39" ht="12.95" customHeight="1">
      <c r="E423" t="s">
        <v>170</v>
      </c>
      <c r="H423" s="1782" t="s">
        <v>334</v>
      </c>
      <c r="I423" s="1782"/>
      <c r="J423" s="1782"/>
      <c r="K423" s="1782"/>
      <c r="L423" s="1782"/>
      <c r="M423" s="1782"/>
      <c r="N423" s="1782"/>
      <c r="O423" s="1782"/>
      <c r="P423" s="1782"/>
      <c r="Q423" s="1782"/>
      <c r="R423" s="1782"/>
      <c r="S423" s="1782"/>
      <c r="T423" s="1782"/>
      <c r="U423" s="1782"/>
      <c r="V423" s="1782"/>
      <c r="W423" s="1782"/>
      <c r="X423" s="1782"/>
      <c r="Y423" s="1782"/>
      <c r="Z423" s="1782"/>
      <c r="AA423" s="1782"/>
      <c r="AB423" s="1782"/>
      <c r="AC423" s="1782"/>
      <c r="AD423" s="1782"/>
      <c r="AE423" s="1782"/>
    </row>
    <row r="424" spans="1:39" ht="12.95" customHeight="1">
      <c r="H424" s="1783"/>
      <c r="I424" s="1783"/>
      <c r="J424" s="1783"/>
      <c r="K424" s="1783"/>
      <c r="L424" s="1783"/>
      <c r="M424" s="1783"/>
      <c r="N424" s="1783"/>
      <c r="O424" s="1783"/>
      <c r="P424" s="1783"/>
      <c r="Q424" s="1783"/>
      <c r="R424" s="1783"/>
      <c r="S424" s="1783"/>
      <c r="T424" s="1783"/>
      <c r="U424" s="1783"/>
      <c r="V424" s="1783"/>
      <c r="W424" s="1783"/>
      <c r="X424" s="1783"/>
      <c r="Y424" s="1783"/>
      <c r="Z424" s="1783"/>
      <c r="AA424" s="1783"/>
      <c r="AB424" s="1783"/>
      <c r="AC424" s="1783"/>
      <c r="AD424" s="1783"/>
      <c r="AE424" s="1783"/>
    </row>
    <row r="425" spans="1:39" ht="12.95" customHeight="1"/>
    <row r="426" spans="1:39" ht="12.95" customHeight="1">
      <c r="A426" s="2" t="s">
        <v>590</v>
      </c>
      <c r="B426" s="2"/>
      <c r="C426" s="2"/>
      <c r="D426" s="2" t="s">
        <v>114</v>
      </c>
      <c r="AF426" s="2" t="s">
        <v>957</v>
      </c>
    </row>
    <row r="427" spans="1:39" ht="12.95" customHeight="1">
      <c r="E427" s="1710"/>
      <c r="F427" s="1710"/>
      <c r="G427" s="1710"/>
      <c r="H427" s="13" t="s">
        <v>115</v>
      </c>
      <c r="I427" s="1710"/>
      <c r="J427" s="1710"/>
      <c r="K427" s="1710"/>
      <c r="L427" t="s">
        <v>116</v>
      </c>
      <c r="N427" s="27" t="s">
        <v>575</v>
      </c>
      <c r="P427" s="1762">
        <v>3.59</v>
      </c>
      <c r="Q427" s="1762"/>
      <c r="R427" s="1762"/>
      <c r="S427" t="s">
        <v>117</v>
      </c>
      <c r="W427" s="1720">
        <f>IF(E427&gt;0,(E427*I427),(P427*43560))</f>
        <v>156380.4</v>
      </c>
      <c r="X427" s="1720"/>
      <c r="Y427" s="1720"/>
      <c r="Z427" t="s">
        <v>118</v>
      </c>
      <c r="AF427" s="1722">
        <f>IFERROR(IF(P427&gt;0,(AG446/P427),(AG446/(W427/43560))),0)</f>
        <v>30.083565459610028</v>
      </c>
      <c r="AG427" s="1722"/>
      <c r="AH427" s="1722"/>
      <c r="AM427" s="3"/>
    </row>
    <row r="428" spans="1:39" ht="12.95" customHeight="1">
      <c r="E428" t="s">
        <v>51</v>
      </c>
    </row>
    <row r="429" spans="1:39" ht="12.95" customHeight="1">
      <c r="E429" s="1785"/>
      <c r="F429" s="1785"/>
      <c r="G429" s="1785"/>
      <c r="H429" s="1785"/>
      <c r="I429" s="1785"/>
      <c r="J429" s="1785"/>
      <c r="K429" s="1785"/>
      <c r="L429" s="1785"/>
      <c r="M429" s="1785"/>
      <c r="N429" s="1785"/>
      <c r="O429" s="1785"/>
      <c r="P429" s="1785"/>
      <c r="Q429" s="1785"/>
      <c r="R429" s="1785"/>
      <c r="S429" s="1785"/>
      <c r="T429" s="1785"/>
      <c r="U429" s="1785"/>
      <c r="V429" s="1785"/>
      <c r="W429" s="1785"/>
      <c r="X429" s="1785"/>
      <c r="Y429" s="1785"/>
      <c r="Z429" s="1785"/>
      <c r="AA429" s="1785"/>
      <c r="AB429" s="1785"/>
      <c r="AC429" s="1785"/>
      <c r="AD429" s="1785"/>
      <c r="AE429" s="1785"/>
      <c r="AF429" s="1785"/>
      <c r="AG429" s="1785"/>
      <c r="AH429" s="1785"/>
      <c r="AI429" s="1785"/>
      <c r="AJ429" s="1785"/>
    </row>
    <row r="430" spans="1:39" ht="12.95" customHeight="1">
      <c r="E430" s="118" t="s">
        <v>1723</v>
      </c>
      <c r="F430" s="1003"/>
      <c r="G430" s="1003"/>
      <c r="H430" s="1003"/>
      <c r="I430" s="1777">
        <v>3.6</v>
      </c>
      <c r="J430" s="1777"/>
      <c r="K430" s="1777"/>
      <c r="L430" s="1003"/>
      <c r="M430" s="118"/>
      <c r="N430" s="1003"/>
      <c r="O430" s="1003"/>
      <c r="P430" s="1765">
        <f>(DU763+DU786+DU808)/I430</f>
        <v>38.333333333333336</v>
      </c>
      <c r="Q430" s="1765"/>
      <c r="R430" s="1765"/>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285">
        <v>2</v>
      </c>
      <c r="Q433" s="1285"/>
      <c r="S433" t="s">
        <v>189</v>
      </c>
      <c r="AE433" s="1285">
        <v>2</v>
      </c>
      <c r="AF433" s="1285"/>
    </row>
    <row r="434" spans="1:36" ht="12.95" customHeight="1">
      <c r="E434" t="s">
        <v>190</v>
      </c>
      <c r="P434" s="1285">
        <v>0</v>
      </c>
      <c r="Q434" s="1285"/>
      <c r="S434" t="s">
        <v>131</v>
      </c>
      <c r="AE434" s="1285" t="s">
        <v>591</v>
      </c>
      <c r="AF434" s="1285"/>
    </row>
    <row r="435" spans="1:36" ht="12.95" customHeight="1">
      <c r="F435" s="28" t="s">
        <v>132</v>
      </c>
    </row>
    <row r="436" spans="1:36" ht="12.95" customHeight="1">
      <c r="F436" s="1741"/>
      <c r="G436" s="1741"/>
      <c r="H436" s="1741"/>
      <c r="I436" s="1741"/>
      <c r="J436" s="1741"/>
      <c r="K436" s="1741"/>
      <c r="L436" s="1741"/>
      <c r="M436" s="1741"/>
      <c r="N436" s="1741"/>
      <c r="O436" s="1741"/>
      <c r="P436" s="1741"/>
      <c r="Q436" s="1741"/>
      <c r="R436" s="1741"/>
      <c r="S436" s="1741"/>
      <c r="T436" s="1741"/>
      <c r="U436" s="1741"/>
      <c r="V436" s="1741"/>
      <c r="W436" s="1741"/>
      <c r="X436" s="1741"/>
      <c r="Y436" s="1741"/>
      <c r="Z436" s="1741"/>
      <c r="AA436" s="1741"/>
      <c r="AB436" s="1741"/>
      <c r="AC436" s="1741"/>
      <c r="AD436" s="1741"/>
      <c r="AE436" s="1741"/>
      <c r="AF436" s="1741"/>
      <c r="AG436" s="1741"/>
      <c r="AH436" s="1741"/>
    </row>
    <row r="437" spans="1:36" ht="12.95" customHeight="1">
      <c r="F437" s="1707"/>
      <c r="G437" s="1707"/>
      <c r="H437" s="1707"/>
      <c r="I437" s="1707"/>
      <c r="J437" s="1707"/>
      <c r="K437" s="1707"/>
      <c r="L437" s="1707"/>
      <c r="M437" s="1707"/>
      <c r="N437" s="1707"/>
      <c r="O437" s="1707"/>
      <c r="P437" s="1707"/>
      <c r="Q437" s="1707"/>
      <c r="R437" s="1707"/>
      <c r="S437" s="1707"/>
      <c r="T437" s="1707"/>
      <c r="U437" s="1707"/>
      <c r="V437" s="1707"/>
      <c r="W437" s="1707"/>
      <c r="X437" s="1707"/>
      <c r="Y437" s="1707"/>
      <c r="Z437" s="1707"/>
      <c r="AA437" s="1707"/>
      <c r="AB437" s="1707"/>
      <c r="AC437" s="1707"/>
      <c r="AD437" s="1707"/>
      <c r="AE437" s="1707"/>
      <c r="AF437" s="1707"/>
      <c r="AG437" s="1707"/>
      <c r="AH437" s="1707"/>
    </row>
    <row r="438" spans="1:36" ht="12.95" customHeight="1">
      <c r="E438" t="s">
        <v>608</v>
      </c>
      <c r="P438" s="1"/>
      <c r="Q438" s="1285" t="s">
        <v>545</v>
      </c>
      <c r="R438" s="1285"/>
    </row>
    <row r="439" spans="1:36" ht="12.95" customHeight="1">
      <c r="F439" t="s">
        <v>609</v>
      </c>
      <c r="P439" s="1"/>
      <c r="Q439" s="1"/>
      <c r="AF439" s="1285" t="s">
        <v>591</v>
      </c>
      <c r="AG439" s="1787"/>
    </row>
    <row r="440" spans="1:36" ht="12.95" customHeight="1"/>
    <row r="441" spans="1:36" ht="12.95" customHeight="1">
      <c r="A441" s="2"/>
      <c r="B441" s="2"/>
      <c r="C441" s="2"/>
      <c r="E441" s="4" t="s">
        <v>308</v>
      </c>
      <c r="Z441" s="1285" t="s">
        <v>669</v>
      </c>
      <c r="AA441" s="1285"/>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285" t="s">
        <v>591</v>
      </c>
      <c r="AA443" s="1285"/>
    </row>
    <row r="444" spans="1:36" ht="12.95" customHeight="1"/>
    <row r="445" spans="1:36" ht="12.95" customHeight="1">
      <c r="A445" s="2" t="s">
        <v>467</v>
      </c>
      <c r="B445" s="2"/>
      <c r="C445" s="2"/>
      <c r="D445" s="2" t="s">
        <v>764</v>
      </c>
      <c r="AF445" s="48"/>
    </row>
    <row r="446" spans="1:36" ht="12.95" customHeight="1">
      <c r="D446" s="1670" t="s">
        <v>43</v>
      </c>
      <c r="E446" s="1671"/>
      <c r="F446" s="1671"/>
      <c r="G446" s="1671"/>
      <c r="H446" s="1671"/>
      <c r="I446" s="1671"/>
      <c r="J446" s="1671"/>
      <c r="K446" s="1671"/>
      <c r="L446" s="1671"/>
      <c r="M446" s="1671"/>
      <c r="N446" s="1671"/>
      <c r="O446" s="1671"/>
      <c r="P446" s="1671"/>
      <c r="Q446" s="1671"/>
      <c r="R446" s="1671"/>
      <c r="S446" s="1671"/>
      <c r="T446" s="1671"/>
      <c r="U446" s="1671"/>
      <c r="V446" s="1671"/>
      <c r="W446" s="1671"/>
      <c r="X446" s="1671"/>
      <c r="Y446" s="1671"/>
      <c r="Z446" s="1671"/>
      <c r="AA446" s="1671"/>
      <c r="AB446" s="1671"/>
      <c r="AC446" s="1671"/>
      <c r="AD446" s="1671"/>
      <c r="AE446" s="1671"/>
      <c r="AF446" s="1764"/>
      <c r="AG446" s="1718">
        <v>108</v>
      </c>
      <c r="AH446" s="1718"/>
      <c r="AI446" s="1718"/>
      <c r="AJ446" s="1718"/>
    </row>
    <row r="447" spans="1:36" ht="12.95" customHeight="1">
      <c r="D447" s="1698" t="s">
        <v>1221</v>
      </c>
      <c r="E447" s="1699"/>
      <c r="F447" s="1699"/>
      <c r="G447" s="1699"/>
      <c r="H447" s="1699"/>
      <c r="I447" s="1699"/>
      <c r="J447" s="1699"/>
      <c r="K447" s="1699"/>
      <c r="L447" s="1699"/>
      <c r="M447" s="1699"/>
      <c r="N447" s="1699"/>
      <c r="O447" s="1699"/>
      <c r="P447" s="1699"/>
      <c r="Q447" s="1699"/>
      <c r="R447" s="1699"/>
      <c r="S447" s="1699"/>
      <c r="T447" s="1699"/>
      <c r="U447" s="1699"/>
      <c r="V447" s="1699"/>
      <c r="W447" s="1699"/>
      <c r="X447" s="1699"/>
      <c r="Y447" s="1699"/>
      <c r="Z447" s="1699"/>
      <c r="AA447" s="1699"/>
      <c r="AB447" s="1699"/>
      <c r="AC447" s="1699"/>
      <c r="AD447" s="1699"/>
      <c r="AE447" s="1699"/>
      <c r="AF447" s="1700"/>
      <c r="AG447" s="1763">
        <v>0</v>
      </c>
      <c r="AH447" s="1369"/>
      <c r="AI447" s="1369"/>
      <c r="AJ447" s="1369"/>
    </row>
    <row r="448" spans="1:36" ht="12.95" customHeight="1">
      <c r="D448" s="1698" t="s">
        <v>1031</v>
      </c>
      <c r="E448" s="1699"/>
      <c r="F448" s="1699"/>
      <c r="G448" s="1699"/>
      <c r="H448" s="1699"/>
      <c r="I448" s="1699"/>
      <c r="J448" s="1699"/>
      <c r="K448" s="1699"/>
      <c r="L448" s="1699"/>
      <c r="M448" s="1699"/>
      <c r="N448" s="1699"/>
      <c r="O448" s="1699"/>
      <c r="P448" s="1699"/>
      <c r="Q448" s="1699"/>
      <c r="R448" s="1699"/>
      <c r="S448" s="1699"/>
      <c r="T448" s="1699"/>
      <c r="U448" s="1699"/>
      <c r="V448" s="1699"/>
      <c r="W448" s="1699"/>
      <c r="X448" s="1699"/>
      <c r="Y448" s="1699"/>
      <c r="Z448" s="1699"/>
      <c r="AA448" s="1699"/>
      <c r="AB448" s="1699"/>
      <c r="AC448" s="1699"/>
      <c r="AD448" s="1699"/>
      <c r="AE448" s="1699"/>
      <c r="AF448" s="1700"/>
      <c r="AG448" s="1718">
        <v>107</v>
      </c>
      <c r="AH448" s="1718"/>
      <c r="AI448" s="1718"/>
      <c r="AJ448" s="1718"/>
    </row>
    <row r="449" spans="4:55" ht="12.95" customHeight="1">
      <c r="D449" s="1698" t="s">
        <v>1032</v>
      </c>
      <c r="E449" s="1699"/>
      <c r="F449" s="1699"/>
      <c r="G449" s="1699"/>
      <c r="H449" s="1699"/>
      <c r="I449" s="1699"/>
      <c r="J449" s="1699"/>
      <c r="K449" s="1699"/>
      <c r="L449" s="1699"/>
      <c r="M449" s="1699"/>
      <c r="N449" s="1699"/>
      <c r="O449" s="1699"/>
      <c r="P449" s="1699"/>
      <c r="Q449" s="1699"/>
      <c r="R449" s="1699"/>
      <c r="S449" s="1699"/>
      <c r="T449" s="1699"/>
      <c r="U449" s="1699"/>
      <c r="V449" s="1699"/>
      <c r="W449" s="1699"/>
      <c r="X449" s="1699"/>
      <c r="Y449" s="1699"/>
      <c r="Z449" s="1699"/>
      <c r="AA449" s="1699"/>
      <c r="AB449" s="1699"/>
      <c r="AC449" s="1699"/>
      <c r="AD449" s="1699"/>
      <c r="AE449" s="1699"/>
      <c r="AF449" s="1700"/>
      <c r="AG449" s="1718">
        <v>107</v>
      </c>
      <c r="AH449" s="1718"/>
      <c r="AI449" s="1718"/>
      <c r="AJ449" s="1718"/>
    </row>
    <row r="450" spans="4:55" ht="12.95" customHeight="1">
      <c r="D450" s="1698" t="s">
        <v>1034</v>
      </c>
      <c r="E450" s="1699"/>
      <c r="F450" s="1699"/>
      <c r="G450" s="1699"/>
      <c r="H450" s="1699"/>
      <c r="I450" s="1699"/>
      <c r="J450" s="1699"/>
      <c r="K450" s="1699"/>
      <c r="L450" s="1699"/>
      <c r="M450" s="1699"/>
      <c r="N450" s="1699"/>
      <c r="O450" s="1699"/>
      <c r="P450" s="1699"/>
      <c r="Q450" s="1699"/>
      <c r="R450" s="1699"/>
      <c r="S450" s="1699"/>
      <c r="T450" s="1699"/>
      <c r="U450" s="1699"/>
      <c r="V450" s="1699"/>
      <c r="W450" s="1699"/>
      <c r="X450" s="1699"/>
      <c r="Y450" s="1699"/>
      <c r="Z450" s="1699"/>
      <c r="AA450" s="1699"/>
      <c r="AB450" s="1699"/>
      <c r="AC450" s="1699"/>
      <c r="AD450" s="1699"/>
      <c r="AE450" s="1699"/>
      <c r="AF450" s="1700"/>
      <c r="AG450" s="1776">
        <f>IF(ISERROR(AG449/AG448),0,AG449/AG448)</f>
        <v>1</v>
      </c>
      <c r="AH450" s="1776"/>
      <c r="AI450" s="1776"/>
      <c r="AJ450" s="1776"/>
    </row>
    <row r="451" spans="4:55" ht="12.95" customHeight="1">
      <c r="D451" s="1698" t="s">
        <v>1033</v>
      </c>
      <c r="E451" s="1699"/>
      <c r="F451" s="1699"/>
      <c r="G451" s="1699"/>
      <c r="H451" s="1699"/>
      <c r="I451" s="1699"/>
      <c r="J451" s="1699"/>
      <c r="K451" s="1699"/>
      <c r="L451" s="1699"/>
      <c r="M451" s="1699"/>
      <c r="N451" s="1699"/>
      <c r="O451" s="1699"/>
      <c r="P451" s="1699"/>
      <c r="Q451" s="1699"/>
      <c r="R451" s="1699"/>
      <c r="S451" s="1699"/>
      <c r="T451" s="1699"/>
      <c r="U451" s="1699"/>
      <c r="V451" s="1699"/>
      <c r="W451" s="1699"/>
      <c r="X451" s="1699"/>
      <c r="Y451" s="1699"/>
      <c r="Z451" s="1699"/>
      <c r="AA451" s="1699"/>
      <c r="AB451" s="1699"/>
      <c r="AC451" s="1699"/>
      <c r="AD451" s="1699"/>
      <c r="AE451" s="1699"/>
      <c r="AF451" s="1700"/>
      <c r="AG451" s="1650">
        <v>107843</v>
      </c>
      <c r="AH451" s="1650"/>
      <c r="AI451" s="1650"/>
      <c r="AJ451" s="1650"/>
    </row>
    <row r="452" spans="4:55" ht="12.95" customHeight="1">
      <c r="D452" s="1698" t="s">
        <v>1035</v>
      </c>
      <c r="E452" s="1699"/>
      <c r="F452" s="1699"/>
      <c r="G452" s="1699"/>
      <c r="H452" s="1699"/>
      <c r="I452" s="1699"/>
      <c r="J452" s="1699"/>
      <c r="K452" s="1699"/>
      <c r="L452" s="1699"/>
      <c r="M452" s="1699"/>
      <c r="N452" s="1699"/>
      <c r="O452" s="1699"/>
      <c r="P452" s="1699"/>
      <c r="Q452" s="1699"/>
      <c r="R452" s="1699"/>
      <c r="S452" s="1699"/>
      <c r="T452" s="1699"/>
      <c r="U452" s="1699"/>
      <c r="V452" s="1699"/>
      <c r="W452" s="1699"/>
      <c r="X452" s="1699"/>
      <c r="Y452" s="1699"/>
      <c r="Z452" s="1699"/>
      <c r="AA452" s="1699"/>
      <c r="AB452" s="1699"/>
      <c r="AC452" s="1699"/>
      <c r="AD452" s="1699"/>
      <c r="AE452" s="1699"/>
      <c r="AF452" s="1700"/>
      <c r="AG452" s="1650">
        <v>107843</v>
      </c>
      <c r="AH452" s="1650"/>
      <c r="AI452" s="1650"/>
      <c r="AJ452" s="1650"/>
    </row>
    <row r="453" spans="4:55" ht="12.95" customHeight="1">
      <c r="D453" s="1698" t="s">
        <v>1036</v>
      </c>
      <c r="E453" s="1699"/>
      <c r="F453" s="1699"/>
      <c r="G453" s="1699"/>
      <c r="H453" s="1699"/>
      <c r="I453" s="1699"/>
      <c r="J453" s="1699"/>
      <c r="K453" s="1699"/>
      <c r="L453" s="1699"/>
      <c r="M453" s="1699"/>
      <c r="N453" s="1699"/>
      <c r="O453" s="1699"/>
      <c r="P453" s="1699"/>
      <c r="Q453" s="1699"/>
      <c r="R453" s="1699"/>
      <c r="S453" s="1699"/>
      <c r="T453" s="1699"/>
      <c r="U453" s="1699"/>
      <c r="V453" s="1699"/>
      <c r="W453" s="1699"/>
      <c r="X453" s="1699"/>
      <c r="Y453" s="1699"/>
      <c r="Z453" s="1699"/>
      <c r="AA453" s="1699"/>
      <c r="AB453" s="1699"/>
      <c r="AC453" s="1699"/>
      <c r="AD453" s="1699"/>
      <c r="AE453" s="1699"/>
      <c r="AF453" s="1700"/>
      <c r="AG453" s="1776">
        <f>IF(ISERROR(AG452/AG451),0,AG452/AG451)</f>
        <v>1</v>
      </c>
      <c r="AH453" s="1776"/>
      <c r="AI453" s="1776"/>
      <c r="AJ453" s="1776"/>
    </row>
    <row r="454" spans="4:55" ht="12.95" customHeight="1">
      <c r="D454" s="1698" t="s">
        <v>1037</v>
      </c>
      <c r="E454" s="1699"/>
      <c r="F454" s="1699"/>
      <c r="G454" s="1699"/>
      <c r="H454" s="1699"/>
      <c r="I454" s="1699"/>
      <c r="J454" s="1699"/>
      <c r="K454" s="1699"/>
      <c r="L454" s="1699"/>
      <c r="M454" s="1699"/>
      <c r="N454" s="1699"/>
      <c r="O454" s="1699"/>
      <c r="P454" s="1699"/>
      <c r="Q454" s="1699"/>
      <c r="R454" s="1699"/>
      <c r="S454" s="1699"/>
      <c r="T454" s="1699"/>
      <c r="U454" s="1699"/>
      <c r="V454" s="1699"/>
      <c r="W454" s="1699"/>
      <c r="X454" s="1699"/>
      <c r="Y454" s="1699"/>
      <c r="Z454" s="1699"/>
      <c r="AA454" s="1699"/>
      <c r="AB454" s="1699"/>
      <c r="AC454" s="1699"/>
      <c r="AD454" s="1699"/>
      <c r="AE454" s="1699"/>
      <c r="AF454" s="1700"/>
      <c r="AG454" s="1776">
        <f>MIN(IF(AG450&gt;AG453,AG453,AG450),1)</f>
        <v>1</v>
      </c>
      <c r="AH454" s="1776"/>
      <c r="AI454" s="1776"/>
      <c r="AJ454" s="1776"/>
    </row>
    <row r="455" spans="4:55" ht="12.95" customHeight="1">
      <c r="D455" s="1698" t="s">
        <v>2037</v>
      </c>
      <c r="E455" s="1671"/>
      <c r="F455" s="1671"/>
      <c r="G455" s="1671"/>
      <c r="H455" s="1671"/>
      <c r="I455" s="1671"/>
      <c r="J455" s="1671"/>
      <c r="K455" s="1671"/>
      <c r="L455" s="1671"/>
      <c r="M455" s="1671"/>
      <c r="N455" s="1671"/>
      <c r="O455" s="1671"/>
      <c r="P455" s="1671"/>
      <c r="Q455" s="1671"/>
      <c r="R455" s="1671"/>
      <c r="S455" s="1671"/>
      <c r="T455" s="1671"/>
      <c r="U455" s="1671"/>
      <c r="V455" s="1671"/>
      <c r="W455" s="1671"/>
      <c r="X455" s="1671"/>
      <c r="Y455" s="1671"/>
      <c r="Z455" s="1671"/>
      <c r="AA455" s="1671"/>
      <c r="AB455" s="1671"/>
      <c r="AC455" s="1671"/>
      <c r="AD455" s="1671"/>
      <c r="AE455" s="1671"/>
      <c r="AF455" s="1764"/>
      <c r="AG455" s="1650">
        <v>19021</v>
      </c>
      <c r="AH455" s="1650"/>
      <c r="AI455" s="1650"/>
      <c r="AJ455" s="1650"/>
      <c r="AZ455" s="34"/>
      <c r="BA455" s="34"/>
      <c r="BB455" s="34"/>
      <c r="BC455" s="34"/>
    </row>
    <row r="456" spans="4:55" ht="12.95" customHeight="1">
      <c r="D456" s="1670" t="s">
        <v>569</v>
      </c>
      <c r="E456" s="1671"/>
      <c r="F456" s="1671"/>
      <c r="G456" s="1671"/>
      <c r="H456" s="1671"/>
      <c r="I456" s="1671"/>
      <c r="J456" s="1671"/>
      <c r="K456" s="1671"/>
      <c r="L456" s="1671"/>
      <c r="M456" s="1671"/>
      <c r="N456" s="1671"/>
      <c r="O456" s="1671"/>
      <c r="P456" s="1671"/>
      <c r="Q456" s="1671"/>
      <c r="R456" s="1671"/>
      <c r="S456" s="1671"/>
      <c r="T456" s="1671"/>
      <c r="U456" s="1671"/>
      <c r="V456" s="1671"/>
      <c r="W456" s="1671"/>
      <c r="X456" s="1671"/>
      <c r="Y456" s="1671"/>
      <c r="Z456" s="1671"/>
      <c r="AA456" s="1671"/>
      <c r="AB456" s="1671"/>
      <c r="AC456" s="1671"/>
      <c r="AD456" s="1671"/>
      <c r="AE456" s="1671"/>
      <c r="AF456" s="1764"/>
      <c r="AG456" s="1650">
        <v>0</v>
      </c>
      <c r="AH456" s="1650"/>
      <c r="AI456" s="1650"/>
      <c r="AJ456" s="1650"/>
      <c r="AZ456" s="3"/>
      <c r="BA456" s="3"/>
      <c r="BB456" s="3"/>
      <c r="BC456" s="3"/>
    </row>
    <row r="457" spans="4:55" ht="12.95" customHeight="1">
      <c r="D457" s="1698" t="s">
        <v>1204</v>
      </c>
      <c r="E457" s="1671"/>
      <c r="F457" s="1671"/>
      <c r="G457" s="1671"/>
      <c r="H457" s="1671"/>
      <c r="I457" s="1671"/>
      <c r="J457" s="1671"/>
      <c r="K457" s="1671"/>
      <c r="L457" s="1671"/>
      <c r="M457" s="1671"/>
      <c r="N457" s="1671"/>
      <c r="O457" s="1671"/>
      <c r="P457" s="1671"/>
      <c r="Q457" s="1671"/>
      <c r="R457" s="1671"/>
      <c r="S457" s="1671"/>
      <c r="T457" s="1671"/>
      <c r="U457" s="1671"/>
      <c r="V457" s="1671"/>
      <c r="W457" s="1671"/>
      <c r="X457" s="1671"/>
      <c r="Y457" s="1671"/>
      <c r="Z457" s="1671"/>
      <c r="AA457" s="1671"/>
      <c r="AB457" s="1671"/>
      <c r="AC457" s="1671"/>
      <c r="AD457" s="1671"/>
      <c r="AE457" s="1671"/>
      <c r="AF457" s="1764"/>
      <c r="AG457" s="1650">
        <v>0</v>
      </c>
      <c r="AH457" s="1650"/>
      <c r="AI457" s="1650"/>
      <c r="AJ457" s="1650"/>
      <c r="AZ457" s="3"/>
      <c r="BA457" s="3"/>
      <c r="BB457" s="3"/>
      <c r="BC457" s="3"/>
    </row>
    <row r="458" spans="4:55" ht="12.95" customHeight="1">
      <c r="D458" s="1698" t="s">
        <v>1038</v>
      </c>
      <c r="E458" s="1671"/>
      <c r="F458" s="1671"/>
      <c r="G458" s="1671"/>
      <c r="H458" s="1671"/>
      <c r="I458" s="1671"/>
      <c r="J458" s="1671"/>
      <c r="K458" s="1671"/>
      <c r="L458" s="1671"/>
      <c r="M458" s="1671"/>
      <c r="N458" s="1671"/>
      <c r="O458" s="1671"/>
      <c r="P458" s="1671"/>
      <c r="Q458" s="1671"/>
      <c r="R458" s="1671"/>
      <c r="S458" s="1671"/>
      <c r="T458" s="1671"/>
      <c r="U458" s="1671"/>
      <c r="V458" s="1671"/>
      <c r="W458" s="1671"/>
      <c r="X458" s="1671"/>
      <c r="Y458" s="1671"/>
      <c r="Z458" s="1671"/>
      <c r="AA458" s="1671"/>
      <c r="AB458" s="1671"/>
      <c r="AC458" s="1671"/>
      <c r="AD458" s="1671"/>
      <c r="AE458" s="1671"/>
      <c r="AF458" s="1764"/>
      <c r="AG458" s="1650">
        <v>0</v>
      </c>
      <c r="AH458" s="1650"/>
      <c r="AI458" s="1650"/>
      <c r="AJ458" s="1650"/>
      <c r="BB458" s="3"/>
      <c r="BC458" s="3"/>
    </row>
    <row r="459" spans="4:55" ht="12.95" customHeight="1">
      <c r="D459" s="1723" t="s">
        <v>1039</v>
      </c>
      <c r="E459" s="1724"/>
      <c r="F459" s="1724"/>
      <c r="G459" s="1724"/>
      <c r="H459" s="1724"/>
      <c r="I459" s="1724"/>
      <c r="J459" s="1724"/>
      <c r="K459" s="1724"/>
      <c r="L459" s="1724"/>
      <c r="M459" s="1724"/>
      <c r="N459" s="1724"/>
      <c r="O459" s="1724"/>
      <c r="P459" s="1724"/>
      <c r="Q459" s="1724"/>
      <c r="R459" s="1724"/>
      <c r="S459" s="1724"/>
      <c r="T459" s="1724"/>
      <c r="U459" s="1724"/>
      <c r="V459" s="1724"/>
      <c r="W459" s="1724"/>
      <c r="X459" s="1724"/>
      <c r="Y459" s="1724"/>
      <c r="Z459" s="1724"/>
      <c r="AA459" s="1724"/>
      <c r="AB459" s="1724"/>
      <c r="AC459" s="1724"/>
      <c r="AD459" s="1724"/>
      <c r="AE459" s="1724"/>
      <c r="AF459" s="1725"/>
      <c r="AG459" s="1806">
        <f>AG451+AG455+AG457+AG458</f>
        <v>126864</v>
      </c>
      <c r="AH459" s="1806"/>
      <c r="AI459" s="1806"/>
      <c r="AJ459" s="1806"/>
      <c r="AZ459" s="3"/>
      <c r="BA459" s="3"/>
      <c r="BB459" s="3"/>
      <c r="BC459" s="3"/>
    </row>
    <row r="460" spans="4:55" ht="12.95" customHeight="1">
      <c r="D460" s="1701" t="s">
        <v>1205</v>
      </c>
      <c r="E460" s="1701"/>
      <c r="F460" s="1701"/>
      <c r="G460" s="1701"/>
      <c r="H460" s="1701"/>
      <c r="I460" s="1701"/>
      <c r="J460" s="1701"/>
      <c r="K460" s="1701"/>
      <c r="L460" s="1701"/>
      <c r="M460" s="1701"/>
      <c r="N460" s="1701"/>
      <c r="O460" s="1701"/>
      <c r="P460" s="1701"/>
      <c r="Q460" s="1701"/>
      <c r="R460" s="1701"/>
      <c r="S460" s="1701"/>
      <c r="T460" s="1701"/>
      <c r="U460" s="1701"/>
      <c r="V460" s="1701"/>
      <c r="W460" s="1701"/>
      <c r="X460" s="1701"/>
      <c r="Y460" s="1701"/>
      <c r="Z460" s="1701"/>
      <c r="AA460" s="1701"/>
      <c r="AB460" s="1701"/>
      <c r="AC460" s="1701"/>
      <c r="AD460" s="1701"/>
      <c r="AE460" s="1701"/>
      <c r="AF460" s="1701"/>
      <c r="AG460" s="1701"/>
      <c r="AH460" s="1701"/>
      <c r="AI460" s="1701"/>
      <c r="AJ460" s="1701"/>
      <c r="AZ460" s="3"/>
      <c r="BA460" s="3"/>
      <c r="BB460" s="3"/>
      <c r="BC460" s="3"/>
    </row>
    <row r="461" spans="4:55" ht="12.95" customHeight="1">
      <c r="D461" s="1702"/>
      <c r="E461" s="1702"/>
      <c r="F461" s="1702"/>
      <c r="G461" s="1702"/>
      <c r="H461" s="1702"/>
      <c r="I461" s="1702"/>
      <c r="J461" s="1702"/>
      <c r="K461" s="1702"/>
      <c r="L461" s="1702"/>
      <c r="M461" s="1702"/>
      <c r="N461" s="1702"/>
      <c r="O461" s="1702"/>
      <c r="P461" s="1702"/>
      <c r="Q461" s="1702"/>
      <c r="R461" s="1702"/>
      <c r="S461" s="1702"/>
      <c r="T461" s="1702"/>
      <c r="U461" s="1702"/>
      <c r="V461" s="1702"/>
      <c r="W461" s="1702"/>
      <c r="X461" s="1702"/>
      <c r="Y461" s="1702"/>
      <c r="Z461" s="1702"/>
      <c r="AA461" s="1702"/>
      <c r="AB461" s="1702"/>
      <c r="AC461" s="1702"/>
      <c r="AD461" s="1702"/>
      <c r="AE461" s="1702"/>
      <c r="AF461" s="1702"/>
      <c r="AG461" s="1702"/>
      <c r="AH461" s="1702"/>
      <c r="AI461" s="1702"/>
      <c r="AJ461" s="1702"/>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9">
        <f>IF(AG446=0,"",'Sources and Uses Budget'!B105/Application!AG446)</f>
        <v>517653.45370370371</v>
      </c>
      <c r="AD463" s="1709"/>
      <c r="AE463" s="1709"/>
      <c r="AF463" s="1709"/>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9">
        <f>IF(AG446=0,"",'Sources and Uses Budget'!C105/Application!AG446)</f>
        <v>517653.45370370371</v>
      </c>
      <c r="AD464" s="1709"/>
      <c r="AE464" s="1709"/>
      <c r="AF464" s="1709"/>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9">
        <f>IF(AG446=0,"",('Sources and Uses Budget'!$S$107+'Sources and Uses Budget'!$T$107)/Application!AG446)</f>
        <v>461628.03703703702</v>
      </c>
      <c r="AD465" s="1709"/>
      <c r="AE465" s="1709"/>
      <c r="AF465" s="1709"/>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786" t="s">
        <v>2049</v>
      </c>
      <c r="E473" s="1774"/>
      <c r="F473" s="1774"/>
      <c r="G473" s="1774"/>
      <c r="H473" s="1774"/>
      <c r="I473" s="1774"/>
      <c r="J473" s="1774"/>
      <c r="K473" s="1774"/>
      <c r="L473" s="1774"/>
      <c r="M473" s="1774"/>
      <c r="N473" s="1774"/>
      <c r="O473" s="1774"/>
      <c r="P473" s="1774"/>
      <c r="Q473" s="1774"/>
      <c r="R473" s="1774"/>
      <c r="S473" s="1774"/>
      <c r="T473" s="1774"/>
      <c r="U473" s="1774"/>
      <c r="V473" s="1775"/>
      <c r="W473" s="1475">
        <v>0</v>
      </c>
      <c r="X473" s="1476"/>
      <c r="Y473" s="1477"/>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773" t="s">
        <v>693</v>
      </c>
      <c r="E474" s="1774"/>
      <c r="F474" s="1774"/>
      <c r="G474" s="1774"/>
      <c r="H474" s="1774"/>
      <c r="I474" s="1774"/>
      <c r="J474" s="1774"/>
      <c r="K474" s="1774"/>
      <c r="L474" s="1774"/>
      <c r="M474" s="1774"/>
      <c r="N474" s="1774"/>
      <c r="O474" s="1774"/>
      <c r="P474" s="1774"/>
      <c r="Q474" s="1774"/>
      <c r="R474" s="1774"/>
      <c r="S474" s="1774"/>
      <c r="T474" s="1774"/>
      <c r="U474" s="1774"/>
      <c r="V474" s="1775"/>
      <c r="W474" s="1475">
        <v>0</v>
      </c>
      <c r="X474" s="1476"/>
      <c r="Y474" s="1477"/>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773" t="s">
        <v>694</v>
      </c>
      <c r="E475" s="1774"/>
      <c r="F475" s="1774"/>
      <c r="G475" s="1774"/>
      <c r="H475" s="1774"/>
      <c r="I475" s="1774"/>
      <c r="J475" s="1774"/>
      <c r="K475" s="1774"/>
      <c r="L475" s="1774"/>
      <c r="M475" s="1774"/>
      <c r="N475" s="1774"/>
      <c r="O475" s="1774"/>
      <c r="P475" s="1774"/>
      <c r="Q475" s="1774"/>
      <c r="R475" s="1774"/>
      <c r="S475" s="1774"/>
      <c r="T475" s="1774"/>
      <c r="U475" s="1774"/>
      <c r="V475" s="1775"/>
      <c r="W475" s="1475">
        <v>0</v>
      </c>
      <c r="X475" s="1476"/>
      <c r="Y475" s="1477"/>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773" t="s">
        <v>695</v>
      </c>
      <c r="E476" s="1774"/>
      <c r="F476" s="1774"/>
      <c r="G476" s="1774"/>
      <c r="H476" s="1774"/>
      <c r="I476" s="1774"/>
      <c r="J476" s="1774"/>
      <c r="K476" s="1774"/>
      <c r="L476" s="1774"/>
      <c r="M476" s="1774"/>
      <c r="N476" s="1774"/>
      <c r="O476" s="1774"/>
      <c r="P476" s="1774"/>
      <c r="Q476" s="1774"/>
      <c r="R476" s="1774"/>
      <c r="S476" s="1774"/>
      <c r="T476" s="1774"/>
      <c r="U476" s="1774"/>
      <c r="V476" s="1775"/>
      <c r="W476" s="1475">
        <v>0</v>
      </c>
      <c r="X476" s="1476"/>
      <c r="Y476" s="1477"/>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773" t="s">
        <v>881</v>
      </c>
      <c r="E477" s="1774"/>
      <c r="F477" s="1774"/>
      <c r="G477" s="1774"/>
      <c r="H477" s="1774"/>
      <c r="I477" s="1774"/>
      <c r="J477" s="1774"/>
      <c r="K477" s="1774"/>
      <c r="L477" s="1774"/>
      <c r="M477" s="1774"/>
      <c r="N477" s="1774"/>
      <c r="O477" s="1774"/>
      <c r="P477" s="1774"/>
      <c r="Q477" s="1774"/>
      <c r="R477" s="1774"/>
      <c r="S477" s="1774"/>
      <c r="T477" s="1774"/>
      <c r="U477" s="1774"/>
      <c r="V477" s="1775"/>
      <c r="W477" s="1475">
        <v>0</v>
      </c>
      <c r="X477" s="1476"/>
      <c r="Y477" s="1477"/>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773" t="s">
        <v>696</v>
      </c>
      <c r="E478" s="1774"/>
      <c r="F478" s="1774"/>
      <c r="G478" s="1774"/>
      <c r="H478" s="1774"/>
      <c r="I478" s="1774"/>
      <c r="J478" s="1774"/>
      <c r="K478" s="1774"/>
      <c r="L478" s="1774"/>
      <c r="M478" s="1774"/>
      <c r="N478" s="1774"/>
      <c r="O478" s="1774"/>
      <c r="P478" s="1774"/>
      <c r="Q478" s="1774"/>
      <c r="R478" s="1774"/>
      <c r="S478" s="1774"/>
      <c r="T478" s="1774"/>
      <c r="U478" s="1774"/>
      <c r="V478" s="1775"/>
      <c r="W478" s="1475">
        <v>0</v>
      </c>
      <c r="X478" s="1476"/>
      <c r="Y478" s="1477"/>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773" t="s">
        <v>1012</v>
      </c>
      <c r="E479" s="1774"/>
      <c r="F479" s="1774"/>
      <c r="G479" s="1774"/>
      <c r="H479" s="1774"/>
      <c r="I479" s="1774"/>
      <c r="J479" s="1774"/>
      <c r="K479" s="1774"/>
      <c r="L479" s="1774"/>
      <c r="M479" s="1774"/>
      <c r="N479" s="1774"/>
      <c r="O479" s="1774"/>
      <c r="P479" s="1774"/>
      <c r="Q479" s="1774"/>
      <c r="R479" s="1774"/>
      <c r="S479" s="1774"/>
      <c r="T479" s="1774"/>
      <c r="U479" s="1774"/>
      <c r="V479" s="1775"/>
      <c r="W479" s="1475">
        <v>0</v>
      </c>
      <c r="X479" s="1476"/>
      <c r="Y479" s="1477"/>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786" t="s">
        <v>2139</v>
      </c>
      <c r="E480" s="1807"/>
      <c r="F480" s="1807"/>
      <c r="G480" s="1807"/>
      <c r="H480" s="1807"/>
      <c r="I480" s="1807"/>
      <c r="J480" s="1807"/>
      <c r="K480" s="1807"/>
      <c r="L480" s="1807"/>
      <c r="M480" s="1807"/>
      <c r="N480" s="1807"/>
      <c r="O480" s="1807"/>
      <c r="P480" s="1807"/>
      <c r="Q480" s="1807"/>
      <c r="R480" s="1807"/>
      <c r="S480" s="1807"/>
      <c r="T480" s="1807"/>
      <c r="U480" s="1807"/>
      <c r="V480" s="1808"/>
      <c r="W480" s="1475">
        <v>0</v>
      </c>
      <c r="X480" s="1476"/>
      <c r="Y480" s="1477"/>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786" t="s">
        <v>1642</v>
      </c>
      <c r="E481" s="1774"/>
      <c r="F481" s="1774"/>
      <c r="G481" s="1774"/>
      <c r="H481" s="1774"/>
      <c r="I481" s="1774"/>
      <c r="J481" s="1774"/>
      <c r="K481" s="1774"/>
      <c r="L481" s="1774"/>
      <c r="M481" s="1774"/>
      <c r="N481" s="1774"/>
      <c r="O481" s="1774"/>
      <c r="P481" s="1774"/>
      <c r="Q481" s="1774"/>
      <c r="R481" s="1774"/>
      <c r="S481" s="1774"/>
      <c r="T481" s="1774"/>
      <c r="U481" s="1774"/>
      <c r="V481" s="1775"/>
      <c r="W481" s="1475">
        <v>17</v>
      </c>
      <c r="X481" s="1476"/>
      <c r="Y481" s="1477"/>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478"/>
      <c r="H482" s="1479"/>
      <c r="I482" s="1479"/>
      <c r="J482" s="1479"/>
      <c r="K482" s="1479"/>
      <c r="L482" s="1479"/>
      <c r="M482" s="1479"/>
      <c r="N482" s="1479"/>
      <c r="O482" s="1479"/>
      <c r="P482" s="1479"/>
      <c r="Q482" s="1479"/>
      <c r="R482" s="1479"/>
      <c r="S482" s="1479"/>
      <c r="T482" s="1479"/>
      <c r="U482" s="1479"/>
      <c r="V482" s="1480"/>
      <c r="W482" s="1475">
        <v>0</v>
      </c>
      <c r="X482" s="1476"/>
      <c r="Y482" s="1477"/>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486" t="s">
        <v>810</v>
      </c>
      <c r="B488" s="1486"/>
      <c r="C488" s="1486"/>
      <c r="D488" s="1486"/>
      <c r="E488" s="1486"/>
      <c r="F488" s="1486"/>
      <c r="G488" s="1486"/>
      <c r="H488" s="1486"/>
      <c r="I488" s="1486"/>
      <c r="J488" s="1486"/>
      <c r="K488" s="1486"/>
      <c r="L488" s="1486"/>
      <c r="M488" s="1486"/>
      <c r="N488" s="1486"/>
      <c r="O488" s="1486"/>
      <c r="P488" s="1486"/>
      <c r="Q488" s="1486"/>
      <c r="R488" s="1486"/>
      <c r="S488" s="1486"/>
      <c r="T488" s="1486"/>
      <c r="U488" s="1486"/>
      <c r="V488" s="1486"/>
      <c r="W488" s="1486"/>
      <c r="X488" s="1486"/>
      <c r="Y488" s="1486"/>
      <c r="Z488" s="1486"/>
      <c r="AA488" s="1486"/>
      <c r="AB488" s="1486"/>
      <c r="AC488" s="1486"/>
      <c r="AD488" s="1486"/>
      <c r="AE488" s="1486"/>
      <c r="AF488" s="1486"/>
      <c r="AG488" s="1486"/>
      <c r="AH488" s="1486"/>
      <c r="AI488" s="1486"/>
      <c r="AJ488" s="1486"/>
      <c r="AK488" s="1486"/>
      <c r="AL488" s="1486"/>
      <c r="AM488" s="1486"/>
      <c r="AN488" s="1486"/>
      <c r="AO488" s="1486"/>
      <c r="AP488" s="1486"/>
      <c r="AQ488" s="1486"/>
      <c r="AR488" s="1486"/>
      <c r="AS488" s="1486"/>
      <c r="AT488" s="1486"/>
      <c r="AU488" s="95"/>
      <c r="AV488" s="95"/>
      <c r="AW488" s="95"/>
      <c r="AX488" s="95"/>
      <c r="AY488" s="95"/>
      <c r="AZ488" s="3"/>
      <c r="BB488" s="3"/>
      <c r="BC488" s="3"/>
    </row>
    <row r="489" spans="1:55" ht="12.95" customHeight="1">
      <c r="A489" s="1486"/>
      <c r="B489" s="1486"/>
      <c r="C489" s="1486"/>
      <c r="D489" s="1486"/>
      <c r="E489" s="1486"/>
      <c r="F489" s="1486"/>
      <c r="G489" s="1486"/>
      <c r="H489" s="1486"/>
      <c r="I489" s="1486"/>
      <c r="J489" s="1486"/>
      <c r="K489" s="1486"/>
      <c r="L489" s="1486"/>
      <c r="M489" s="1486"/>
      <c r="N489" s="1486"/>
      <c r="O489" s="1486"/>
      <c r="P489" s="1486"/>
      <c r="Q489" s="1486"/>
      <c r="R489" s="1486"/>
      <c r="S489" s="1486"/>
      <c r="T489" s="1486"/>
      <c r="U489" s="1486"/>
      <c r="V489" s="1486"/>
      <c r="W489" s="1486"/>
      <c r="X489" s="1486"/>
      <c r="Y489" s="1486"/>
      <c r="Z489" s="1486"/>
      <c r="AA489" s="1486"/>
      <c r="AB489" s="1486"/>
      <c r="AC489" s="1486"/>
      <c r="AD489" s="1486"/>
      <c r="AE489" s="1486"/>
      <c r="AF489" s="1486"/>
      <c r="AG489" s="1486"/>
      <c r="AH489" s="1486"/>
      <c r="AI489" s="1486"/>
      <c r="AJ489" s="1486"/>
      <c r="AK489" s="1486"/>
      <c r="AL489" s="1486"/>
      <c r="AM489" s="1486"/>
      <c r="AN489" s="1486"/>
      <c r="AO489" s="1486"/>
      <c r="AP489" s="1486"/>
      <c r="AQ489" s="1486"/>
      <c r="AR489" s="1486"/>
      <c r="AS489" s="1486"/>
      <c r="AT489" s="1486"/>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771" t="s">
        <v>393</v>
      </c>
      <c r="R493" s="1772"/>
      <c r="S493" s="1772"/>
      <c r="T493" s="1772"/>
      <c r="U493" s="1772"/>
      <c r="V493" s="1772"/>
      <c r="W493" s="1772"/>
      <c r="X493" s="1772"/>
      <c r="Y493" s="1772"/>
      <c r="Z493" s="1772"/>
      <c r="AA493" s="1772"/>
      <c r="AB493" s="1772"/>
      <c r="AC493" s="1772"/>
      <c r="AD493" s="1772"/>
      <c r="AE493" s="1772"/>
      <c r="AF493" s="1772"/>
      <c r="AG493" s="1772"/>
      <c r="AH493" s="1772"/>
      <c r="AI493" s="1772"/>
      <c r="AJ493" s="1772"/>
      <c r="AK493" s="1788"/>
      <c r="AZ493" s="3"/>
      <c r="BB493" s="3"/>
      <c r="BC493" s="3"/>
    </row>
    <row r="494" spans="1:55" ht="12.95" customHeight="1">
      <c r="B494" s="45" t="s">
        <v>394</v>
      </c>
      <c r="C494" s="5"/>
      <c r="D494" s="5"/>
      <c r="E494" s="5"/>
      <c r="F494" s="5"/>
      <c r="G494" s="5"/>
      <c r="H494" s="5"/>
      <c r="I494" s="5"/>
      <c r="J494" s="5"/>
      <c r="K494" s="5"/>
      <c r="L494" s="5"/>
      <c r="M494" s="5"/>
      <c r="N494" s="5"/>
      <c r="O494" s="5"/>
      <c r="P494" s="5"/>
      <c r="Q494" s="1370" t="s">
        <v>2761</v>
      </c>
      <c r="R494" s="1408"/>
      <c r="S494" s="1408"/>
      <c r="T494" s="1408"/>
      <c r="U494" s="1408"/>
      <c r="V494" s="1408"/>
      <c r="W494" s="1408"/>
      <c r="X494" s="1408"/>
      <c r="Y494" s="1408"/>
      <c r="Z494" s="1408"/>
      <c r="AA494" s="1408"/>
      <c r="AB494" s="1408"/>
      <c r="AC494" s="1408"/>
      <c r="AD494" s="1408"/>
      <c r="AE494" s="1408"/>
      <c r="AF494" s="1408"/>
      <c r="AG494" s="1408"/>
      <c r="AH494" s="1408"/>
      <c r="AI494" s="1408"/>
      <c r="AJ494" s="1408"/>
      <c r="AK494" s="1371"/>
      <c r="AZ494" s="3"/>
      <c r="BB494" s="3"/>
      <c r="BC494" s="3"/>
    </row>
    <row r="495" spans="1:55" ht="12.95" customHeight="1">
      <c r="B495" s="45" t="s">
        <v>395</v>
      </c>
      <c r="C495" s="5"/>
      <c r="D495" s="5"/>
      <c r="E495" s="5"/>
      <c r="F495" s="5"/>
      <c r="G495" s="5"/>
      <c r="H495" s="5"/>
      <c r="I495" s="5"/>
      <c r="J495" s="5"/>
      <c r="K495" s="5"/>
      <c r="L495" s="5"/>
      <c r="M495" s="5"/>
      <c r="N495" s="5"/>
      <c r="O495" s="5"/>
      <c r="P495" s="5"/>
      <c r="Q495" s="1370" t="s">
        <v>2760</v>
      </c>
      <c r="R495" s="1408"/>
      <c r="S495" s="1408"/>
      <c r="T495" s="1408"/>
      <c r="U495" s="1408"/>
      <c r="V495" s="1408"/>
      <c r="W495" s="1408"/>
      <c r="X495" s="1408"/>
      <c r="Y495" s="1408"/>
      <c r="Z495" s="1408"/>
      <c r="AA495" s="1408"/>
      <c r="AB495" s="1408"/>
      <c r="AC495" s="1408"/>
      <c r="AD495" s="1408"/>
      <c r="AE495" s="1408"/>
      <c r="AF495" s="1408"/>
      <c r="AG495" s="1408"/>
      <c r="AH495" s="1408"/>
      <c r="AI495" s="1408"/>
      <c r="AJ495" s="1408"/>
      <c r="AK495" s="1371"/>
      <c r="AZ495" s="3"/>
      <c r="BB495" s="3"/>
      <c r="BC495" s="3"/>
    </row>
    <row r="496" spans="1:55" ht="12.95" customHeight="1">
      <c r="B496" s="45" t="s">
        <v>396</v>
      </c>
      <c r="C496" s="5"/>
      <c r="D496" s="5"/>
      <c r="E496" s="5"/>
      <c r="F496" s="5"/>
      <c r="G496" s="5"/>
      <c r="H496" s="5"/>
      <c r="I496" s="5"/>
      <c r="J496" s="5"/>
      <c r="K496" s="5"/>
      <c r="L496" s="5"/>
      <c r="M496" s="5"/>
      <c r="N496" s="5"/>
      <c r="O496" s="5"/>
      <c r="P496" s="5"/>
      <c r="Q496" s="1370" t="s">
        <v>2760</v>
      </c>
      <c r="R496" s="1408"/>
      <c r="S496" s="1408"/>
      <c r="T496" s="1408"/>
      <c r="U496" s="1408"/>
      <c r="V496" s="1408"/>
      <c r="W496" s="1408"/>
      <c r="X496" s="1408"/>
      <c r="Y496" s="1408"/>
      <c r="Z496" s="1408"/>
      <c r="AA496" s="1408"/>
      <c r="AB496" s="1408"/>
      <c r="AC496" s="1408"/>
      <c r="AD496" s="1408"/>
      <c r="AE496" s="1408"/>
      <c r="AF496" s="1408"/>
      <c r="AG496" s="1408"/>
      <c r="AH496" s="1408"/>
      <c r="AI496" s="1408"/>
      <c r="AJ496" s="1408"/>
      <c r="AK496" s="1371"/>
      <c r="AZ496" s="3"/>
      <c r="BA496" s="3"/>
      <c r="BB496" s="3"/>
      <c r="BC496" s="3"/>
    </row>
    <row r="497" spans="1:66" ht="12.95" customHeight="1">
      <c r="B497" s="1791" t="s">
        <v>397</v>
      </c>
      <c r="C497" s="1792"/>
      <c r="D497" s="1792"/>
      <c r="E497" s="1792"/>
      <c r="F497" s="1792"/>
      <c r="G497" s="1792"/>
      <c r="H497" s="1792"/>
      <c r="I497" s="1792"/>
      <c r="J497" s="1792"/>
      <c r="K497" s="1792"/>
      <c r="L497" s="1792"/>
      <c r="M497" s="1792"/>
      <c r="N497" s="1792"/>
      <c r="O497" s="1792"/>
      <c r="P497" s="1793"/>
      <c r="Q497" s="1797" t="s">
        <v>669</v>
      </c>
      <c r="R497" s="1798"/>
      <c r="S497" s="1703" t="s">
        <v>166</v>
      </c>
      <c r="T497" s="1704"/>
      <c r="U497" s="1704"/>
      <c r="V497" s="1704"/>
      <c r="W497" s="1704"/>
      <c r="X497" s="1704"/>
      <c r="Y497" s="1704"/>
      <c r="Z497" s="1704"/>
      <c r="AA497" s="1704"/>
      <c r="AB497" s="1704"/>
      <c r="AC497" s="1704"/>
      <c r="AD497" s="1704"/>
      <c r="AE497" s="1704"/>
      <c r="AF497" s="1704"/>
      <c r="AG497" s="1704"/>
      <c r="AH497" s="1704"/>
      <c r="AI497" s="1704"/>
      <c r="AJ497" s="1704"/>
      <c r="AK497" s="1705"/>
      <c r="AZ497" s="3"/>
      <c r="BA497" s="3"/>
      <c r="BB497" s="3"/>
      <c r="BC497" s="3"/>
    </row>
    <row r="498" spans="1:66" ht="12.95" customHeight="1">
      <c r="B498" s="1794"/>
      <c r="C498" s="1795"/>
      <c r="D498" s="1795"/>
      <c r="E498" s="1795"/>
      <c r="F498" s="1795"/>
      <c r="G498" s="1795"/>
      <c r="H498" s="1795"/>
      <c r="I498" s="1795"/>
      <c r="J498" s="1795"/>
      <c r="K498" s="1795"/>
      <c r="L498" s="1795"/>
      <c r="M498" s="1795"/>
      <c r="N498" s="1795"/>
      <c r="O498" s="1795"/>
      <c r="P498" s="1796"/>
      <c r="Q498" s="1799"/>
      <c r="R498" s="1800"/>
      <c r="S498" s="1706"/>
      <c r="T498" s="1707"/>
      <c r="U498" s="1707"/>
      <c r="V498" s="1707"/>
      <c r="W498" s="1707"/>
      <c r="X498" s="1707"/>
      <c r="Y498" s="1707"/>
      <c r="Z498" s="1707"/>
      <c r="AA498" s="1707"/>
      <c r="AB498" s="1707"/>
      <c r="AC498" s="1707"/>
      <c r="AD498" s="1707"/>
      <c r="AE498" s="1707"/>
      <c r="AF498" s="1707"/>
      <c r="AG498" s="1707"/>
      <c r="AH498" s="1707"/>
      <c r="AI498" s="1707"/>
      <c r="AJ498" s="1707"/>
      <c r="AK498" s="1708"/>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802" t="s">
        <v>669</v>
      </c>
      <c r="R499" s="1803"/>
      <c r="S499" s="1803"/>
      <c r="T499" s="1803"/>
      <c r="U499" s="1803"/>
      <c r="V499" s="1803"/>
      <c r="W499" s="1803"/>
      <c r="X499" s="1803"/>
      <c r="Y499" s="1803"/>
      <c r="Z499" s="1803"/>
      <c r="AA499" s="1803"/>
      <c r="AB499" s="1803"/>
      <c r="AC499" s="1803"/>
      <c r="AD499" s="1803"/>
      <c r="AE499" s="1803"/>
      <c r="AF499" s="1803"/>
      <c r="AG499" s="1803"/>
      <c r="AH499" s="1803"/>
      <c r="AI499" s="1803"/>
      <c r="AJ499" s="1803"/>
      <c r="AK499" s="1804"/>
      <c r="AZ499" s="3"/>
      <c r="BA499" s="3"/>
      <c r="BB499" s="3"/>
      <c r="BC499" s="3"/>
    </row>
    <row r="500" spans="1:66" ht="12.95" customHeight="1">
      <c r="B500" s="45" t="s">
        <v>398</v>
      </c>
      <c r="C500" s="5"/>
      <c r="D500" s="5"/>
      <c r="E500" s="5"/>
      <c r="F500" s="5"/>
      <c r="G500" s="5"/>
      <c r="H500" s="5"/>
      <c r="I500" s="5"/>
      <c r="J500" s="5"/>
      <c r="K500" s="5"/>
      <c r="L500" s="5"/>
      <c r="M500" s="5"/>
      <c r="N500" s="5"/>
      <c r="O500" s="5"/>
      <c r="P500" s="5"/>
      <c r="Q500" s="1370" t="s">
        <v>2816</v>
      </c>
      <c r="R500" s="1408"/>
      <c r="S500" s="1408"/>
      <c r="T500" s="1408"/>
      <c r="U500" s="1408"/>
      <c r="V500" s="1408"/>
      <c r="W500" s="1408"/>
      <c r="X500" s="1408"/>
      <c r="Y500" s="1408"/>
      <c r="Z500" s="1408"/>
      <c r="AA500" s="1408"/>
      <c r="AB500" s="1408"/>
      <c r="AC500" s="1408"/>
      <c r="AD500" s="1408"/>
      <c r="AE500" s="1408"/>
      <c r="AF500" s="1408"/>
      <c r="AG500" s="1408"/>
      <c r="AH500" s="1408"/>
      <c r="AI500" s="1408"/>
      <c r="AJ500" s="1408"/>
      <c r="AK500" s="1371"/>
      <c r="AZ500" s="3"/>
      <c r="BA500" s="3"/>
      <c r="BB500" s="3"/>
      <c r="BC500" s="3"/>
    </row>
    <row r="501" spans="1:66" ht="12.95" customHeight="1">
      <c r="B501" s="45" t="s">
        <v>399</v>
      </c>
      <c r="C501" s="5"/>
      <c r="D501" s="5"/>
      <c r="E501" s="5"/>
      <c r="F501" s="5"/>
      <c r="G501" s="5"/>
      <c r="H501" s="5"/>
      <c r="I501" s="5"/>
      <c r="J501" s="5"/>
      <c r="K501" s="5"/>
      <c r="L501" s="5"/>
      <c r="M501" s="5"/>
      <c r="N501" s="5"/>
      <c r="O501" s="5"/>
      <c r="P501" s="5"/>
      <c r="Q501" s="1370" t="s">
        <v>2817</v>
      </c>
      <c r="R501" s="1408"/>
      <c r="S501" s="1408"/>
      <c r="T501" s="1408"/>
      <c r="U501" s="1408"/>
      <c r="V501" s="1408"/>
      <c r="W501" s="1408"/>
      <c r="X501" s="1408"/>
      <c r="Y501" s="1408"/>
      <c r="Z501" s="1408"/>
      <c r="AA501" s="1408"/>
      <c r="AB501" s="1408"/>
      <c r="AC501" s="1408"/>
      <c r="AD501" s="1408"/>
      <c r="AE501" s="1408"/>
      <c r="AF501" s="1408"/>
      <c r="AG501" s="1408"/>
      <c r="AH501" s="1408"/>
      <c r="AI501" s="1408"/>
      <c r="AJ501" s="1408"/>
      <c r="AK501" s="1371"/>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370">
        <v>72</v>
      </c>
      <c r="R502" s="1408"/>
      <c r="S502" s="1408"/>
      <c r="T502" s="1408"/>
      <c r="U502" s="1408"/>
      <c r="V502" s="1408"/>
      <c r="W502" s="1408"/>
      <c r="X502" s="1408"/>
      <c r="Y502" s="1408"/>
      <c r="Z502" s="1408"/>
      <c r="AA502" s="1408"/>
      <c r="AB502" s="1408"/>
      <c r="AC502" s="1408"/>
      <c r="AD502" s="1408"/>
      <c r="AE502" s="1408"/>
      <c r="AF502" s="1408"/>
      <c r="AG502" s="1408"/>
      <c r="AH502" s="1408"/>
      <c r="AI502" s="1408"/>
      <c r="AJ502" s="1408"/>
      <c r="AK502" s="1371"/>
      <c r="AZ502" s="3"/>
      <c r="BA502" s="3"/>
      <c r="BB502" s="3"/>
      <c r="BC502" s="3"/>
    </row>
    <row r="503" spans="1:66" ht="12.95" customHeight="1">
      <c r="B503" s="121" t="s">
        <v>1657</v>
      </c>
      <c r="C503" s="5"/>
      <c r="D503" s="5"/>
      <c r="E503" s="5"/>
      <c r="F503" s="5"/>
      <c r="G503" s="5"/>
      <c r="H503" s="5"/>
      <c r="I503" s="5"/>
      <c r="J503" s="5"/>
      <c r="K503" s="5"/>
      <c r="L503" s="5"/>
      <c r="M503" s="1429"/>
      <c r="N503" s="1430"/>
      <c r="O503" s="1430"/>
      <c r="P503" s="1431"/>
      <c r="Q503" s="121" t="s">
        <v>1658</v>
      </c>
      <c r="R503" s="5"/>
      <c r="S503" s="5"/>
      <c r="T503" s="5"/>
      <c r="U503" s="5"/>
      <c r="V503" s="5"/>
      <c r="W503" s="5"/>
      <c r="X503" s="5"/>
      <c r="Y503" s="5"/>
      <c r="Z503" s="5"/>
      <c r="AA503" s="5"/>
      <c r="AB503" s="5"/>
      <c r="AC503" s="5"/>
      <c r="AD503" s="5"/>
      <c r="AE503" s="5"/>
      <c r="AF503" s="5"/>
      <c r="AG503" s="5"/>
      <c r="AH503" s="1429">
        <v>72</v>
      </c>
      <c r="AI503" s="1430"/>
      <c r="AJ503" s="1430"/>
      <c r="AK503" s="1431"/>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71" t="s">
        <v>401</v>
      </c>
      <c r="AD507" s="1772"/>
      <c r="AE507" s="1772"/>
      <c r="AF507" s="1772"/>
      <c r="AG507" s="1772"/>
      <c r="AH507" s="1772"/>
      <c r="AI507" s="1772"/>
      <c r="AJ507" s="1772"/>
      <c r="AK507" s="1788"/>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71" t="s">
        <v>402</v>
      </c>
      <c r="AD508" s="1772"/>
      <c r="AE508" s="1772"/>
      <c r="AF508" s="1772"/>
      <c r="AG508" s="50" t="s">
        <v>403</v>
      </c>
      <c r="AH508" s="1772" t="s">
        <v>404</v>
      </c>
      <c r="AI508" s="1772"/>
      <c r="AJ508" s="1772"/>
      <c r="AK508" s="1788"/>
      <c r="AZ508" s="3"/>
      <c r="BA508" s="3"/>
      <c r="BB508" s="3"/>
      <c r="BC508" s="3"/>
      <c r="BD508" s="3"/>
      <c r="BE508" s="3"/>
      <c r="BF508" s="3"/>
      <c r="BG508" s="3"/>
      <c r="BH508" s="3"/>
      <c r="BI508" s="3"/>
      <c r="BJ508" s="3"/>
      <c r="BK508" s="3"/>
      <c r="BL508" s="3"/>
      <c r="BM508" s="3"/>
      <c r="BN508" s="3"/>
    </row>
    <row r="509" spans="1:66" ht="12.95" customHeight="1">
      <c r="B509" s="1412" t="s">
        <v>405</v>
      </c>
      <c r="C509" s="1413"/>
      <c r="D509" s="1413"/>
      <c r="E509" s="1413"/>
      <c r="F509" s="1413"/>
      <c r="G509" s="1413"/>
      <c r="H509" s="1414"/>
      <c r="I509" s="42" t="s">
        <v>406</v>
      </c>
      <c r="J509" s="42"/>
      <c r="K509" s="42"/>
      <c r="L509" s="42"/>
      <c r="M509" s="42"/>
      <c r="N509" s="42"/>
      <c r="O509" s="42"/>
      <c r="P509" s="42"/>
      <c r="Q509" s="42"/>
      <c r="R509" s="42"/>
      <c r="S509" s="42"/>
      <c r="T509" s="42"/>
      <c r="U509" s="42"/>
      <c r="V509" s="42"/>
      <c r="W509" s="42"/>
      <c r="AC509" s="1491" t="s">
        <v>591</v>
      </c>
      <c r="AD509" s="1492"/>
      <c r="AE509" s="1492"/>
      <c r="AF509" s="1492"/>
      <c r="AG509" s="13" t="s">
        <v>403</v>
      </c>
      <c r="AH509" s="1326">
        <v>0</v>
      </c>
      <c r="AI509" s="1326"/>
      <c r="AJ509" s="1326"/>
      <c r="AK509" s="1327"/>
      <c r="AZ509" s="3"/>
      <c r="BA509" s="3"/>
      <c r="BB509" s="3"/>
      <c r="BC509" s="3"/>
      <c r="BD509" s="3"/>
      <c r="BE509" s="3"/>
      <c r="BF509" s="3"/>
      <c r="BG509" s="3"/>
      <c r="BH509" s="3"/>
      <c r="BI509" s="3"/>
      <c r="BJ509" s="3"/>
      <c r="BK509" s="3"/>
      <c r="BL509" s="3"/>
      <c r="BM509" s="3"/>
      <c r="BN509" s="3"/>
    </row>
    <row r="510" spans="1:66" ht="12.95" customHeight="1">
      <c r="B510" s="1415"/>
      <c r="C510" s="1416"/>
      <c r="D510" s="1416"/>
      <c r="E510" s="1416"/>
      <c r="F510" s="1416"/>
      <c r="G510" s="1416"/>
      <c r="H510" s="1417"/>
      <c r="I510" s="48" t="s">
        <v>407</v>
      </c>
      <c r="J510" s="48"/>
      <c r="K510" s="48"/>
      <c r="L510" s="48"/>
      <c r="M510" s="48"/>
      <c r="N510" s="48"/>
      <c r="O510" s="48"/>
      <c r="P510" s="48"/>
      <c r="Q510" s="48"/>
      <c r="R510" s="48"/>
      <c r="S510" s="48"/>
      <c r="T510" s="48"/>
      <c r="U510" s="48"/>
      <c r="V510" s="48"/>
      <c r="W510" s="48"/>
      <c r="X510" s="48"/>
      <c r="Y510" s="48"/>
      <c r="Z510" s="48"/>
      <c r="AA510" s="48"/>
      <c r="AB510" s="48"/>
      <c r="AC510" s="1697">
        <v>10</v>
      </c>
      <c r="AD510" s="1492"/>
      <c r="AE510" s="1492"/>
      <c r="AF510" s="1492"/>
      <c r="AG510" s="38" t="s">
        <v>403</v>
      </c>
      <c r="AH510" s="1326">
        <v>2026</v>
      </c>
      <c r="AI510" s="1326"/>
      <c r="AJ510" s="1326"/>
      <c r="AK510" s="1327"/>
      <c r="AZ510" s="3"/>
      <c r="BA510" s="3"/>
      <c r="BB510" s="3"/>
      <c r="BC510" s="3"/>
      <c r="BD510" s="3"/>
      <c r="BE510" s="3"/>
      <c r="BF510" s="3"/>
      <c r="BG510" s="3"/>
      <c r="BH510" s="3"/>
      <c r="BI510" s="3"/>
      <c r="BJ510" s="3"/>
      <c r="BK510" s="3"/>
      <c r="BL510" s="3"/>
      <c r="BM510" s="3"/>
      <c r="BN510" s="3"/>
    </row>
    <row r="511" spans="1:66" ht="12.95" customHeight="1">
      <c r="B511" s="1412" t="s">
        <v>408</v>
      </c>
      <c r="C511" s="1413"/>
      <c r="D511" s="1413"/>
      <c r="E511" s="1413"/>
      <c r="F511" s="1413"/>
      <c r="G511" s="1413"/>
      <c r="H511" s="1414"/>
      <c r="I511" s="42" t="s">
        <v>409</v>
      </c>
      <c r="J511" s="42"/>
      <c r="K511" s="42"/>
      <c r="L511" s="42"/>
      <c r="M511" s="42"/>
      <c r="N511" s="42"/>
      <c r="O511" s="42"/>
      <c r="P511" s="42"/>
      <c r="Q511" s="42"/>
      <c r="R511" s="42"/>
      <c r="S511" s="42"/>
      <c r="T511" s="42"/>
      <c r="U511" s="42"/>
      <c r="V511" s="42"/>
      <c r="W511" s="42"/>
      <c r="AC511" s="1491" t="s">
        <v>591</v>
      </c>
      <c r="AD511" s="1492"/>
      <c r="AE511" s="1492"/>
      <c r="AF511" s="1492"/>
      <c r="AG511" s="13" t="s">
        <v>403</v>
      </c>
      <c r="AH511" s="1326"/>
      <c r="AI511" s="1326"/>
      <c r="AJ511" s="1326"/>
      <c r="AK511" s="1327"/>
      <c r="AZ511" s="3"/>
      <c r="BA511" s="3"/>
      <c r="BB511" s="3"/>
      <c r="BC511" s="3"/>
      <c r="BD511" s="3"/>
      <c r="BE511" s="3"/>
      <c r="BF511" s="3"/>
      <c r="BG511" s="3"/>
      <c r="BH511" s="3"/>
      <c r="BI511" s="3"/>
      <c r="BJ511" s="3"/>
      <c r="BK511" s="3"/>
      <c r="BL511" s="3"/>
      <c r="BM511" s="3"/>
      <c r="BN511" s="3"/>
    </row>
    <row r="512" spans="1:66" ht="12.95" customHeight="1">
      <c r="B512" s="1415"/>
      <c r="C512" s="1416"/>
      <c r="D512" s="1416"/>
      <c r="E512" s="1416"/>
      <c r="F512" s="1416"/>
      <c r="G512" s="1416"/>
      <c r="H512" s="1417"/>
      <c r="I512" t="s">
        <v>410</v>
      </c>
      <c r="AC512" s="1491" t="s">
        <v>591</v>
      </c>
      <c r="AD512" s="1492"/>
      <c r="AE512" s="1492"/>
      <c r="AF512" s="1492"/>
      <c r="AG512" s="13" t="s">
        <v>403</v>
      </c>
      <c r="AH512" s="1326"/>
      <c r="AI512" s="1326"/>
      <c r="AJ512" s="1326"/>
      <c r="AK512" s="1327"/>
      <c r="AZ512" s="3"/>
      <c r="BA512" s="3"/>
      <c r="BB512" s="3"/>
      <c r="BC512" s="3"/>
      <c r="BD512" s="3"/>
      <c r="BE512" s="3"/>
      <c r="BF512" s="3"/>
      <c r="BG512" s="3"/>
      <c r="BH512" s="3"/>
      <c r="BI512" s="3"/>
      <c r="BJ512" s="3"/>
      <c r="BK512" s="3"/>
      <c r="BL512" s="3"/>
      <c r="BM512" s="3"/>
      <c r="BN512" s="3"/>
    </row>
    <row r="513" spans="2:66" ht="12.95" customHeight="1">
      <c r="B513" s="1415"/>
      <c r="C513" s="1416"/>
      <c r="D513" s="1416"/>
      <c r="E513" s="1416"/>
      <c r="F513" s="1416"/>
      <c r="G513" s="1416"/>
      <c r="H513" s="1417"/>
      <c r="I513" t="s">
        <v>411</v>
      </c>
      <c r="AC513" s="1491" t="s">
        <v>591</v>
      </c>
      <c r="AD513" s="1492"/>
      <c r="AE513" s="1492"/>
      <c r="AF513" s="1492"/>
      <c r="AG513" s="13" t="s">
        <v>403</v>
      </c>
      <c r="AH513" s="1326"/>
      <c r="AI513" s="1326"/>
      <c r="AJ513" s="1326"/>
      <c r="AK513" s="1327"/>
      <c r="AZ513" s="3"/>
      <c r="BA513" s="3"/>
      <c r="BB513" s="3"/>
      <c r="BC513" s="3"/>
      <c r="BD513" s="3"/>
      <c r="BE513" s="3"/>
      <c r="BF513" s="3"/>
      <c r="BG513" s="3"/>
      <c r="BH513" s="3"/>
      <c r="BI513" s="3"/>
      <c r="BJ513" s="3"/>
      <c r="BK513" s="3"/>
      <c r="BL513" s="3"/>
      <c r="BM513" s="3"/>
      <c r="BN513" s="3"/>
    </row>
    <row r="514" spans="2:66" ht="12.95" customHeight="1">
      <c r="B514" s="1415"/>
      <c r="C514" s="1416"/>
      <c r="D514" s="1416"/>
      <c r="E514" s="1416"/>
      <c r="F514" s="1416"/>
      <c r="G514" s="1416"/>
      <c r="H514" s="1417"/>
      <c r="I514" t="s">
        <v>412</v>
      </c>
      <c r="AC514" s="1491">
        <v>6</v>
      </c>
      <c r="AD514" s="1492"/>
      <c r="AE514" s="1492"/>
      <c r="AF514" s="1492"/>
      <c r="AG514" s="13" t="s">
        <v>403</v>
      </c>
      <c r="AH514" s="1326">
        <v>2027</v>
      </c>
      <c r="AI514" s="1326"/>
      <c r="AJ514" s="1326"/>
      <c r="AK514" s="1327"/>
      <c r="AZ514" s="3"/>
      <c r="BA514" s="3"/>
      <c r="BB514" s="3"/>
      <c r="BC514" s="3"/>
      <c r="BD514" s="3"/>
      <c r="BE514" s="3"/>
      <c r="BF514" s="3"/>
      <c r="BG514" s="3"/>
      <c r="BH514" s="3"/>
      <c r="BI514" s="3"/>
      <c r="BJ514" s="3"/>
      <c r="BK514" s="3"/>
      <c r="BL514" s="3"/>
      <c r="BM514" s="3"/>
      <c r="BN514" s="3"/>
    </row>
    <row r="515" spans="2:66" ht="12.95" customHeight="1">
      <c r="B515" s="1415"/>
      <c r="C515" s="1416"/>
      <c r="D515" s="1416"/>
      <c r="E515" s="1416"/>
      <c r="F515" s="1416"/>
      <c r="G515" s="1416"/>
      <c r="H515" s="1417"/>
      <c r="I515" s="3" t="s">
        <v>413</v>
      </c>
      <c r="AC515" s="1328">
        <v>7</v>
      </c>
      <c r="AD515" s="1329"/>
      <c r="AE515" s="1329"/>
      <c r="AF515" s="1329"/>
      <c r="AG515" s="13" t="s">
        <v>403</v>
      </c>
      <c r="AH515" s="1326">
        <v>2027</v>
      </c>
      <c r="AI515" s="1326"/>
      <c r="AJ515" s="1326"/>
      <c r="AK515" s="1327"/>
      <c r="AZ515" s="3"/>
      <c r="BA515" s="3"/>
      <c r="BB515" s="3"/>
      <c r="BC515" s="3"/>
      <c r="BD515" s="3"/>
      <c r="BE515" s="3"/>
      <c r="BF515" s="3"/>
      <c r="BG515" s="3"/>
      <c r="BH515" s="3"/>
      <c r="BI515" s="3"/>
      <c r="BJ515" s="3"/>
      <c r="BK515" s="3"/>
      <c r="BL515" s="3"/>
      <c r="BM515" s="3"/>
      <c r="BN515" s="3"/>
    </row>
    <row r="516" spans="2:66" ht="12.95" customHeight="1">
      <c r="B516" s="1415"/>
      <c r="C516" s="1416"/>
      <c r="D516" s="1416"/>
      <c r="E516" s="1416"/>
      <c r="F516" s="1416"/>
      <c r="G516" s="1416"/>
      <c r="H516" s="1417"/>
      <c r="I516" s="887" t="s">
        <v>170</v>
      </c>
      <c r="J516" s="48"/>
      <c r="K516" s="48"/>
      <c r="L516" s="1714" t="s">
        <v>334</v>
      </c>
      <c r="M516" s="1715"/>
      <c r="N516" s="1715"/>
      <c r="O516" s="1715"/>
      <c r="P516" s="1715"/>
      <c r="Q516" s="1715"/>
      <c r="R516" s="1715"/>
      <c r="S516" s="1715"/>
      <c r="T516" s="1715"/>
      <c r="U516" s="1715"/>
      <c r="V516" s="1715"/>
      <c r="W516" s="1715"/>
      <c r="X516" s="1715"/>
      <c r="Y516" s="1715"/>
      <c r="Z516" s="1715"/>
      <c r="AA516" s="1715"/>
      <c r="AB516" s="1801"/>
      <c r="AC516" s="1491" t="s">
        <v>591</v>
      </c>
      <c r="AD516" s="1492"/>
      <c r="AE516" s="1492"/>
      <c r="AF516" s="1492"/>
      <c r="AG516" s="38" t="s">
        <v>403</v>
      </c>
      <c r="AH516" s="1326"/>
      <c r="AI516" s="1326"/>
      <c r="AJ516" s="1326"/>
      <c r="AK516" s="1327"/>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718" t="s">
        <v>1183</v>
      </c>
      <c r="AD517" s="1718"/>
      <c r="AE517" s="1718"/>
      <c r="AF517" s="1718"/>
      <c r="AG517" s="13"/>
      <c r="AH517" s="1313"/>
      <c r="AI517" s="1313"/>
      <c r="AJ517" s="1313"/>
      <c r="AK517" s="1789"/>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28"/>
      <c r="AD518" s="1329"/>
      <c r="AE518" s="1329"/>
      <c r="AF518" s="1330"/>
      <c r="AG518" s="13"/>
      <c r="AH518" s="1313"/>
      <c r="AI518" s="1313"/>
      <c r="AJ518" s="1313"/>
      <c r="AK518" s="1789"/>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778"/>
      <c r="AD520" s="1779"/>
      <c r="AE520" s="1779"/>
      <c r="AF520" s="1780"/>
      <c r="AG520" s="38"/>
      <c r="AH520" s="1712"/>
      <c r="AI520" s="1712"/>
      <c r="AJ520" s="1712"/>
      <c r="AK520" s="1713"/>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4" t="s">
        <v>402</v>
      </c>
      <c r="AD521" s="1623"/>
      <c r="AE521" s="1623"/>
      <c r="AF521" s="1623"/>
      <c r="AG521" s="38" t="s">
        <v>403</v>
      </c>
      <c r="AH521" s="1623" t="s">
        <v>404</v>
      </c>
      <c r="AI521" s="1623"/>
      <c r="AJ521" s="1623"/>
      <c r="AK521" s="1805"/>
      <c r="AZ521" s="3"/>
      <c r="BA521" s="3"/>
      <c r="BB521" s="3"/>
      <c r="BC521" s="3"/>
      <c r="BD521" s="3"/>
      <c r="BE521" s="3"/>
      <c r="BF521" s="3"/>
      <c r="BG521" s="3"/>
      <c r="BH521" s="3"/>
      <c r="BI521" s="3"/>
      <c r="BJ521" s="3"/>
      <c r="BK521" s="3"/>
      <c r="BL521" s="3"/>
      <c r="BM521" s="3"/>
      <c r="BN521" s="3" t="s">
        <v>2054</v>
      </c>
    </row>
    <row r="522" spans="2:66" ht="12.95" customHeight="1">
      <c r="B522" s="1412" t="s">
        <v>414</v>
      </c>
      <c r="C522" s="1413"/>
      <c r="D522" s="1413"/>
      <c r="E522" s="1413"/>
      <c r="F522" s="1413"/>
      <c r="G522" s="1413"/>
      <c r="H522" s="1414"/>
      <c r="I522" s="42" t="s">
        <v>415</v>
      </c>
      <c r="J522" s="42"/>
      <c r="K522" s="42"/>
      <c r="L522" s="42"/>
      <c r="M522" s="42"/>
      <c r="N522" s="42"/>
      <c r="O522" s="42"/>
      <c r="P522" s="42"/>
      <c r="Q522" s="42"/>
      <c r="R522" s="42"/>
      <c r="S522" s="42"/>
      <c r="T522" s="42"/>
      <c r="U522" s="42"/>
      <c r="V522" s="42"/>
      <c r="W522" s="42"/>
      <c r="AC522" s="1491">
        <v>9</v>
      </c>
      <c r="AD522" s="1492"/>
      <c r="AE522" s="1492"/>
      <c r="AF522" s="1492"/>
      <c r="AG522" s="13" t="s">
        <v>403</v>
      </c>
      <c r="AH522" s="1326">
        <v>2026</v>
      </c>
      <c r="AI522" s="1326"/>
      <c r="AJ522" s="1326"/>
      <c r="AK522" s="1327"/>
      <c r="AZ522" s="3"/>
      <c r="BA522" s="3"/>
      <c r="BB522" s="3"/>
      <c r="BC522" s="3"/>
      <c r="BD522" s="3"/>
      <c r="BE522" s="3"/>
      <c r="BF522" s="3"/>
      <c r="BG522" s="3"/>
      <c r="BH522" s="3"/>
      <c r="BI522" s="3"/>
      <c r="BJ522" s="3"/>
      <c r="BK522" s="3"/>
      <c r="BL522" s="3"/>
      <c r="BM522" s="3"/>
      <c r="BN522" s="3" t="s">
        <v>2055</v>
      </c>
    </row>
    <row r="523" spans="2:66" ht="12.95" customHeight="1">
      <c r="B523" s="1415"/>
      <c r="C523" s="1416"/>
      <c r="D523" s="1416"/>
      <c r="E523" s="1416"/>
      <c r="F523" s="1416"/>
      <c r="G523" s="1416"/>
      <c r="H523" s="1417"/>
      <c r="I523" t="s">
        <v>416</v>
      </c>
      <c r="AC523" s="1491">
        <v>9</v>
      </c>
      <c r="AD523" s="1492"/>
      <c r="AE523" s="1492"/>
      <c r="AF523" s="1492"/>
      <c r="AG523" s="13" t="s">
        <v>403</v>
      </c>
      <c r="AH523" s="1326">
        <v>2026</v>
      </c>
      <c r="AI523" s="1326"/>
      <c r="AJ523" s="1326"/>
      <c r="AK523" s="1327"/>
      <c r="AZ523" s="3"/>
      <c r="BA523" s="3"/>
      <c r="BB523" s="3"/>
      <c r="BC523" s="3"/>
      <c r="BD523" s="3"/>
      <c r="BE523" s="3"/>
      <c r="BF523" s="3"/>
      <c r="BG523" s="3"/>
      <c r="BH523" s="3"/>
      <c r="BI523" s="3"/>
      <c r="BJ523" s="3"/>
      <c r="BK523" s="3"/>
      <c r="BL523" s="3"/>
      <c r="BM523" s="3"/>
      <c r="BN523" s="3" t="s">
        <v>2056</v>
      </c>
    </row>
    <row r="524" spans="2:66" ht="12.95" customHeight="1">
      <c r="B524" s="1415"/>
      <c r="C524" s="1416"/>
      <c r="D524" s="1416"/>
      <c r="E524" s="1416"/>
      <c r="F524" s="1416"/>
      <c r="G524" s="1416"/>
      <c r="H524" s="1417"/>
      <c r="I524" s="48" t="s">
        <v>417</v>
      </c>
      <c r="J524" s="48"/>
      <c r="K524" s="48"/>
      <c r="L524" s="48"/>
      <c r="M524" s="48"/>
      <c r="N524" s="48"/>
      <c r="O524" s="48"/>
      <c r="P524" s="48"/>
      <c r="Q524" s="48"/>
      <c r="R524" s="48"/>
      <c r="S524" s="48"/>
      <c r="T524" s="48"/>
      <c r="U524" s="48"/>
      <c r="V524" s="48"/>
      <c r="W524" s="48"/>
      <c r="X524" s="48"/>
      <c r="Y524" s="48"/>
      <c r="Z524" s="48"/>
      <c r="AA524" s="48"/>
      <c r="AB524" s="48"/>
      <c r="AC524" s="1491">
        <v>6</v>
      </c>
      <c r="AD524" s="1492"/>
      <c r="AE524" s="1492"/>
      <c r="AF524" s="1492"/>
      <c r="AG524" s="38" t="s">
        <v>403</v>
      </c>
      <c r="AH524" s="1326">
        <v>2027</v>
      </c>
      <c r="AI524" s="1326"/>
      <c r="AJ524" s="1326"/>
      <c r="AK524" s="1327"/>
      <c r="AZ524" s="3"/>
      <c r="BA524" s="3"/>
      <c r="BB524" s="3"/>
      <c r="BC524" s="3"/>
      <c r="BD524" s="3"/>
      <c r="BE524" s="3"/>
      <c r="BF524" s="3"/>
      <c r="BG524" s="3"/>
      <c r="BH524" s="3"/>
      <c r="BI524" s="3"/>
      <c r="BJ524" s="3"/>
      <c r="BK524" s="3"/>
      <c r="BL524" s="3"/>
      <c r="BM524" s="3"/>
      <c r="BN524" s="3" t="s">
        <v>2057</v>
      </c>
    </row>
    <row r="525" spans="2:66" ht="12.95" customHeight="1">
      <c r="B525" s="1412" t="s">
        <v>418</v>
      </c>
      <c r="C525" s="1413"/>
      <c r="D525" s="1413"/>
      <c r="E525" s="1413"/>
      <c r="F525" s="1413"/>
      <c r="G525" s="1413"/>
      <c r="H525" s="1414"/>
      <c r="I525" s="42" t="s">
        <v>415</v>
      </c>
      <c r="J525" s="42"/>
      <c r="K525" s="42"/>
      <c r="L525" s="42"/>
      <c r="M525" s="42"/>
      <c r="N525" s="42"/>
      <c r="O525" s="42"/>
      <c r="P525" s="42"/>
      <c r="Q525" s="42"/>
      <c r="R525" s="42"/>
      <c r="S525" s="42"/>
      <c r="T525" s="42"/>
      <c r="U525" s="42"/>
      <c r="V525" s="42"/>
      <c r="W525" s="42"/>
      <c r="X525" s="42"/>
      <c r="Y525" s="42"/>
      <c r="Z525" s="42"/>
      <c r="AA525" s="42"/>
      <c r="AB525" s="42"/>
      <c r="AC525" s="1328">
        <v>9</v>
      </c>
      <c r="AD525" s="1329"/>
      <c r="AE525" s="1329"/>
      <c r="AF525" s="1329"/>
      <c r="AG525" s="129" t="s">
        <v>403</v>
      </c>
      <c r="AH525" s="1326">
        <v>2026</v>
      </c>
      <c r="AI525" s="1326"/>
      <c r="AJ525" s="1326"/>
      <c r="AK525" s="1327"/>
      <c r="AZ525" s="3"/>
      <c r="BB525" s="3"/>
      <c r="BC525" s="3"/>
      <c r="BD525" s="3"/>
      <c r="BE525" s="3"/>
      <c r="BF525" s="3"/>
      <c r="BG525" s="3"/>
      <c r="BH525" s="3"/>
      <c r="BI525" s="3"/>
      <c r="BJ525" s="3"/>
      <c r="BK525" s="3"/>
      <c r="BL525" s="3"/>
      <c r="BM525" s="3"/>
      <c r="BN525" s="3" t="s">
        <v>2058</v>
      </c>
    </row>
    <row r="526" spans="2:66" ht="12.95" customHeight="1">
      <c r="B526" s="1415"/>
      <c r="C526" s="1416"/>
      <c r="D526" s="1416"/>
      <c r="E526" s="1416"/>
      <c r="F526" s="1416"/>
      <c r="G526" s="1416"/>
      <c r="H526" s="1417"/>
      <c r="I526" t="s">
        <v>416</v>
      </c>
      <c r="AC526" s="1491">
        <v>9</v>
      </c>
      <c r="AD526" s="1492"/>
      <c r="AE526" s="1492"/>
      <c r="AF526" s="1492"/>
      <c r="AG526" s="13" t="s">
        <v>403</v>
      </c>
      <c r="AH526" s="1326">
        <v>2026</v>
      </c>
      <c r="AI526" s="1326"/>
      <c r="AJ526" s="1326"/>
      <c r="AK526" s="1327"/>
      <c r="BB526" s="3"/>
      <c r="BC526" s="3"/>
      <c r="BD526" s="3"/>
      <c r="BE526" s="3"/>
      <c r="BF526" s="3"/>
      <c r="BG526" s="3"/>
      <c r="BH526" s="3"/>
      <c r="BI526" s="3"/>
      <c r="BJ526" s="3"/>
      <c r="BK526" s="3"/>
      <c r="BL526" s="3"/>
      <c r="BM526" s="3"/>
      <c r="BN526" s="3" t="s">
        <v>2059</v>
      </c>
    </row>
    <row r="527" spans="2:66" ht="12.95" customHeight="1">
      <c r="B527" s="1418"/>
      <c r="C527" s="1419"/>
      <c r="D527" s="1419"/>
      <c r="E527" s="1419"/>
      <c r="F527" s="1419"/>
      <c r="G527" s="1419"/>
      <c r="H527" s="1420"/>
      <c r="I527" s="48" t="s">
        <v>417</v>
      </c>
      <c r="J527" s="48"/>
      <c r="K527" s="48"/>
      <c r="L527" s="48"/>
      <c r="M527" s="48"/>
      <c r="N527" s="48"/>
      <c r="O527" s="48"/>
      <c r="P527" s="48"/>
      <c r="Q527" s="48"/>
      <c r="R527" s="48"/>
      <c r="S527" s="48"/>
      <c r="T527" s="48"/>
      <c r="U527" s="48"/>
      <c r="V527" s="48"/>
      <c r="W527" s="48"/>
      <c r="X527" s="48"/>
      <c r="Y527" s="48"/>
      <c r="Z527" s="48"/>
      <c r="AA527" s="48"/>
      <c r="AB527" s="48"/>
      <c r="AC527" s="1491">
        <v>12</v>
      </c>
      <c r="AD527" s="1492"/>
      <c r="AE527" s="1492"/>
      <c r="AF527" s="1492"/>
      <c r="AG527" s="38" t="s">
        <v>403</v>
      </c>
      <c r="AH527" s="1326">
        <v>2029</v>
      </c>
      <c r="AI527" s="1326"/>
      <c r="AJ527" s="1326"/>
      <c r="AK527" s="1327"/>
      <c r="BB527" s="3"/>
      <c r="BC527" s="3"/>
      <c r="BD527" s="3"/>
      <c r="BE527" s="3"/>
      <c r="BF527" s="3"/>
      <c r="BG527" s="3"/>
      <c r="BH527" s="3"/>
      <c r="BI527" s="3"/>
      <c r="BJ527" s="3"/>
      <c r="BK527" s="3"/>
      <c r="BL527" s="3"/>
      <c r="BM527" s="3"/>
      <c r="BN527" s="3" t="s">
        <v>2060</v>
      </c>
    </row>
    <row r="528" spans="2:66" ht="12.95" customHeight="1">
      <c r="B528" s="1412" t="s">
        <v>419</v>
      </c>
      <c r="C528" s="1413"/>
      <c r="D528" s="1413"/>
      <c r="E528" s="1413"/>
      <c r="F528" s="1413"/>
      <c r="G528" s="1413"/>
      <c r="H528" s="1414"/>
      <c r="I528" s="41" t="s">
        <v>420</v>
      </c>
      <c r="J528" s="42"/>
      <c r="K528" s="42"/>
      <c r="L528" s="42"/>
      <c r="M528" s="42"/>
      <c r="N528" s="42"/>
      <c r="O528" s="1714" t="s">
        <v>334</v>
      </c>
      <c r="P528" s="1715"/>
      <c r="Q528" s="1715"/>
      <c r="R528" s="1715"/>
      <c r="S528" s="1715"/>
      <c r="T528" s="1715"/>
      <c r="U528" s="1715"/>
      <c r="V528" s="1715"/>
      <c r="W528" s="1715"/>
      <c r="X528" s="1715"/>
      <c r="Y528" s="1715"/>
      <c r="Z528" s="1715"/>
      <c r="AA528" s="1715"/>
      <c r="AB528" s="58"/>
      <c r="AC528" s="1328" t="s">
        <v>591</v>
      </c>
      <c r="AD528" s="1329"/>
      <c r="AE528" s="1329"/>
      <c r="AF528" s="1329"/>
      <c r="AG528" s="129" t="s">
        <v>403</v>
      </c>
      <c r="AH528" s="1326"/>
      <c r="AI528" s="1326"/>
      <c r="AJ528" s="1326"/>
      <c r="AK528" s="1327"/>
      <c r="AZ528" s="3"/>
      <c r="BB528" s="3"/>
      <c r="BC528" s="3"/>
      <c r="BD528" s="3"/>
      <c r="BE528" s="3"/>
      <c r="BF528" s="3"/>
      <c r="BG528" s="3"/>
      <c r="BH528" s="3"/>
      <c r="BI528" s="3"/>
      <c r="BJ528" s="3"/>
      <c r="BK528" s="3"/>
      <c r="BL528" s="3"/>
      <c r="BM528" s="3"/>
      <c r="BN528" s="3" t="s">
        <v>2061</v>
      </c>
    </row>
    <row r="529" spans="2:66" ht="12.95" customHeight="1">
      <c r="B529" s="1415"/>
      <c r="C529" s="1416"/>
      <c r="D529" s="1416"/>
      <c r="E529" s="1416"/>
      <c r="F529" s="1416"/>
      <c r="G529" s="1416"/>
      <c r="H529" s="1417"/>
      <c r="I529" s="114" t="s">
        <v>421</v>
      </c>
      <c r="AB529" s="65"/>
      <c r="AC529" s="1491" t="s">
        <v>591</v>
      </c>
      <c r="AD529" s="1492"/>
      <c r="AE529" s="1492"/>
      <c r="AF529" s="1492"/>
      <c r="AG529" s="13" t="s">
        <v>403</v>
      </c>
      <c r="AH529" s="1326"/>
      <c r="AI529" s="1326"/>
      <c r="AJ529" s="1326"/>
      <c r="AK529" s="1327"/>
      <c r="AZ529" s="3"/>
      <c r="BB529" s="3"/>
      <c r="BC529" s="3"/>
      <c r="BD529" s="3"/>
      <c r="BE529" s="3"/>
      <c r="BF529" s="3"/>
      <c r="BG529" s="3"/>
      <c r="BH529" s="3"/>
      <c r="BI529" s="3"/>
      <c r="BJ529" s="3"/>
      <c r="BK529" s="3"/>
      <c r="BL529" s="3"/>
      <c r="BM529" s="3"/>
      <c r="BN529" s="3" t="s">
        <v>2062</v>
      </c>
    </row>
    <row r="530" spans="2:66" ht="12.95" customHeight="1">
      <c r="B530" s="1415"/>
      <c r="C530" s="1416"/>
      <c r="D530" s="1416"/>
      <c r="E530" s="1416"/>
      <c r="F530" s="1416"/>
      <c r="G530" s="1416"/>
      <c r="H530" s="1417"/>
      <c r="I530" s="47" t="s">
        <v>422</v>
      </c>
      <c r="J530" s="48"/>
      <c r="K530" s="48"/>
      <c r="L530" s="48"/>
      <c r="M530" s="48"/>
      <c r="N530" s="48"/>
      <c r="O530" s="48"/>
      <c r="P530" s="48"/>
      <c r="Q530" s="48"/>
      <c r="R530" s="48"/>
      <c r="S530" s="48"/>
      <c r="T530" s="48"/>
      <c r="U530" s="48"/>
      <c r="V530" s="48"/>
      <c r="W530" s="48"/>
      <c r="X530" s="48"/>
      <c r="Y530" s="48"/>
      <c r="Z530" s="48"/>
      <c r="AA530" s="48"/>
      <c r="AB530" s="49"/>
      <c r="AC530" s="1491" t="s">
        <v>591</v>
      </c>
      <c r="AD530" s="1492"/>
      <c r="AE530" s="1492"/>
      <c r="AF530" s="1492"/>
      <c r="AG530" s="38" t="s">
        <v>403</v>
      </c>
      <c r="AH530" s="1326"/>
      <c r="AI530" s="1326"/>
      <c r="AJ530" s="1326"/>
      <c r="AK530" s="1327"/>
      <c r="AZ530" s="3"/>
      <c r="BA530" s="3"/>
      <c r="BB530" s="3"/>
      <c r="BC530" s="3"/>
      <c r="BD530" s="3"/>
      <c r="BE530" s="3"/>
      <c r="BF530" s="3"/>
      <c r="BG530" s="3"/>
      <c r="BH530" s="3"/>
      <c r="BI530" s="3"/>
      <c r="BJ530" s="3"/>
      <c r="BK530" s="3"/>
      <c r="BL530" s="3"/>
      <c r="BM530" s="3"/>
      <c r="BN530" s="3" t="s">
        <v>2063</v>
      </c>
    </row>
    <row r="531" spans="2:66" ht="12.95" customHeight="1">
      <c r="B531" s="1415"/>
      <c r="C531" s="1416"/>
      <c r="D531" s="1416"/>
      <c r="E531" s="1416"/>
      <c r="F531" s="1416"/>
      <c r="G531" s="1416"/>
      <c r="H531" s="1417"/>
      <c r="I531" s="42" t="s">
        <v>423</v>
      </c>
      <c r="J531" s="42"/>
      <c r="K531" s="42"/>
      <c r="L531" s="42"/>
      <c r="M531" s="42"/>
      <c r="N531" s="42"/>
      <c r="O531" s="1714" t="s">
        <v>334</v>
      </c>
      <c r="P531" s="1715"/>
      <c r="Q531" s="1715"/>
      <c r="R531" s="1715"/>
      <c r="S531" s="1715"/>
      <c r="T531" s="1715"/>
      <c r="U531" s="1715"/>
      <c r="V531" s="1715"/>
      <c r="W531" s="1715"/>
      <c r="X531" s="1715"/>
      <c r="Y531" s="1715"/>
      <c r="Z531" s="1715"/>
      <c r="AA531" s="1715"/>
      <c r="AC531" s="1491" t="s">
        <v>591</v>
      </c>
      <c r="AD531" s="1492"/>
      <c r="AE531" s="1492"/>
      <c r="AF531" s="1492"/>
      <c r="AG531" s="13" t="s">
        <v>403</v>
      </c>
      <c r="AH531" s="1326"/>
      <c r="AI531" s="1326"/>
      <c r="AJ531" s="1326"/>
      <c r="AK531" s="1327"/>
      <c r="AZ531" s="3"/>
      <c r="BA531" s="3"/>
      <c r="BB531" s="3"/>
      <c r="BC531" s="3"/>
      <c r="BD531" s="3"/>
      <c r="BE531" s="3"/>
      <c r="BF531" s="3"/>
      <c r="BG531" s="3"/>
      <c r="BH531" s="3"/>
      <c r="BI531" s="3"/>
      <c r="BJ531" s="3"/>
      <c r="BK531" s="3"/>
      <c r="BL531" s="3"/>
      <c r="BM531" s="3"/>
      <c r="BN531" s="3" t="s">
        <v>2064</v>
      </c>
    </row>
    <row r="532" spans="2:66" ht="12.95" customHeight="1">
      <c r="B532" s="1415"/>
      <c r="C532" s="1416"/>
      <c r="D532" s="1416"/>
      <c r="E532" s="1416"/>
      <c r="F532" s="1416"/>
      <c r="G532" s="1416"/>
      <c r="H532" s="1417"/>
      <c r="I532" t="s">
        <v>421</v>
      </c>
      <c r="AC532" s="1491" t="s">
        <v>591</v>
      </c>
      <c r="AD532" s="1492"/>
      <c r="AE532" s="1492"/>
      <c r="AF532" s="1492"/>
      <c r="AG532" s="13" t="s">
        <v>403</v>
      </c>
      <c r="AH532" s="1326"/>
      <c r="AI532" s="1326"/>
      <c r="AJ532" s="1326"/>
      <c r="AK532" s="1327"/>
      <c r="AZ532" s="3"/>
      <c r="BA532" s="3"/>
      <c r="BB532" s="3"/>
      <c r="BC532" s="3"/>
      <c r="BD532" s="3"/>
      <c r="BE532" s="3"/>
      <c r="BF532" s="3"/>
      <c r="BG532" s="3"/>
      <c r="BH532" s="3"/>
      <c r="BI532" s="3"/>
      <c r="BJ532" s="3"/>
      <c r="BK532" s="3"/>
      <c r="BL532" s="3"/>
      <c r="BM532" s="3"/>
      <c r="BN532" s="3" t="s">
        <v>2065</v>
      </c>
    </row>
    <row r="533" spans="2:66" ht="12.95" customHeight="1">
      <c r="B533" s="1415"/>
      <c r="C533" s="1416"/>
      <c r="D533" s="1416"/>
      <c r="E533" s="1416"/>
      <c r="F533" s="1416"/>
      <c r="G533" s="1416"/>
      <c r="H533" s="1417"/>
      <c r="I533" s="48" t="s">
        <v>422</v>
      </c>
      <c r="J533" s="48"/>
      <c r="K533" s="48"/>
      <c r="L533" s="48"/>
      <c r="M533" s="48"/>
      <c r="N533" s="48"/>
      <c r="O533" s="48"/>
      <c r="P533" s="48"/>
      <c r="Q533" s="48"/>
      <c r="R533" s="48"/>
      <c r="S533" s="48"/>
      <c r="T533" s="48"/>
      <c r="U533" s="48"/>
      <c r="V533" s="48"/>
      <c r="W533" s="48"/>
      <c r="X533" s="48"/>
      <c r="Y533" s="48"/>
      <c r="Z533" s="48"/>
      <c r="AA533" s="48"/>
      <c r="AB533" s="48"/>
      <c r="AC533" s="1491" t="s">
        <v>591</v>
      </c>
      <c r="AD533" s="1492"/>
      <c r="AE533" s="1492"/>
      <c r="AF533" s="1492"/>
      <c r="AG533" s="38" t="s">
        <v>403</v>
      </c>
      <c r="AH533" s="1326"/>
      <c r="AI533" s="1326"/>
      <c r="AJ533" s="1326"/>
      <c r="AK533" s="1327"/>
      <c r="AZ533" s="3"/>
      <c r="BA533" s="3"/>
      <c r="BB533" s="3"/>
      <c r="BC533" s="3"/>
      <c r="BD533" s="3"/>
      <c r="BE533" s="3"/>
      <c r="BF533" s="3"/>
      <c r="BG533" s="3"/>
      <c r="BH533" s="3"/>
      <c r="BI533" s="3"/>
      <c r="BJ533" s="3"/>
      <c r="BK533" s="3"/>
      <c r="BL533" s="3"/>
      <c r="BM533" s="3"/>
      <c r="BN533" s="3" t="s">
        <v>2066</v>
      </c>
    </row>
    <row r="534" spans="2:66" ht="12.95" customHeight="1">
      <c r="B534" s="1415"/>
      <c r="C534" s="1416"/>
      <c r="D534" s="1416"/>
      <c r="E534" s="1416"/>
      <c r="F534" s="1416"/>
      <c r="G534" s="1416"/>
      <c r="H534" s="1417"/>
      <c r="I534" s="42" t="s">
        <v>423</v>
      </c>
      <c r="J534" s="42"/>
      <c r="K534" s="42"/>
      <c r="L534" s="42"/>
      <c r="M534" s="42"/>
      <c r="N534" s="42"/>
      <c r="O534" s="1714" t="s">
        <v>334</v>
      </c>
      <c r="P534" s="1715"/>
      <c r="Q534" s="1715"/>
      <c r="R534" s="1715"/>
      <c r="S534" s="1715"/>
      <c r="T534" s="1715"/>
      <c r="U534" s="1715"/>
      <c r="V534" s="1715"/>
      <c r="W534" s="1715"/>
      <c r="X534" s="1715"/>
      <c r="Y534" s="1715"/>
      <c r="Z534" s="1715"/>
      <c r="AA534" s="1715"/>
      <c r="AC534" s="1491" t="s">
        <v>591</v>
      </c>
      <c r="AD534" s="1492"/>
      <c r="AE534" s="1492"/>
      <c r="AF534" s="1492"/>
      <c r="AG534" s="13" t="s">
        <v>403</v>
      </c>
      <c r="AH534" s="1326"/>
      <c r="AI534" s="1326"/>
      <c r="AJ534" s="1326"/>
      <c r="AK534" s="1327"/>
      <c r="AZ534" s="3"/>
      <c r="BA534" s="3"/>
      <c r="BB534" s="3"/>
      <c r="BC534" s="3"/>
      <c r="BD534" s="3"/>
      <c r="BE534" s="3"/>
      <c r="BF534" s="3"/>
      <c r="BG534" s="3"/>
      <c r="BH534" s="3"/>
      <c r="BI534" s="3"/>
      <c r="BJ534" s="3"/>
      <c r="BK534" s="3"/>
      <c r="BL534" s="3"/>
      <c r="BM534" s="3"/>
      <c r="BN534" s="3" t="s">
        <v>2067</v>
      </c>
    </row>
    <row r="535" spans="2:66" ht="12.95" customHeight="1">
      <c r="B535" s="1415"/>
      <c r="C535" s="1416"/>
      <c r="D535" s="1416"/>
      <c r="E535" s="1416"/>
      <c r="F535" s="1416"/>
      <c r="G535" s="1416"/>
      <c r="H535" s="1417"/>
      <c r="I535" t="s">
        <v>421</v>
      </c>
      <c r="AC535" s="1491" t="s">
        <v>591</v>
      </c>
      <c r="AD535" s="1492"/>
      <c r="AE535" s="1492"/>
      <c r="AF535" s="1492"/>
      <c r="AG535" s="13" t="s">
        <v>403</v>
      </c>
      <c r="AH535" s="1326"/>
      <c r="AI535" s="1326"/>
      <c r="AJ535" s="1326"/>
      <c r="AK535" s="1327"/>
      <c r="AZ535" s="3"/>
      <c r="BA535" s="3"/>
      <c r="BB535" s="3"/>
      <c r="BC535" s="3"/>
      <c r="BD535" s="3"/>
      <c r="BE535" s="3"/>
      <c r="BF535" s="3"/>
      <c r="BG535" s="3"/>
      <c r="BH535" s="3"/>
      <c r="BI535" s="3"/>
      <c r="BJ535" s="3"/>
      <c r="BK535" s="3"/>
      <c r="BL535" s="3"/>
      <c r="BM535" s="3"/>
      <c r="BN535" s="3" t="s">
        <v>2068</v>
      </c>
    </row>
    <row r="536" spans="2:66" ht="12.95" customHeight="1">
      <c r="B536" s="1415"/>
      <c r="C536" s="1416"/>
      <c r="D536" s="1416"/>
      <c r="E536" s="1416"/>
      <c r="F536" s="1416"/>
      <c r="G536" s="1416"/>
      <c r="H536" s="1417"/>
      <c r="I536" s="48" t="s">
        <v>422</v>
      </c>
      <c r="J536" s="48"/>
      <c r="K536" s="48"/>
      <c r="L536" s="48"/>
      <c r="M536" s="48"/>
      <c r="N536" s="48"/>
      <c r="O536" s="48"/>
      <c r="P536" s="48"/>
      <c r="Q536" s="48"/>
      <c r="R536" s="48"/>
      <c r="S536" s="48"/>
      <c r="T536" s="48"/>
      <c r="U536" s="48"/>
      <c r="V536" s="48"/>
      <c r="W536" s="48"/>
      <c r="X536" s="48"/>
      <c r="Y536" s="48"/>
      <c r="Z536" s="48"/>
      <c r="AA536" s="48"/>
      <c r="AB536" s="48"/>
      <c r="AC536" s="1491" t="s">
        <v>591</v>
      </c>
      <c r="AD536" s="1492"/>
      <c r="AE536" s="1492"/>
      <c r="AF536" s="1492"/>
      <c r="AG536" s="38" t="s">
        <v>403</v>
      </c>
      <c r="AH536" s="1326"/>
      <c r="AI536" s="1326"/>
      <c r="AJ536" s="1326"/>
      <c r="AK536" s="1327"/>
      <c r="AZ536" s="3"/>
      <c r="BA536" s="3"/>
      <c r="BB536" s="3"/>
      <c r="BC536" s="3"/>
      <c r="BD536" s="3"/>
      <c r="BE536" s="3"/>
      <c r="BF536" s="3"/>
      <c r="BG536" s="3"/>
      <c r="BH536" s="3"/>
      <c r="BI536" s="3"/>
      <c r="BJ536" s="3"/>
      <c r="BK536" s="3"/>
      <c r="BL536" s="3"/>
      <c r="BM536" s="3"/>
      <c r="BN536" s="3" t="s">
        <v>2069</v>
      </c>
    </row>
    <row r="537" spans="2:66" ht="12.95" customHeight="1">
      <c r="B537" s="1415"/>
      <c r="C537" s="1416"/>
      <c r="D537" s="1416"/>
      <c r="E537" s="1416"/>
      <c r="F537" s="1416"/>
      <c r="G537" s="1416"/>
      <c r="H537" s="1417"/>
      <c r="I537" s="42" t="s">
        <v>423</v>
      </c>
      <c r="J537" s="42"/>
      <c r="K537" s="42"/>
      <c r="L537" s="42"/>
      <c r="M537" s="42"/>
      <c r="N537" s="42"/>
      <c r="O537" s="1714" t="s">
        <v>334</v>
      </c>
      <c r="P537" s="1715"/>
      <c r="Q537" s="1715"/>
      <c r="R537" s="1715"/>
      <c r="S537" s="1715"/>
      <c r="T537" s="1715"/>
      <c r="U537" s="1715"/>
      <c r="V537" s="1715"/>
      <c r="W537" s="1715"/>
      <c r="X537" s="1715"/>
      <c r="Y537" s="1715"/>
      <c r="Z537" s="1715"/>
      <c r="AA537" s="1715"/>
      <c r="AC537" s="1491" t="s">
        <v>591</v>
      </c>
      <c r="AD537" s="1492"/>
      <c r="AE537" s="1492"/>
      <c r="AF537" s="1492"/>
      <c r="AG537" s="13" t="s">
        <v>403</v>
      </c>
      <c r="AH537" s="1326"/>
      <c r="AI537" s="1326"/>
      <c r="AJ537" s="1326"/>
      <c r="AK537" s="1327"/>
      <c r="AZ537" s="3"/>
      <c r="BA537" s="3"/>
      <c r="BB537" s="3"/>
      <c r="BC537" s="3"/>
      <c r="BD537" s="3"/>
      <c r="BE537" s="3"/>
      <c r="BF537" s="3"/>
      <c r="BG537" s="3"/>
      <c r="BH537" s="3"/>
      <c r="BI537" s="3"/>
      <c r="BJ537" s="3"/>
      <c r="BK537" s="3"/>
      <c r="BL537" s="3"/>
      <c r="BM537" s="3"/>
      <c r="BN537" s="3" t="s">
        <v>2070</v>
      </c>
    </row>
    <row r="538" spans="2:66" ht="12.95" customHeight="1">
      <c r="B538" s="1415"/>
      <c r="C538" s="1416"/>
      <c r="D538" s="1416"/>
      <c r="E538" s="1416"/>
      <c r="F538" s="1416"/>
      <c r="G538" s="1416"/>
      <c r="H538" s="1417"/>
      <c r="I538" t="s">
        <v>421</v>
      </c>
      <c r="AC538" s="1491" t="s">
        <v>591</v>
      </c>
      <c r="AD538" s="1492"/>
      <c r="AE538" s="1492"/>
      <c r="AF538" s="1492"/>
      <c r="AG538" s="13" t="s">
        <v>403</v>
      </c>
      <c r="AH538" s="1326"/>
      <c r="AI538" s="1326"/>
      <c r="AJ538" s="1326"/>
      <c r="AK538" s="1327"/>
      <c r="AZ538" s="3"/>
      <c r="BA538" s="3"/>
      <c r="BB538" s="3"/>
      <c r="BC538" s="3"/>
      <c r="BD538" s="3"/>
      <c r="BE538" s="3"/>
      <c r="BF538" s="3"/>
      <c r="BG538" s="3"/>
      <c r="BH538" s="3"/>
      <c r="BI538" s="3"/>
      <c r="BJ538" s="3"/>
      <c r="BK538" s="3"/>
      <c r="BL538" s="3"/>
      <c r="BM538" s="3"/>
      <c r="BN538" s="3" t="s">
        <v>2071</v>
      </c>
    </row>
    <row r="539" spans="2:66" ht="12.95" customHeight="1">
      <c r="B539" s="1415"/>
      <c r="C539" s="1416"/>
      <c r="D539" s="1416"/>
      <c r="E539" s="1416"/>
      <c r="F539" s="1416"/>
      <c r="G539" s="1416"/>
      <c r="H539" s="1417"/>
      <c r="I539" s="48" t="s">
        <v>422</v>
      </c>
      <c r="J539" s="48"/>
      <c r="K539" s="48"/>
      <c r="L539" s="48"/>
      <c r="M539" s="48"/>
      <c r="N539" s="48"/>
      <c r="O539" s="48"/>
      <c r="P539" s="48"/>
      <c r="Q539" s="48"/>
      <c r="R539" s="48"/>
      <c r="S539" s="48"/>
      <c r="T539" s="48"/>
      <c r="U539" s="48"/>
      <c r="V539" s="48"/>
      <c r="W539" s="48"/>
      <c r="X539" s="48"/>
      <c r="Y539" s="48"/>
      <c r="Z539" s="48"/>
      <c r="AA539" s="48"/>
      <c r="AB539" s="48"/>
      <c r="AC539" s="1491" t="s">
        <v>591</v>
      </c>
      <c r="AD539" s="1492"/>
      <c r="AE539" s="1492"/>
      <c r="AF539" s="1492"/>
      <c r="AG539" s="38" t="s">
        <v>403</v>
      </c>
      <c r="AH539" s="1326"/>
      <c r="AI539" s="1326"/>
      <c r="AJ539" s="1326"/>
      <c r="AK539" s="1327"/>
      <c r="AZ539" s="3"/>
      <c r="BA539" s="3"/>
      <c r="BB539" s="3"/>
      <c r="BC539" s="3"/>
      <c r="BD539" s="3"/>
      <c r="BE539" s="3"/>
      <c r="BF539" s="3"/>
      <c r="BG539" s="3"/>
      <c r="BH539" s="3"/>
      <c r="BI539" s="3"/>
      <c r="BJ539" s="3"/>
      <c r="BK539" s="3"/>
      <c r="BL539" s="3"/>
      <c r="BM539" s="3"/>
      <c r="BN539" s="3" t="s">
        <v>2072</v>
      </c>
    </row>
    <row r="540" spans="2:66" ht="12.95" customHeight="1">
      <c r="B540" s="1415"/>
      <c r="C540" s="1416"/>
      <c r="D540" s="1416"/>
      <c r="E540" s="1416"/>
      <c r="F540" s="1416"/>
      <c r="G540" s="1416"/>
      <c r="H540" s="1417"/>
      <c r="I540" s="42" t="s">
        <v>423</v>
      </c>
      <c r="J540" s="42"/>
      <c r="K540" s="42"/>
      <c r="L540" s="42"/>
      <c r="M540" s="42"/>
      <c r="N540" s="42"/>
      <c r="O540" s="1714" t="s">
        <v>334</v>
      </c>
      <c r="P540" s="1715"/>
      <c r="Q540" s="1715"/>
      <c r="R540" s="1715"/>
      <c r="S540" s="1715"/>
      <c r="T540" s="1715"/>
      <c r="U540" s="1715"/>
      <c r="V540" s="1715"/>
      <c r="W540" s="1715"/>
      <c r="X540" s="1715"/>
      <c r="Y540" s="1715"/>
      <c r="Z540" s="1715"/>
      <c r="AA540" s="1715"/>
      <c r="AC540" s="1491" t="s">
        <v>591</v>
      </c>
      <c r="AD540" s="1492"/>
      <c r="AE540" s="1492"/>
      <c r="AF540" s="1492"/>
      <c r="AG540" s="13" t="s">
        <v>403</v>
      </c>
      <c r="AH540" s="1326"/>
      <c r="AI540" s="1326"/>
      <c r="AJ540" s="1326"/>
      <c r="AK540" s="1327"/>
      <c r="AZ540" s="3"/>
      <c r="BA540" s="3"/>
      <c r="BB540" s="3"/>
      <c r="BC540" s="3"/>
      <c r="BD540" s="3"/>
      <c r="BE540" s="3"/>
      <c r="BF540" s="3"/>
      <c r="BG540" s="3"/>
      <c r="BH540" s="3"/>
      <c r="BI540" s="3"/>
      <c r="BJ540" s="3"/>
      <c r="BK540" s="3"/>
      <c r="BL540" s="3"/>
      <c r="BM540" s="3"/>
      <c r="BN540" s="3" t="s">
        <v>2073</v>
      </c>
    </row>
    <row r="541" spans="2:66" ht="12.95" customHeight="1">
      <c r="B541" s="1415"/>
      <c r="C541" s="1416"/>
      <c r="D541" s="1416"/>
      <c r="E541" s="1416"/>
      <c r="F541" s="1416"/>
      <c r="G541" s="1416"/>
      <c r="H541" s="1417"/>
      <c r="I541" t="s">
        <v>421</v>
      </c>
      <c r="AC541" s="1491" t="s">
        <v>591</v>
      </c>
      <c r="AD541" s="1492"/>
      <c r="AE541" s="1492"/>
      <c r="AF541" s="1492"/>
      <c r="AG541" s="38" t="s">
        <v>403</v>
      </c>
      <c r="AH541" s="1326"/>
      <c r="AI541" s="1326"/>
      <c r="AJ541" s="1326"/>
      <c r="AK541" s="1327"/>
      <c r="AZ541" s="3"/>
      <c r="BA541" s="3"/>
      <c r="BB541" s="3"/>
      <c r="BC541" s="3"/>
      <c r="BD541" s="3"/>
      <c r="BE541" s="3"/>
      <c r="BF541" s="3"/>
      <c r="BG541" s="3"/>
      <c r="BH541" s="3"/>
      <c r="BI541" s="3"/>
      <c r="BJ541" s="3"/>
      <c r="BK541" s="3"/>
      <c r="BL541" s="3"/>
      <c r="BM541" s="3"/>
      <c r="BN541" s="3" t="s">
        <v>2074</v>
      </c>
    </row>
    <row r="542" spans="2:66" ht="12.95" customHeight="1">
      <c r="B542" s="1415"/>
      <c r="C542" s="1416"/>
      <c r="D542" s="1416"/>
      <c r="E542" s="1416"/>
      <c r="F542" s="1416"/>
      <c r="G542" s="1416"/>
      <c r="H542" s="1417"/>
      <c r="I542" s="48" t="s">
        <v>422</v>
      </c>
      <c r="J542" s="48"/>
      <c r="K542" s="48"/>
      <c r="L542" s="48"/>
      <c r="M542" s="48"/>
      <c r="N542" s="48"/>
      <c r="O542" s="48"/>
      <c r="P542" s="48"/>
      <c r="Q542" s="48"/>
      <c r="R542" s="48"/>
      <c r="S542" s="48"/>
      <c r="T542" s="48"/>
      <c r="U542" s="48"/>
      <c r="V542" s="48"/>
      <c r="W542" s="48"/>
      <c r="X542" s="48"/>
      <c r="Y542" s="48"/>
      <c r="Z542" s="48"/>
      <c r="AA542" s="48"/>
      <c r="AB542" s="48"/>
      <c r="AC542" s="1491" t="s">
        <v>591</v>
      </c>
      <c r="AD542" s="1492"/>
      <c r="AE542" s="1492"/>
      <c r="AF542" s="1492"/>
      <c r="AG542" s="13" t="s">
        <v>403</v>
      </c>
      <c r="AH542" s="1326"/>
      <c r="AI542" s="1326"/>
      <c r="AJ542" s="1326"/>
      <c r="AK542" s="1327"/>
      <c r="AZ542" s="3"/>
      <c r="BA542" s="3"/>
      <c r="BB542" s="3"/>
      <c r="BC542" s="3"/>
      <c r="BD542" s="3"/>
      <c r="BE542" s="3"/>
      <c r="BF542" s="3"/>
      <c r="BG542" s="3"/>
      <c r="BH542" s="3"/>
      <c r="BI542" s="3"/>
      <c r="BJ542" s="3"/>
      <c r="BK542" s="3"/>
      <c r="BL542" s="3"/>
      <c r="BM542" s="3"/>
      <c r="BN542" s="3" t="s">
        <v>2075</v>
      </c>
    </row>
    <row r="543" spans="2:66" ht="12.95" customHeight="1">
      <c r="B543" s="1415"/>
      <c r="C543" s="1416"/>
      <c r="D543" s="1416"/>
      <c r="E543" s="1416"/>
      <c r="F543" s="1416"/>
      <c r="G543" s="1416"/>
      <c r="H543" s="1417"/>
      <c r="I543" s="42" t="s">
        <v>423</v>
      </c>
      <c r="J543" s="42"/>
      <c r="K543" s="42"/>
      <c r="L543" s="42"/>
      <c r="M543" s="42"/>
      <c r="N543" s="42"/>
      <c r="O543" s="1714" t="s">
        <v>334</v>
      </c>
      <c r="P543" s="1715"/>
      <c r="Q543" s="1715"/>
      <c r="R543" s="1715"/>
      <c r="S543" s="1715"/>
      <c r="T543" s="1715"/>
      <c r="U543" s="1715"/>
      <c r="V543" s="1715"/>
      <c r="W543" s="1715"/>
      <c r="X543" s="1715"/>
      <c r="Y543" s="1715"/>
      <c r="Z543" s="1715"/>
      <c r="AA543" s="1715"/>
      <c r="AC543" s="1491" t="s">
        <v>591</v>
      </c>
      <c r="AD543" s="1492"/>
      <c r="AE543" s="1492"/>
      <c r="AF543" s="1492"/>
      <c r="AG543" s="38" t="s">
        <v>403</v>
      </c>
      <c r="AH543" s="1326"/>
      <c r="AI543" s="1326"/>
      <c r="AJ543" s="1326"/>
      <c r="AK543" s="1327"/>
      <c r="AZ543" s="3"/>
      <c r="BA543" s="3"/>
      <c r="BB543" s="3"/>
      <c r="BC543" s="3"/>
      <c r="BD543" s="3"/>
      <c r="BE543" s="3"/>
      <c r="BF543" s="3"/>
      <c r="BG543" s="3"/>
      <c r="BH543" s="3"/>
      <c r="BI543" s="3"/>
      <c r="BJ543" s="3"/>
      <c r="BK543" s="3"/>
      <c r="BL543" s="3"/>
      <c r="BM543" s="3"/>
      <c r="BN543" s="3" t="s">
        <v>2076</v>
      </c>
    </row>
    <row r="544" spans="2:66" ht="12.95" customHeight="1">
      <c r="B544" s="1415"/>
      <c r="C544" s="1416"/>
      <c r="D544" s="1416"/>
      <c r="E544" s="1416"/>
      <c r="F544" s="1416"/>
      <c r="G544" s="1416"/>
      <c r="H544" s="1417"/>
      <c r="I544" t="s">
        <v>421</v>
      </c>
      <c r="AC544" s="1491" t="s">
        <v>591</v>
      </c>
      <c r="AD544" s="1492"/>
      <c r="AE544" s="1492"/>
      <c r="AF544" s="1492"/>
      <c r="AG544" s="13" t="s">
        <v>403</v>
      </c>
      <c r="AH544" s="1326"/>
      <c r="AI544" s="1326"/>
      <c r="AJ544" s="1326"/>
      <c r="AK544" s="1327"/>
      <c r="AZ544" s="3"/>
      <c r="BA544" s="3"/>
      <c r="BB544" s="3"/>
      <c r="BC544" s="3"/>
      <c r="BD544" s="3"/>
      <c r="BE544" s="3"/>
      <c r="BF544" s="3"/>
      <c r="BG544" s="3"/>
      <c r="BH544" s="3"/>
      <c r="BI544" s="3"/>
      <c r="BJ544" s="3"/>
      <c r="BK544" s="3"/>
      <c r="BL544" s="3"/>
      <c r="BM544" s="3"/>
      <c r="BN544" s="3" t="s">
        <v>2077</v>
      </c>
    </row>
    <row r="545" spans="1:66" ht="12.95" customHeight="1">
      <c r="B545" s="1415"/>
      <c r="C545" s="1416"/>
      <c r="D545" s="1416"/>
      <c r="E545" s="1416"/>
      <c r="F545" s="1416"/>
      <c r="G545" s="1416"/>
      <c r="H545" s="1417"/>
      <c r="I545" s="48" t="s">
        <v>422</v>
      </c>
      <c r="J545" s="48"/>
      <c r="K545" s="48"/>
      <c r="L545" s="48"/>
      <c r="M545" s="48"/>
      <c r="N545" s="48"/>
      <c r="O545" s="48"/>
      <c r="P545" s="48"/>
      <c r="Q545" s="48"/>
      <c r="R545" s="48"/>
      <c r="S545" s="48"/>
      <c r="T545" s="48"/>
      <c r="U545" s="48"/>
      <c r="V545" s="48"/>
      <c r="W545" s="48"/>
      <c r="X545" s="48"/>
      <c r="Y545" s="48"/>
      <c r="Z545" s="48"/>
      <c r="AA545" s="48"/>
      <c r="AB545" s="48"/>
      <c r="AC545" s="1491" t="s">
        <v>591</v>
      </c>
      <c r="AD545" s="1492"/>
      <c r="AE545" s="1492"/>
      <c r="AF545" s="1492"/>
      <c r="AG545" s="38" t="s">
        <v>403</v>
      </c>
      <c r="AH545" s="1326"/>
      <c r="AI545" s="1326"/>
      <c r="AJ545" s="1326"/>
      <c r="AK545" s="1327"/>
      <c r="AZ545" s="3"/>
      <c r="BA545" s="3"/>
      <c r="BB545" s="3"/>
      <c r="BC545" s="3"/>
      <c r="BD545" s="3"/>
      <c r="BE545" s="3"/>
      <c r="BF545" s="3"/>
      <c r="BG545" s="3"/>
      <c r="BH545" s="3"/>
      <c r="BI545" s="3"/>
      <c r="BJ545" s="3"/>
      <c r="BK545" s="3"/>
      <c r="BL545" s="3"/>
      <c r="BM545" s="3"/>
      <c r="BN545" s="3" t="s">
        <v>2078</v>
      </c>
    </row>
    <row r="546" spans="1:66" ht="12.95" customHeight="1">
      <c r="B546" s="1415"/>
      <c r="C546" s="1416"/>
      <c r="D546" s="1416"/>
      <c r="E546" s="1416"/>
      <c r="F546" s="1416"/>
      <c r="G546" s="1416"/>
      <c r="H546" s="1417"/>
      <c r="I546" s="42" t="s">
        <v>562</v>
      </c>
      <c r="J546" s="42"/>
      <c r="K546" s="42"/>
      <c r="L546" s="42"/>
      <c r="M546" s="42"/>
      <c r="N546" s="42"/>
      <c r="O546" s="42"/>
      <c r="P546" s="42"/>
      <c r="Q546" s="42"/>
      <c r="R546" s="42"/>
      <c r="S546" s="42"/>
      <c r="T546" s="42"/>
      <c r="U546" s="42"/>
      <c r="V546" s="42"/>
      <c r="W546" s="42"/>
      <c r="AC546" s="1491">
        <v>7</v>
      </c>
      <c r="AD546" s="1492"/>
      <c r="AE546" s="1492"/>
      <c r="AF546" s="1492"/>
      <c r="AG546" s="38" t="s">
        <v>403</v>
      </c>
      <c r="AH546" s="1326">
        <v>2027</v>
      </c>
      <c r="AI546" s="1326"/>
      <c r="AJ546" s="1326"/>
      <c r="AK546" s="1327"/>
      <c r="AZ546" s="3"/>
      <c r="BA546" s="3"/>
      <c r="BB546" s="3"/>
      <c r="BC546" s="3"/>
      <c r="BD546" s="3"/>
      <c r="BE546" s="3"/>
      <c r="BF546" s="3"/>
      <c r="BG546" s="3"/>
      <c r="BH546" s="3"/>
      <c r="BI546" s="3"/>
      <c r="BJ546" s="3"/>
      <c r="BK546" s="3"/>
      <c r="BL546" s="3"/>
      <c r="BM546" s="3"/>
      <c r="BN546" s="3"/>
    </row>
    <row r="547" spans="1:66" ht="12.95" customHeight="1">
      <c r="B547" s="1415"/>
      <c r="C547" s="1416"/>
      <c r="D547" s="1416"/>
      <c r="E547" s="1416"/>
      <c r="F547" s="1416"/>
      <c r="G547" s="1416"/>
      <c r="H547" s="1417"/>
      <c r="I547" t="s">
        <v>563</v>
      </c>
      <c r="AC547" s="1491">
        <v>6</v>
      </c>
      <c r="AD547" s="1492"/>
      <c r="AE547" s="1492"/>
      <c r="AF547" s="1492"/>
      <c r="AG547" s="13" t="s">
        <v>403</v>
      </c>
      <c r="AH547" s="1326">
        <v>2027</v>
      </c>
      <c r="AI547" s="1326"/>
      <c r="AJ547" s="1326"/>
      <c r="AK547" s="1327"/>
      <c r="AZ547" s="3"/>
      <c r="BA547" s="3"/>
      <c r="BB547" s="3"/>
      <c r="BC547" s="3"/>
      <c r="BD547" s="3"/>
      <c r="BE547" s="3"/>
      <c r="BF547" s="3"/>
      <c r="BG547" s="3"/>
      <c r="BH547" s="3"/>
      <c r="BI547" s="3"/>
      <c r="BJ547" s="3"/>
      <c r="BK547" s="3"/>
      <c r="BL547" s="3"/>
      <c r="BM547" s="3"/>
      <c r="BN547" s="3"/>
    </row>
    <row r="548" spans="1:66" ht="12.95" customHeight="1">
      <c r="B548" s="1415"/>
      <c r="C548" s="1416"/>
      <c r="D548" s="1416"/>
      <c r="E548" s="1416"/>
      <c r="F548" s="1416"/>
      <c r="G548" s="1416"/>
      <c r="H548" s="1417"/>
      <c r="I548" t="s">
        <v>564</v>
      </c>
      <c r="AC548" s="1491">
        <v>6</v>
      </c>
      <c r="AD548" s="1492"/>
      <c r="AE548" s="1492"/>
      <c r="AF548" s="1492"/>
      <c r="AG548" s="38" t="s">
        <v>403</v>
      </c>
      <c r="AH548" s="1326">
        <v>2029</v>
      </c>
      <c r="AI548" s="1326"/>
      <c r="AJ548" s="1326"/>
      <c r="AK548" s="1327"/>
      <c r="AZ548" s="3"/>
      <c r="BA548" s="3"/>
      <c r="BB548" s="3"/>
      <c r="BC548" s="3"/>
      <c r="BD548" s="3"/>
      <c r="BE548" s="3"/>
      <c r="BF548" s="3"/>
      <c r="BG548" s="3"/>
      <c r="BH548" s="3"/>
      <c r="BI548" s="3"/>
      <c r="BJ548" s="3"/>
      <c r="BK548" s="3"/>
      <c r="BL548" s="3"/>
      <c r="BM548" s="3"/>
      <c r="BN548" s="3"/>
    </row>
    <row r="549" spans="1:66" ht="12.95" customHeight="1">
      <c r="B549" s="1415"/>
      <c r="C549" s="1416"/>
      <c r="D549" s="1416"/>
      <c r="E549" s="1416"/>
      <c r="F549" s="1416"/>
      <c r="G549" s="1416"/>
      <c r="H549" s="1417"/>
      <c r="I549" t="s">
        <v>565</v>
      </c>
      <c r="AC549" s="1491">
        <v>6</v>
      </c>
      <c r="AD549" s="1492"/>
      <c r="AE549" s="1492"/>
      <c r="AF549" s="1492"/>
      <c r="AG549" s="38" t="s">
        <v>403</v>
      </c>
      <c r="AH549" s="1326">
        <v>2029</v>
      </c>
      <c r="AI549" s="1326"/>
      <c r="AJ549" s="1326"/>
      <c r="AK549" s="1327"/>
      <c r="AZ549" s="3"/>
      <c r="BA549" s="3"/>
      <c r="BB549" s="3"/>
      <c r="BC549" s="3"/>
      <c r="BD549" s="3"/>
      <c r="BE549" s="3"/>
      <c r="BF549" s="3"/>
      <c r="BG549" s="3"/>
      <c r="BH549" s="3"/>
      <c r="BI549" s="3"/>
      <c r="BJ549" s="3"/>
      <c r="BK549" s="3"/>
      <c r="BL549" s="3"/>
      <c r="BM549" s="3"/>
      <c r="BN549" s="3"/>
    </row>
    <row r="550" spans="1:66" ht="12.95" customHeight="1">
      <c r="B550" s="1418"/>
      <c r="C550" s="1419"/>
      <c r="D550" s="1419"/>
      <c r="E550" s="1419"/>
      <c r="F550" s="1419"/>
      <c r="G550" s="1419"/>
      <c r="H550" s="1420"/>
      <c r="I550" s="48" t="s">
        <v>451</v>
      </c>
      <c r="J550" s="48"/>
      <c r="K550" s="48"/>
      <c r="L550" s="48"/>
      <c r="M550" s="48"/>
      <c r="N550" s="48"/>
      <c r="O550" s="48"/>
      <c r="P550" s="48"/>
      <c r="Q550" s="48"/>
      <c r="R550" s="48"/>
      <c r="S550" s="48"/>
      <c r="T550" s="48"/>
      <c r="U550" s="48"/>
      <c r="V550" s="48"/>
      <c r="W550" s="48"/>
      <c r="X550" s="48"/>
      <c r="Y550" s="48"/>
      <c r="Z550" s="48"/>
      <c r="AA550" s="48"/>
      <c r="AB550" s="48"/>
      <c r="AC550" s="1491">
        <v>9</v>
      </c>
      <c r="AD550" s="1492"/>
      <c r="AE550" s="1492"/>
      <c r="AF550" s="1492"/>
      <c r="AG550" s="38" t="s">
        <v>403</v>
      </c>
      <c r="AH550" s="1326">
        <v>2029</v>
      </c>
      <c r="AI550" s="1326"/>
      <c r="AJ550" s="1326"/>
      <c r="AK550" s="1327"/>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485" t="s">
        <v>543</v>
      </c>
      <c r="B552" s="1485"/>
      <c r="C552" s="1485"/>
      <c r="D552" s="1485"/>
      <c r="E552" s="1485"/>
      <c r="F552" s="1485"/>
      <c r="G552" s="1485"/>
      <c r="H552" s="1485"/>
      <c r="I552" s="1485"/>
      <c r="J552" s="1485"/>
      <c r="K552" s="1485"/>
      <c r="L552" s="1485"/>
      <c r="M552" s="1485"/>
      <c r="N552" s="1485"/>
      <c r="O552" s="1485"/>
      <c r="P552" s="1485"/>
      <c r="Q552" s="1485"/>
      <c r="R552" s="1485"/>
      <c r="S552" s="1485"/>
      <c r="T552" s="1485"/>
      <c r="U552" s="1485"/>
      <c r="V552" s="1485"/>
      <c r="W552" s="1485"/>
      <c r="X552" s="1485"/>
      <c r="Y552" s="1485"/>
      <c r="Z552" s="1485"/>
      <c r="AA552" s="1485"/>
      <c r="AB552" s="1485"/>
      <c r="AC552" s="1485"/>
      <c r="AD552" s="1485"/>
      <c r="AE552" s="1485"/>
      <c r="AF552" s="1485"/>
      <c r="AG552" s="1485"/>
      <c r="AH552" s="1485"/>
      <c r="AI552" s="1485"/>
      <c r="AJ552" s="1485"/>
      <c r="AK552" s="1485"/>
      <c r="AL552" s="1485"/>
      <c r="AM552" s="1485"/>
      <c r="AN552" s="1485"/>
      <c r="AO552" s="1485"/>
      <c r="AP552" s="1485"/>
      <c r="AQ552" s="1485"/>
      <c r="AR552" s="1485"/>
      <c r="AS552" s="1485"/>
      <c r="AT552" s="1485"/>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485"/>
      <c r="B553" s="1485"/>
      <c r="C553" s="1485"/>
      <c r="D553" s="1485"/>
      <c r="E553" s="1485"/>
      <c r="F553" s="1485"/>
      <c r="G553" s="1485"/>
      <c r="H553" s="1485"/>
      <c r="I553" s="1485"/>
      <c r="J553" s="1485"/>
      <c r="K553" s="1485"/>
      <c r="L553" s="1485"/>
      <c r="M553" s="1485"/>
      <c r="N553" s="1485"/>
      <c r="O553" s="1485"/>
      <c r="P553" s="1485"/>
      <c r="Q553" s="1485"/>
      <c r="R553" s="1485"/>
      <c r="S553" s="1485"/>
      <c r="T553" s="1485"/>
      <c r="U553" s="1485"/>
      <c r="V553" s="1485"/>
      <c r="W553" s="1485"/>
      <c r="X553" s="1485"/>
      <c r="Y553" s="1485"/>
      <c r="Z553" s="1485"/>
      <c r="AA553" s="1485"/>
      <c r="AB553" s="1485"/>
      <c r="AC553" s="1485"/>
      <c r="AD553" s="1485"/>
      <c r="AE553" s="1485"/>
      <c r="AF553" s="1485"/>
      <c r="AG553" s="1485"/>
      <c r="AH553" s="1485"/>
      <c r="AI553" s="1485"/>
      <c r="AJ553" s="1485"/>
      <c r="AK553" s="1485"/>
      <c r="AL553" s="1485"/>
      <c r="AM553" s="1485"/>
      <c r="AN553" s="1485"/>
      <c r="AO553" s="1485"/>
      <c r="AP553" s="1485"/>
      <c r="AQ553" s="1485"/>
      <c r="AR553" s="1485"/>
      <c r="AS553" s="1485"/>
      <c r="AT553" s="1485"/>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12" t="s">
        <v>2052</v>
      </c>
      <c r="C559" s="1413"/>
      <c r="D559" s="1413"/>
      <c r="E559" s="1413"/>
      <c r="F559" s="1413"/>
      <c r="G559" s="1413"/>
      <c r="H559" s="1413"/>
      <c r="I559" s="1413"/>
      <c r="J559" s="1413"/>
      <c r="K559" s="1413"/>
      <c r="L559" s="1414"/>
      <c r="M559" s="1412" t="s">
        <v>2053</v>
      </c>
      <c r="N559" s="1413"/>
      <c r="O559" s="1413"/>
      <c r="P559" s="1414"/>
      <c r="Q559" s="1412" t="s">
        <v>2079</v>
      </c>
      <c r="R559" s="1413"/>
      <c r="S559" s="1414"/>
      <c r="T559" s="1412" t="s">
        <v>2080</v>
      </c>
      <c r="U559" s="1413"/>
      <c r="V559" s="1414"/>
      <c r="W559" s="1412" t="s">
        <v>453</v>
      </c>
      <c r="X559" s="1413"/>
      <c r="Y559" s="1414"/>
      <c r="Z559" s="1412" t="s">
        <v>1822</v>
      </c>
      <c r="AA559" s="1413"/>
      <c r="AB559" s="1413"/>
      <c r="AC559" s="1413"/>
      <c r="AD559" s="1414"/>
      <c r="AE559" s="1412" t="s">
        <v>1664</v>
      </c>
      <c r="AF559" s="1413"/>
      <c r="AG559" s="1413"/>
      <c r="AH559" s="1414"/>
      <c r="AI559" s="1412" t="s">
        <v>1665</v>
      </c>
      <c r="AJ559" s="1413"/>
      <c r="AK559" s="1413"/>
      <c r="AL559" s="1414"/>
      <c r="AM559" s="1412" t="s">
        <v>454</v>
      </c>
      <c r="AN559" s="1413"/>
      <c r="AO559" s="1413"/>
      <c r="AP559" s="1413"/>
      <c r="AQ559" s="1413"/>
      <c r="AR559" s="1413"/>
      <c r="AS559" s="1414"/>
      <c r="BB559" s="3"/>
      <c r="BC559" s="3"/>
      <c r="BD559" s="3"/>
      <c r="BE559" s="3"/>
      <c r="BF559" s="3"/>
      <c r="BG559" s="3"/>
      <c r="BH559" s="3" t="s">
        <v>581</v>
      </c>
      <c r="BI559" s="3" t="str">
        <f>AG665</f>
        <v>No</v>
      </c>
    </row>
    <row r="560" spans="1:66" ht="12.95" customHeight="1">
      <c r="B560" s="1415"/>
      <c r="C560" s="1416"/>
      <c r="D560" s="1416"/>
      <c r="E560" s="1416"/>
      <c r="F560" s="1416"/>
      <c r="G560" s="1416"/>
      <c r="H560" s="1416"/>
      <c r="I560" s="1416"/>
      <c r="J560" s="1416"/>
      <c r="K560" s="1416"/>
      <c r="L560" s="1417"/>
      <c r="M560" s="1415"/>
      <c r="N560" s="1416"/>
      <c r="O560" s="1416"/>
      <c r="P560" s="1417"/>
      <c r="Q560" s="1415"/>
      <c r="R560" s="1416"/>
      <c r="S560" s="1417"/>
      <c r="T560" s="1415"/>
      <c r="U560" s="1416"/>
      <c r="V560" s="1417"/>
      <c r="W560" s="1415"/>
      <c r="X560" s="1416"/>
      <c r="Y560" s="1417"/>
      <c r="Z560" s="1415"/>
      <c r="AA560" s="1416"/>
      <c r="AB560" s="1416"/>
      <c r="AC560" s="1416"/>
      <c r="AD560" s="1417"/>
      <c r="AE560" s="1415"/>
      <c r="AF560" s="1416"/>
      <c r="AG560" s="1416"/>
      <c r="AH560" s="1417"/>
      <c r="AI560" s="1415"/>
      <c r="AJ560" s="1416"/>
      <c r="AK560" s="1416"/>
      <c r="AL560" s="1417"/>
      <c r="AM560" s="1415"/>
      <c r="AN560" s="1416"/>
      <c r="AO560" s="1416"/>
      <c r="AP560" s="1416"/>
      <c r="AQ560" s="1416"/>
      <c r="AR560" s="1416"/>
      <c r="AS560" s="1417"/>
      <c r="AU560" s="1136"/>
      <c r="BB560" s="3"/>
      <c r="BC560" s="3"/>
      <c r="BD560" s="3"/>
      <c r="BE560" s="3"/>
      <c r="BF560" s="3"/>
      <c r="BG560" s="3"/>
      <c r="BH560" s="3"/>
      <c r="BI560" s="3"/>
    </row>
    <row r="561" spans="1:61" ht="12.95" customHeight="1">
      <c r="B561" s="1418"/>
      <c r="C561" s="1419"/>
      <c r="D561" s="1419"/>
      <c r="E561" s="1419"/>
      <c r="F561" s="1419"/>
      <c r="G561" s="1419"/>
      <c r="H561" s="1419"/>
      <c r="I561" s="1419"/>
      <c r="J561" s="1419"/>
      <c r="K561" s="1419"/>
      <c r="L561" s="1420"/>
      <c r="M561" s="1418"/>
      <c r="N561" s="1419"/>
      <c r="O561" s="1419"/>
      <c r="P561" s="1420"/>
      <c r="Q561" s="1418"/>
      <c r="R561" s="1419"/>
      <c r="S561" s="1420"/>
      <c r="T561" s="1418"/>
      <c r="U561" s="1419"/>
      <c r="V561" s="1420"/>
      <c r="W561" s="1418"/>
      <c r="X561" s="1419"/>
      <c r="Y561" s="1420"/>
      <c r="Z561" s="1418"/>
      <c r="AA561" s="1419"/>
      <c r="AB561" s="1419"/>
      <c r="AC561" s="1419"/>
      <c r="AD561" s="1420"/>
      <c r="AE561" s="1418"/>
      <c r="AF561" s="1419"/>
      <c r="AG561" s="1419"/>
      <c r="AH561" s="1420"/>
      <c r="AI561" s="1418"/>
      <c r="AJ561" s="1419"/>
      <c r="AK561" s="1419"/>
      <c r="AL561" s="1420"/>
      <c r="AM561" s="1418"/>
      <c r="AN561" s="1419"/>
      <c r="AO561" s="1419"/>
      <c r="AP561" s="1419"/>
      <c r="AQ561" s="1419"/>
      <c r="AR561" s="1419"/>
      <c r="AS561" s="1420"/>
      <c r="AU561" s="1136"/>
      <c r="BB561" s="3"/>
      <c r="BC561" s="3"/>
      <c r="BD561" s="3"/>
      <c r="BE561" s="3"/>
      <c r="BF561" s="3"/>
      <c r="BG561" s="3"/>
      <c r="BH561" s="3"/>
      <c r="BI561" s="3"/>
    </row>
    <row r="562" spans="1:61" ht="12.95" customHeight="1">
      <c r="B562" s="51" t="s">
        <v>112</v>
      </c>
      <c r="C562" s="1449" t="s">
        <v>2818</v>
      </c>
      <c r="D562" s="1449"/>
      <c r="E562" s="1449"/>
      <c r="F562" s="1449"/>
      <c r="G562" s="1449"/>
      <c r="H562" s="1449"/>
      <c r="I562" s="1449"/>
      <c r="J562" s="1449"/>
      <c r="K562" s="1449"/>
      <c r="L562" s="1449"/>
      <c r="M562" s="1449" t="s">
        <v>2069</v>
      </c>
      <c r="N562" s="1449"/>
      <c r="O562" s="1449"/>
      <c r="P562" s="1449"/>
      <c r="Q562" s="1444">
        <v>36</v>
      </c>
      <c r="R562" s="1444"/>
      <c r="S562" s="1445"/>
      <c r="T562" s="1443"/>
      <c r="U562" s="1444"/>
      <c r="V562" s="1445"/>
      <c r="W562" s="1481">
        <v>6.5000000000000002E-2</v>
      </c>
      <c r="X562" s="1482"/>
      <c r="Y562" s="1483"/>
      <c r="Z562" s="1649" t="s">
        <v>2836</v>
      </c>
      <c r="AA562" s="1649"/>
      <c r="AB562" s="1649"/>
      <c r="AC562" s="1649"/>
      <c r="AD562" s="1649"/>
      <c r="AE562" s="1472"/>
      <c r="AF562" s="1473"/>
      <c r="AG562" s="1473"/>
      <c r="AH562" s="1474"/>
      <c r="AI562" s="1440"/>
      <c r="AJ562" s="1441"/>
      <c r="AK562" s="1441"/>
      <c r="AL562" s="1442"/>
      <c r="AM562" s="1433">
        <v>14900000</v>
      </c>
      <c r="AN562" s="1434"/>
      <c r="AO562" s="1434"/>
      <c r="AP562" s="1434"/>
      <c r="AQ562" s="1434"/>
      <c r="AR562" s="1434"/>
      <c r="AS562" s="1435"/>
      <c r="AT562" s="1137"/>
      <c r="AU562" s="1136"/>
      <c r="BB562" s="3"/>
      <c r="BC562" s="3"/>
      <c r="BD562" s="3"/>
      <c r="BE562" s="3"/>
      <c r="BF562" s="3"/>
      <c r="BG562" s="3"/>
      <c r="BH562" s="3"/>
      <c r="BI562" s="3"/>
    </row>
    <row r="563" spans="1:61" ht="12.95" customHeight="1">
      <c r="B563" s="52" t="s">
        <v>113</v>
      </c>
      <c r="C563" s="1484" t="s">
        <v>2818</v>
      </c>
      <c r="D563" s="1484"/>
      <c r="E563" s="1484"/>
      <c r="F563" s="1484"/>
      <c r="G563" s="1484"/>
      <c r="H563" s="1484"/>
      <c r="I563" s="1484"/>
      <c r="J563" s="1484"/>
      <c r="K563" s="1484"/>
      <c r="L563" s="1484"/>
      <c r="M563" s="1449" t="s">
        <v>2068</v>
      </c>
      <c r="N563" s="1449"/>
      <c r="O563" s="1449"/>
      <c r="P563" s="1449"/>
      <c r="Q563" s="1443">
        <v>36</v>
      </c>
      <c r="R563" s="1444"/>
      <c r="S563" s="1445"/>
      <c r="T563" s="1443"/>
      <c r="U563" s="1444"/>
      <c r="V563" s="1445"/>
      <c r="W563" s="1481">
        <v>7.0000000000000007E-2</v>
      </c>
      <c r="X563" s="1482"/>
      <c r="Y563" s="1483"/>
      <c r="Z563" s="1649" t="s">
        <v>2836</v>
      </c>
      <c r="AA563" s="1649"/>
      <c r="AB563" s="1649"/>
      <c r="AC563" s="1649"/>
      <c r="AD563" s="1649"/>
      <c r="AE563" s="1472"/>
      <c r="AF563" s="1473"/>
      <c r="AG563" s="1473"/>
      <c r="AH563" s="1474"/>
      <c r="AI563" s="1440"/>
      <c r="AJ563" s="1441"/>
      <c r="AK563" s="1441"/>
      <c r="AL563" s="1442"/>
      <c r="AM563" s="1433">
        <v>19384852</v>
      </c>
      <c r="AN563" s="1434"/>
      <c r="AO563" s="1434"/>
      <c r="AP563" s="1434"/>
      <c r="AQ563" s="1434"/>
      <c r="AR563" s="1434"/>
      <c r="AS563" s="1435"/>
      <c r="AT563" s="1137" t="str">
        <f>IF(AND(NOT(C562=""),C563="",NOT(C564="")),"!","")</f>
        <v/>
      </c>
      <c r="AU563" s="1136"/>
      <c r="BB563" s="3"/>
      <c r="BC563" s="3"/>
      <c r="BD563" s="3"/>
      <c r="BE563" s="3"/>
      <c r="BF563" s="3"/>
      <c r="BG563" s="3"/>
      <c r="BH563" s="3"/>
      <c r="BI563" s="3"/>
    </row>
    <row r="564" spans="1:61" ht="12.95" customHeight="1">
      <c r="B564" s="52" t="s">
        <v>119</v>
      </c>
      <c r="C564" s="1484" t="s">
        <v>2832</v>
      </c>
      <c r="D564" s="1484"/>
      <c r="E564" s="1484"/>
      <c r="F564" s="1484"/>
      <c r="G564" s="1484"/>
      <c r="H564" s="1484"/>
      <c r="I564" s="1484"/>
      <c r="J564" s="1484"/>
      <c r="K564" s="1484"/>
      <c r="L564" s="1484"/>
      <c r="M564" s="1449" t="s">
        <v>2070</v>
      </c>
      <c r="N564" s="1449"/>
      <c r="O564" s="1449"/>
      <c r="P564" s="1449"/>
      <c r="Q564" s="1443">
        <v>36</v>
      </c>
      <c r="R564" s="1444"/>
      <c r="S564" s="1445"/>
      <c r="T564" s="1443"/>
      <c r="U564" s="1444"/>
      <c r="V564" s="1445"/>
      <c r="W564" s="1481">
        <v>7.0000000000000007E-2</v>
      </c>
      <c r="X564" s="1482"/>
      <c r="Y564" s="1483"/>
      <c r="Z564" s="1649" t="s">
        <v>2836</v>
      </c>
      <c r="AA564" s="1649"/>
      <c r="AB564" s="1649"/>
      <c r="AC564" s="1649"/>
      <c r="AD564" s="1649"/>
      <c r="AE564" s="1472"/>
      <c r="AF564" s="1473"/>
      <c r="AG564" s="1473"/>
      <c r="AH564" s="1474"/>
      <c r="AI564" s="1440"/>
      <c r="AJ564" s="1441"/>
      <c r="AK564" s="1441"/>
      <c r="AL564" s="1442"/>
      <c r="AM564" s="1433">
        <v>12000000</v>
      </c>
      <c r="AN564" s="1434"/>
      <c r="AO564" s="1434"/>
      <c r="AP564" s="1434"/>
      <c r="AQ564" s="1434"/>
      <c r="AR564" s="1434"/>
      <c r="AS564" s="1435"/>
      <c r="AT564" s="1137" t="str">
        <f>IF(AND(NOT(C563=""),C564="",NOT(C565="")),"!","")</f>
        <v/>
      </c>
      <c r="AU564" s="1136"/>
      <c r="BB564" s="3"/>
      <c r="BC564" s="3"/>
      <c r="BD564" s="3"/>
      <c r="BE564" s="3"/>
      <c r="BF564" s="3"/>
      <c r="BG564" s="3"/>
      <c r="BH564" s="3"/>
      <c r="BI564" s="3"/>
    </row>
    <row r="565" spans="1:61" ht="12.95" customHeight="1">
      <c r="B565" s="52" t="s">
        <v>581</v>
      </c>
      <c r="C565" s="1484" t="s">
        <v>2808</v>
      </c>
      <c r="D565" s="1484"/>
      <c r="E565" s="1484"/>
      <c r="F565" s="1484"/>
      <c r="G565" s="1484"/>
      <c r="H565" s="1484"/>
      <c r="I565" s="1484"/>
      <c r="J565" s="1484"/>
      <c r="K565" s="1484"/>
      <c r="L565" s="1484"/>
      <c r="M565" s="1449" t="s">
        <v>2060</v>
      </c>
      <c r="N565" s="1449"/>
      <c r="O565" s="1449"/>
      <c r="P565" s="1449"/>
      <c r="Q565" s="1443"/>
      <c r="R565" s="1444"/>
      <c r="S565" s="1445"/>
      <c r="T565" s="1443"/>
      <c r="U565" s="1444"/>
      <c r="V565" s="1445"/>
      <c r="W565" s="1481"/>
      <c r="X565" s="1482"/>
      <c r="Y565" s="1483"/>
      <c r="Z565" s="1649" t="s">
        <v>1183</v>
      </c>
      <c r="AA565" s="1649"/>
      <c r="AB565" s="1649"/>
      <c r="AC565" s="1649"/>
      <c r="AD565" s="1649"/>
      <c r="AE565" s="1472"/>
      <c r="AF565" s="1473"/>
      <c r="AG565" s="1473"/>
      <c r="AH565" s="1474"/>
      <c r="AI565" s="1440"/>
      <c r="AJ565" s="1441"/>
      <c r="AK565" s="1441"/>
      <c r="AL565" s="1442"/>
      <c r="AM565" s="1433">
        <v>2073795</v>
      </c>
      <c r="AN565" s="1434"/>
      <c r="AO565" s="1434"/>
      <c r="AP565" s="1434"/>
      <c r="AQ565" s="1434"/>
      <c r="AR565" s="1434"/>
      <c r="AS565" s="1435"/>
      <c r="AT565" s="1137" t="str">
        <f>IF(AND(NOT(C564=""),C565="",NOT(C566="")),"!","")</f>
        <v/>
      </c>
      <c r="AU565" s="1136"/>
      <c r="BB565" s="3"/>
      <c r="BC565" s="3"/>
      <c r="BD565" s="3"/>
      <c r="BE565" s="3"/>
      <c r="BF565" s="3"/>
      <c r="BG565" s="3"/>
      <c r="BH565" s="3"/>
      <c r="BI565" s="3"/>
    </row>
    <row r="566" spans="1:61" ht="12.95" customHeight="1">
      <c r="B566" s="52" t="s">
        <v>763</v>
      </c>
      <c r="C566" s="1484" t="s">
        <v>2738</v>
      </c>
      <c r="D566" s="1484"/>
      <c r="E566" s="1484"/>
      <c r="F566" s="1484"/>
      <c r="G566" s="1484"/>
      <c r="H566" s="1484"/>
      <c r="I566" s="1484"/>
      <c r="J566" s="1484"/>
      <c r="K566" s="1484"/>
      <c r="L566" s="1484"/>
      <c r="M566" s="1449" t="s">
        <v>2056</v>
      </c>
      <c r="N566" s="1449"/>
      <c r="O566" s="1449"/>
      <c r="P566" s="1449"/>
      <c r="Q566" s="1443"/>
      <c r="R566" s="1444"/>
      <c r="S566" s="1445"/>
      <c r="T566" s="1443"/>
      <c r="U566" s="1444"/>
      <c r="V566" s="1445"/>
      <c r="W566" s="1481"/>
      <c r="X566" s="1482"/>
      <c r="Y566" s="1483"/>
      <c r="Z566" s="1649" t="s">
        <v>1183</v>
      </c>
      <c r="AA566" s="1649"/>
      <c r="AB566" s="1649"/>
      <c r="AC566" s="1649"/>
      <c r="AD566" s="1649"/>
      <c r="AE566" s="1472"/>
      <c r="AF566" s="1473"/>
      <c r="AG566" s="1473"/>
      <c r="AH566" s="1474"/>
      <c r="AI566" s="1440"/>
      <c r="AJ566" s="1441"/>
      <c r="AK566" s="1441"/>
      <c r="AL566" s="1442"/>
      <c r="AM566" s="1433">
        <v>6502934</v>
      </c>
      <c r="AN566" s="1434"/>
      <c r="AO566" s="1434"/>
      <c r="AP566" s="1434"/>
      <c r="AQ566" s="1434"/>
      <c r="AR566" s="1434"/>
      <c r="AS566" s="1435"/>
      <c r="AT566" s="1137" t="str">
        <f t="shared" ref="AT566:AT573" si="1">IF(AND(NOT(C565=""),C566="",NOT(C567="")),"!","")</f>
        <v/>
      </c>
      <c r="AU566" s="1136"/>
      <c r="BB566" s="3"/>
      <c r="BC566" s="3"/>
      <c r="BD566" s="3"/>
      <c r="BE566" s="3"/>
      <c r="BF566" s="3"/>
      <c r="BG566" s="3"/>
      <c r="BH566" s="3" t="s">
        <v>763</v>
      </c>
      <c r="BI566" s="3" t="str">
        <f>N673</f>
        <v>No</v>
      </c>
    </row>
    <row r="567" spans="1:61" ht="12.95" customHeight="1">
      <c r="B567" s="52" t="s">
        <v>584</v>
      </c>
      <c r="C567" s="1484" t="s">
        <v>2698</v>
      </c>
      <c r="D567" s="1484"/>
      <c r="E567" s="1484"/>
      <c r="F567" s="1484"/>
      <c r="G567" s="1484"/>
      <c r="H567" s="1484"/>
      <c r="I567" s="1484"/>
      <c r="J567" s="1484"/>
      <c r="K567" s="1484"/>
      <c r="L567" s="1484"/>
      <c r="M567" s="1449" t="s">
        <v>2055</v>
      </c>
      <c r="N567" s="1449"/>
      <c r="O567" s="1449"/>
      <c r="P567" s="1449"/>
      <c r="Q567" s="1443"/>
      <c r="R567" s="1444"/>
      <c r="S567" s="1445"/>
      <c r="T567" s="1443"/>
      <c r="U567" s="1444"/>
      <c r="V567" s="1445"/>
      <c r="W567" s="1481"/>
      <c r="X567" s="1482"/>
      <c r="Y567" s="1483"/>
      <c r="Z567" s="1649" t="s">
        <v>1183</v>
      </c>
      <c r="AA567" s="1649"/>
      <c r="AB567" s="1649"/>
      <c r="AC567" s="1649"/>
      <c r="AD567" s="1649"/>
      <c r="AE567" s="1472"/>
      <c r="AF567" s="1473"/>
      <c r="AG567" s="1473"/>
      <c r="AH567" s="1474"/>
      <c r="AI567" s="1440"/>
      <c r="AJ567" s="1441"/>
      <c r="AK567" s="1441"/>
      <c r="AL567" s="1442"/>
      <c r="AM567" s="1433">
        <v>1044992</v>
      </c>
      <c r="AN567" s="1434"/>
      <c r="AO567" s="1434"/>
      <c r="AP567" s="1434"/>
      <c r="AQ567" s="1434"/>
      <c r="AR567" s="1434"/>
      <c r="AS567" s="1435"/>
      <c r="AT567" s="1137" t="str">
        <f t="shared" si="1"/>
        <v/>
      </c>
      <c r="AU567" s="1136"/>
      <c r="BB567" s="3"/>
      <c r="BC567" s="3"/>
      <c r="BD567" s="3"/>
      <c r="BE567" s="3"/>
      <c r="BF567" s="3"/>
      <c r="BG567" s="3"/>
      <c r="BH567" s="3" t="s">
        <v>584</v>
      </c>
      <c r="BI567" s="3" t="str">
        <f>AG673</f>
        <v>No</v>
      </c>
    </row>
    <row r="568" spans="1:61" ht="12.95" customHeight="1">
      <c r="B568" s="52" t="s">
        <v>455</v>
      </c>
      <c r="C568" s="1484"/>
      <c r="D568" s="1484"/>
      <c r="E568" s="1484"/>
      <c r="F568" s="1484"/>
      <c r="G568" s="1484"/>
      <c r="H568" s="1484"/>
      <c r="I568" s="1484"/>
      <c r="J568" s="1484"/>
      <c r="K568" s="1484"/>
      <c r="L568" s="1484"/>
      <c r="M568" s="1449" t="s">
        <v>1183</v>
      </c>
      <c r="N568" s="1449"/>
      <c r="O568" s="1449"/>
      <c r="P568" s="1449"/>
      <c r="Q568" s="1443"/>
      <c r="R568" s="1444"/>
      <c r="S568" s="1445"/>
      <c r="T568" s="1443"/>
      <c r="U568" s="1444"/>
      <c r="V568" s="1445"/>
      <c r="W568" s="1481"/>
      <c r="X568" s="1482"/>
      <c r="Y568" s="1483"/>
      <c r="Z568" s="1649" t="s">
        <v>1183</v>
      </c>
      <c r="AA568" s="1649"/>
      <c r="AB568" s="1649"/>
      <c r="AC568" s="1649"/>
      <c r="AD568" s="1649"/>
      <c r="AE568" s="1472"/>
      <c r="AF568" s="1473"/>
      <c r="AG568" s="1473"/>
      <c r="AH568" s="1474"/>
      <c r="AI568" s="1440"/>
      <c r="AJ568" s="1441"/>
      <c r="AK568" s="1441"/>
      <c r="AL568" s="1442"/>
      <c r="AM568" s="1433"/>
      <c r="AN568" s="1434"/>
      <c r="AO568" s="1434"/>
      <c r="AP568" s="1434"/>
      <c r="AQ568" s="1434"/>
      <c r="AR568" s="1434"/>
      <c r="AS568" s="1435"/>
      <c r="AT568" s="1137" t="str">
        <f t="shared" si="1"/>
        <v/>
      </c>
      <c r="AU568" s="1136"/>
      <c r="BB568" s="3"/>
      <c r="BC568" s="3"/>
      <c r="BD568" s="3"/>
      <c r="BE568" s="3"/>
      <c r="BF568" s="3"/>
      <c r="BG568" s="3"/>
      <c r="BH568" s="3"/>
      <c r="BI568" s="3"/>
    </row>
    <row r="569" spans="1:61" ht="12.95" customHeight="1">
      <c r="B569" s="52" t="s">
        <v>456</v>
      </c>
      <c r="C569" s="1484"/>
      <c r="D569" s="1484"/>
      <c r="E569" s="1484"/>
      <c r="F569" s="1484"/>
      <c r="G569" s="1484"/>
      <c r="H569" s="1484"/>
      <c r="I569" s="1484"/>
      <c r="J569" s="1484"/>
      <c r="K569" s="1484"/>
      <c r="L569" s="1484"/>
      <c r="M569" s="1449" t="s">
        <v>1183</v>
      </c>
      <c r="N569" s="1449"/>
      <c r="O569" s="1449"/>
      <c r="P569" s="1449"/>
      <c r="Q569" s="1443"/>
      <c r="R569" s="1444"/>
      <c r="S569" s="1445"/>
      <c r="T569" s="1443"/>
      <c r="U569" s="1444"/>
      <c r="V569" s="1445"/>
      <c r="W569" s="1481"/>
      <c r="X569" s="1482"/>
      <c r="Y569" s="1483"/>
      <c r="Z569" s="1649" t="s">
        <v>1183</v>
      </c>
      <c r="AA569" s="1649"/>
      <c r="AB569" s="1649"/>
      <c r="AC569" s="1649"/>
      <c r="AD569" s="1649"/>
      <c r="AE569" s="1472"/>
      <c r="AF569" s="1473"/>
      <c r="AG569" s="1473"/>
      <c r="AH569" s="1474"/>
      <c r="AI569" s="1440"/>
      <c r="AJ569" s="1441"/>
      <c r="AK569" s="1441"/>
      <c r="AL569" s="1442"/>
      <c r="AM569" s="1433"/>
      <c r="AN569" s="1434"/>
      <c r="AO569" s="1434"/>
      <c r="AP569" s="1434"/>
      <c r="AQ569" s="1434"/>
      <c r="AR569" s="1434"/>
      <c r="AS569" s="1435"/>
      <c r="AT569" s="1137" t="str">
        <f t="shared" si="1"/>
        <v/>
      </c>
      <c r="AU569" s="1136"/>
      <c r="BB569" s="3"/>
      <c r="BC569" s="3"/>
      <c r="BD569" s="3"/>
      <c r="BE569" s="3"/>
      <c r="BF569" s="3"/>
      <c r="BG569" s="3"/>
      <c r="BH569" s="3"/>
      <c r="BI569" s="3"/>
    </row>
    <row r="570" spans="1:61" ht="12.95" customHeight="1">
      <c r="B570" s="52" t="s">
        <v>461</v>
      </c>
      <c r="C570" s="1484"/>
      <c r="D570" s="1484"/>
      <c r="E570" s="1484"/>
      <c r="F570" s="1484"/>
      <c r="G570" s="1484"/>
      <c r="H570" s="1484"/>
      <c r="I570" s="1484"/>
      <c r="J570" s="1484"/>
      <c r="K570" s="1484"/>
      <c r="L570" s="1484"/>
      <c r="M570" s="1449" t="s">
        <v>1183</v>
      </c>
      <c r="N570" s="1449"/>
      <c r="O570" s="1449"/>
      <c r="P570" s="1449"/>
      <c r="Q570" s="1443"/>
      <c r="R570" s="1444"/>
      <c r="S570" s="1445"/>
      <c r="T570" s="1443"/>
      <c r="U570" s="1444"/>
      <c r="V570" s="1445"/>
      <c r="W570" s="1481"/>
      <c r="X570" s="1482"/>
      <c r="Y570" s="1483"/>
      <c r="Z570" s="1649" t="s">
        <v>1183</v>
      </c>
      <c r="AA570" s="1649"/>
      <c r="AB570" s="1649"/>
      <c r="AC570" s="1649"/>
      <c r="AD570" s="1649"/>
      <c r="AE570" s="1472"/>
      <c r="AF570" s="1473"/>
      <c r="AG570" s="1473"/>
      <c r="AH570" s="1474"/>
      <c r="AI570" s="1440"/>
      <c r="AJ570" s="1441"/>
      <c r="AK570" s="1441"/>
      <c r="AL570" s="1442"/>
      <c r="AM570" s="1433"/>
      <c r="AN570" s="1434"/>
      <c r="AO570" s="1434"/>
      <c r="AP570" s="1434"/>
      <c r="AQ570" s="1434"/>
      <c r="AR570" s="1434"/>
      <c r="AS570" s="1435"/>
      <c r="AT570" s="1137" t="str">
        <f t="shared" si="1"/>
        <v/>
      </c>
      <c r="AU570" s="1136"/>
      <c r="BB570" s="3"/>
      <c r="BC570" s="3"/>
      <c r="BD570" s="3"/>
      <c r="BE570" s="3"/>
      <c r="BF570" s="3"/>
      <c r="BG570" s="3"/>
      <c r="BH570" s="3"/>
      <c r="BI570" s="3"/>
    </row>
    <row r="571" spans="1:61" ht="12.95" customHeight="1">
      <c r="B571" s="52" t="s">
        <v>646</v>
      </c>
      <c r="C571" s="1484"/>
      <c r="D571" s="1484"/>
      <c r="E571" s="1484"/>
      <c r="F571" s="1484"/>
      <c r="G571" s="1484"/>
      <c r="H571" s="1484"/>
      <c r="I571" s="1484"/>
      <c r="J571" s="1484"/>
      <c r="K571" s="1484"/>
      <c r="L571" s="1484"/>
      <c r="M571" s="1449" t="s">
        <v>1183</v>
      </c>
      <c r="N571" s="1449"/>
      <c r="O571" s="1449"/>
      <c r="P571" s="1449"/>
      <c r="Q571" s="1443"/>
      <c r="R571" s="1444"/>
      <c r="S571" s="1445"/>
      <c r="T571" s="1443"/>
      <c r="U571" s="1444"/>
      <c r="V571" s="1445"/>
      <c r="W571" s="1481"/>
      <c r="X571" s="1482"/>
      <c r="Y571" s="1483"/>
      <c r="Z571" s="1649" t="s">
        <v>1183</v>
      </c>
      <c r="AA571" s="1649"/>
      <c r="AB571" s="1649"/>
      <c r="AC571" s="1649"/>
      <c r="AD571" s="1649"/>
      <c r="AE571" s="1472"/>
      <c r="AF571" s="1473"/>
      <c r="AG571" s="1473"/>
      <c r="AH571" s="1474"/>
      <c r="AI571" s="1440"/>
      <c r="AJ571" s="1441"/>
      <c r="AK571" s="1441"/>
      <c r="AL571" s="1442"/>
      <c r="AM571" s="1433"/>
      <c r="AN571" s="1434"/>
      <c r="AO571" s="1434"/>
      <c r="AP571" s="1434"/>
      <c r="AQ571" s="1434"/>
      <c r="AR571" s="1434"/>
      <c r="AS571" s="1435"/>
      <c r="AT571" s="1137" t="str">
        <f t="shared" si="1"/>
        <v/>
      </c>
      <c r="BB571" s="3"/>
      <c r="BC571" s="3"/>
      <c r="BD571" s="3"/>
      <c r="BE571" s="3"/>
      <c r="BF571" s="3"/>
      <c r="BG571" s="3"/>
      <c r="BH571" s="3"/>
      <c r="BI571" s="3"/>
    </row>
    <row r="572" spans="1:61" ht="12.95" customHeight="1">
      <c r="B572" s="52" t="s">
        <v>362</v>
      </c>
      <c r="C572" s="1484"/>
      <c r="D572" s="1484"/>
      <c r="E572" s="1484"/>
      <c r="F572" s="1484"/>
      <c r="G572" s="1484"/>
      <c r="H572" s="1484"/>
      <c r="I572" s="1484"/>
      <c r="J572" s="1484"/>
      <c r="K572" s="1484"/>
      <c r="L572" s="1484"/>
      <c r="M572" s="1449" t="s">
        <v>1183</v>
      </c>
      <c r="N572" s="1449"/>
      <c r="O572" s="1449"/>
      <c r="P572" s="1449"/>
      <c r="Q572" s="1443"/>
      <c r="R572" s="1444"/>
      <c r="S572" s="1445"/>
      <c r="T572" s="1443"/>
      <c r="U572" s="1444"/>
      <c r="V572" s="1445"/>
      <c r="W572" s="1481"/>
      <c r="X572" s="1482"/>
      <c r="Y572" s="1483"/>
      <c r="Z572" s="1649" t="s">
        <v>1183</v>
      </c>
      <c r="AA572" s="1649"/>
      <c r="AB572" s="1649"/>
      <c r="AC572" s="1649"/>
      <c r="AD572" s="1649"/>
      <c r="AE572" s="1472"/>
      <c r="AF572" s="1473"/>
      <c r="AG572" s="1473"/>
      <c r="AH572" s="1474"/>
      <c r="AI572" s="1440"/>
      <c r="AJ572" s="1441"/>
      <c r="AK572" s="1441"/>
      <c r="AL572" s="1442"/>
      <c r="AM572" s="1433"/>
      <c r="AN572" s="1434"/>
      <c r="AO572" s="1434"/>
      <c r="AP572" s="1434"/>
      <c r="AQ572" s="1434"/>
      <c r="AR572" s="1434"/>
      <c r="AS572" s="1435"/>
      <c r="AT572" s="1137" t="str">
        <f t="shared" si="1"/>
        <v/>
      </c>
      <c r="BB572" s="3"/>
      <c r="BC572" s="3"/>
      <c r="BD572" s="3"/>
      <c r="BE572" s="3"/>
      <c r="BF572" s="3"/>
      <c r="BG572" s="3"/>
      <c r="BH572" s="3"/>
      <c r="BI572" s="3"/>
    </row>
    <row r="573" spans="1:61" ht="12.95" customHeight="1">
      <c r="B573" s="52" t="s">
        <v>363</v>
      </c>
      <c r="C573" s="1484"/>
      <c r="D573" s="1484"/>
      <c r="E573" s="1484"/>
      <c r="F573" s="1484"/>
      <c r="G573" s="1484"/>
      <c r="H573" s="1484"/>
      <c r="I573" s="1484"/>
      <c r="J573" s="1484"/>
      <c r="K573" s="1484"/>
      <c r="L573" s="1484"/>
      <c r="M573" s="1449" t="s">
        <v>1183</v>
      </c>
      <c r="N573" s="1449"/>
      <c r="O573" s="1449"/>
      <c r="P573" s="1449"/>
      <c r="Q573" s="1443"/>
      <c r="R573" s="1444"/>
      <c r="S573" s="1445"/>
      <c r="T573" s="1443"/>
      <c r="U573" s="1444"/>
      <c r="V573" s="1445"/>
      <c r="W573" s="1481"/>
      <c r="X573" s="1482"/>
      <c r="Y573" s="1483"/>
      <c r="Z573" s="1649" t="s">
        <v>1183</v>
      </c>
      <c r="AA573" s="1649"/>
      <c r="AB573" s="1649"/>
      <c r="AC573" s="1649"/>
      <c r="AD573" s="1649"/>
      <c r="AE573" s="1472"/>
      <c r="AF573" s="1473"/>
      <c r="AG573" s="1473"/>
      <c r="AH573" s="1474"/>
      <c r="AI573" s="1440"/>
      <c r="AJ573" s="1441"/>
      <c r="AK573" s="1441"/>
      <c r="AL573" s="1442"/>
      <c r="AM573" s="1433"/>
      <c r="AN573" s="1434"/>
      <c r="AO573" s="1434"/>
      <c r="AP573" s="1434"/>
      <c r="AQ573" s="1434"/>
      <c r="AR573" s="1434"/>
      <c r="AS573" s="1435"/>
      <c r="AT573" s="1137" t="str">
        <f t="shared" si="1"/>
        <v/>
      </c>
      <c r="BB573" s="3"/>
      <c r="BC573" s="3"/>
      <c r="BD573" s="3"/>
      <c r="BE573" s="3"/>
      <c r="BF573" s="3"/>
      <c r="BG573" s="3"/>
      <c r="BH573" s="3"/>
      <c r="BI573" s="3"/>
    </row>
    <row r="574" spans="1:61" ht="12.95" customHeight="1">
      <c r="B574" s="1630" t="s">
        <v>127</v>
      </c>
      <c r="C574" s="1631"/>
      <c r="D574" s="1631"/>
      <c r="E574" s="1631"/>
      <c r="F574" s="1631"/>
      <c r="G574" s="1631"/>
      <c r="H574" s="1631"/>
      <c r="I574" s="1631"/>
      <c r="J574" s="1631"/>
      <c r="K574" s="1631"/>
      <c r="L574" s="1631"/>
      <c r="M574" s="1631"/>
      <c r="N574" s="1631"/>
      <c r="O574" s="1631"/>
      <c r="P574" s="1631"/>
      <c r="Q574" s="1631"/>
      <c r="R574" s="1631"/>
      <c r="S574" s="1631"/>
      <c r="T574" s="1631"/>
      <c r="U574" s="1646"/>
      <c r="V574" s="1631"/>
      <c r="W574" s="1631"/>
      <c r="X574" s="1631"/>
      <c r="Y574" s="1631"/>
      <c r="Z574" s="1631"/>
      <c r="AA574" s="1631"/>
      <c r="AB574" s="1631"/>
      <c r="AC574" s="1631"/>
      <c r="AD574" s="1631"/>
      <c r="AE574" s="1631"/>
      <c r="AF574" s="1631"/>
      <c r="AG574" s="1631"/>
      <c r="AH574" s="1631"/>
      <c r="AI574" s="1631"/>
      <c r="AJ574" s="1631"/>
      <c r="AK574" s="1631"/>
      <c r="AL574" s="1632"/>
      <c r="AM574" s="1499">
        <f>SUM(AM562:AS573)</f>
        <v>55906573</v>
      </c>
      <c r="AN574" s="1500"/>
      <c r="AO574" s="1500"/>
      <c r="AP574" s="1500"/>
      <c r="AQ574" s="1500"/>
      <c r="AR574" s="1500"/>
      <c r="AS574" s="1501"/>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439" t="str">
        <f>C562</f>
        <v>Citibank, N.A.</v>
      </c>
      <c r="H576" s="1439"/>
      <c r="I576" s="1439"/>
      <c r="J576" s="1439"/>
      <c r="K576" s="1439"/>
      <c r="L576" s="1439"/>
      <c r="M576" s="1439"/>
      <c r="N576" s="1439"/>
      <c r="O576" s="1439"/>
      <c r="P576" s="1439"/>
      <c r="Q576" s="1439"/>
      <c r="R576" s="1439"/>
      <c r="S576" s="8"/>
      <c r="T576" s="55" t="s">
        <v>113</v>
      </c>
      <c r="U576" t="s">
        <v>463</v>
      </c>
      <c r="Z576" s="1439" t="str">
        <f>C563</f>
        <v>Citibank, N.A.</v>
      </c>
      <c r="AA576" s="1439"/>
      <c r="AB576" s="1439"/>
      <c r="AC576" s="1439"/>
      <c r="AD576" s="1439"/>
      <c r="AE576" s="1439"/>
      <c r="AF576" s="1439"/>
      <c r="AG576" s="1439"/>
      <c r="AH576" s="1439"/>
      <c r="AI576" s="1439"/>
      <c r="AJ576" s="1439"/>
      <c r="AK576" s="1439"/>
      <c r="BB576" s="3"/>
      <c r="BC576" s="3"/>
      <c r="BD576" s="3"/>
      <c r="BE576" s="3"/>
      <c r="BF576" s="3"/>
      <c r="BG576" s="3"/>
      <c r="BH576" s="3"/>
      <c r="BI576" s="3"/>
    </row>
    <row r="577" spans="1:61" ht="12.95" customHeight="1">
      <c r="A577" s="22"/>
      <c r="B577" t="s">
        <v>85</v>
      </c>
      <c r="G577" s="1428" t="s">
        <v>2819</v>
      </c>
      <c r="H577" s="1428"/>
      <c r="I577" s="1428"/>
      <c r="J577" s="1428"/>
      <c r="K577" s="1428"/>
      <c r="L577" s="1428"/>
      <c r="M577" s="1428"/>
      <c r="N577" s="1428"/>
      <c r="O577" s="1428"/>
      <c r="P577" s="1428"/>
      <c r="Q577" s="1428"/>
      <c r="R577" s="1428"/>
      <c r="S577" s="8"/>
      <c r="T577" s="22"/>
      <c r="U577" t="s">
        <v>85</v>
      </c>
      <c r="Z577" s="1428" t="s">
        <v>2819</v>
      </c>
      <c r="AA577" s="1428"/>
      <c r="AB577" s="1428"/>
      <c r="AC577" s="1428"/>
      <c r="AD577" s="1428"/>
      <c r="AE577" s="1428"/>
      <c r="AF577" s="1428"/>
      <c r="AG577" s="1428"/>
      <c r="AH577" s="1428"/>
      <c r="AI577" s="1428"/>
      <c r="AJ577" s="1428"/>
      <c r="AK577" s="1428"/>
      <c r="BB577" s="3"/>
      <c r="BC577" s="3"/>
      <c r="BD577" s="3"/>
      <c r="BE577" s="3"/>
      <c r="BF577" s="3"/>
      <c r="BG577" s="3"/>
      <c r="BH577" s="3"/>
      <c r="BI577" s="3"/>
    </row>
    <row r="578" spans="1:61" ht="12.95" customHeight="1">
      <c r="A578" s="22"/>
      <c r="B578" t="s">
        <v>580</v>
      </c>
      <c r="G578" s="1428" t="s">
        <v>2820</v>
      </c>
      <c r="H578" s="1428"/>
      <c r="I578" s="1428"/>
      <c r="J578" s="1428"/>
      <c r="K578" s="1428"/>
      <c r="L578" s="1428"/>
      <c r="M578" s="1428"/>
      <c r="N578" s="1428"/>
      <c r="O578" s="1428"/>
      <c r="P578" s="1428"/>
      <c r="Q578" s="1428"/>
      <c r="R578" s="1428"/>
      <c r="T578" s="22"/>
      <c r="U578" t="s">
        <v>580</v>
      </c>
      <c r="Z578" s="1408" t="s">
        <v>2820</v>
      </c>
      <c r="AA578" s="1408"/>
      <c r="AB578" s="1408"/>
      <c r="AC578" s="1408"/>
      <c r="AD578" s="1408"/>
      <c r="AE578" s="1408"/>
      <c r="AF578" s="1408"/>
      <c r="AG578" s="1408"/>
      <c r="AH578" s="1408"/>
      <c r="AI578" s="1408"/>
      <c r="AJ578" s="1408"/>
      <c r="AK578" s="1408"/>
      <c r="BB578" s="3"/>
      <c r="BC578" s="3"/>
      <c r="BD578" s="3"/>
      <c r="BE578" s="3"/>
      <c r="BF578" s="3"/>
      <c r="BG578" s="3"/>
      <c r="BH578" s="3"/>
      <c r="BI578" s="3"/>
    </row>
    <row r="579" spans="1:61" ht="12.95" customHeight="1">
      <c r="A579" s="22"/>
      <c r="B579" t="s">
        <v>17</v>
      </c>
      <c r="G579" s="1428" t="s">
        <v>2821</v>
      </c>
      <c r="H579" s="1428"/>
      <c r="I579" s="1428"/>
      <c r="J579" s="1428"/>
      <c r="K579" s="1428"/>
      <c r="L579" s="1428"/>
      <c r="M579" s="1428"/>
      <c r="N579" s="1428"/>
      <c r="O579" s="1428"/>
      <c r="P579" s="1428"/>
      <c r="Q579" s="1428"/>
      <c r="R579" s="1428"/>
      <c r="S579" s="8"/>
      <c r="T579" s="22"/>
      <c r="U579" t="s">
        <v>17</v>
      </c>
      <c r="Z579" s="1408" t="s">
        <v>2821</v>
      </c>
      <c r="AA579" s="1408"/>
      <c r="AB579" s="1408"/>
      <c r="AC579" s="1408"/>
      <c r="AD579" s="1408"/>
      <c r="AE579" s="1408"/>
      <c r="AF579" s="1408"/>
      <c r="AG579" s="1408"/>
      <c r="AH579" s="1408"/>
      <c r="AI579" s="1408"/>
      <c r="AJ579" s="1408"/>
      <c r="AK579" s="1408"/>
      <c r="BB579" s="3"/>
      <c r="BC579" s="3"/>
      <c r="BD579" s="3"/>
      <c r="BE579" s="3"/>
      <c r="BF579" s="3"/>
      <c r="BG579" s="3"/>
      <c r="BH579" s="3"/>
      <c r="BI579" s="3"/>
    </row>
    <row r="580" spans="1:61" ht="12.95" customHeight="1">
      <c r="A580" s="22"/>
      <c r="B580" t="s">
        <v>316</v>
      </c>
      <c r="G580" s="1496" t="s">
        <v>2822</v>
      </c>
      <c r="H580" s="1424"/>
      <c r="I580" s="1424"/>
      <c r="J580" s="1424"/>
      <c r="K580" s="1424"/>
      <c r="L580" s="1424"/>
      <c r="O580" s="33" t="s">
        <v>206</v>
      </c>
      <c r="P580" s="1406"/>
      <c r="Q580" s="1406"/>
      <c r="R580" s="1406"/>
      <c r="S580" s="10"/>
      <c r="T580" s="22"/>
      <c r="U580" t="s">
        <v>316</v>
      </c>
      <c r="Z580" s="1424" t="s">
        <v>2822</v>
      </c>
      <c r="AA580" s="1424"/>
      <c r="AB580" s="1424"/>
      <c r="AC580" s="1424"/>
      <c r="AD580" s="1424"/>
      <c r="AE580" s="1424"/>
      <c r="AH580" s="33" t="s">
        <v>206</v>
      </c>
      <c r="AI580" s="1406"/>
      <c r="AJ580" s="1406"/>
      <c r="AK580" s="1406"/>
      <c r="BB580" s="3"/>
      <c r="BC580" s="3"/>
      <c r="BD580" s="3"/>
      <c r="BE580" s="3"/>
      <c r="BF580" s="3"/>
      <c r="BG580" s="3"/>
      <c r="BH580" s="3"/>
      <c r="BI580" s="3"/>
    </row>
    <row r="581" spans="1:61" ht="12.95" customHeight="1">
      <c r="A581" s="22"/>
      <c r="B581" t="s">
        <v>18</v>
      </c>
      <c r="H581" s="1428" t="s">
        <v>2762</v>
      </c>
      <c r="I581" s="1428"/>
      <c r="J581" s="1428"/>
      <c r="K581" s="1428"/>
      <c r="L581" s="1428"/>
      <c r="M581" s="1428"/>
      <c r="N581" s="1428"/>
      <c r="O581" s="1428"/>
      <c r="P581" s="1428"/>
      <c r="Q581" s="1428"/>
      <c r="R581" s="1428"/>
      <c r="S581" s="8"/>
      <c r="T581" s="22"/>
      <c r="U581" t="s">
        <v>18</v>
      </c>
      <c r="AA581" s="1428" t="s">
        <v>2763</v>
      </c>
      <c r="AB581" s="1428"/>
      <c r="AC581" s="1428"/>
      <c r="AD581" s="1428"/>
      <c r="AE581" s="1428"/>
      <c r="AF581" s="1428"/>
      <c r="AG581" s="1428"/>
      <c r="AH581" s="1428"/>
      <c r="AI581" s="1428"/>
      <c r="AJ581" s="1428"/>
      <c r="AK581" s="1428"/>
      <c r="BB581" s="3"/>
      <c r="BC581" s="3"/>
      <c r="BD581" s="3"/>
      <c r="BE581" s="3"/>
      <c r="BF581" s="3"/>
      <c r="BG581" s="3"/>
      <c r="BH581" s="3"/>
      <c r="BI581" s="3"/>
    </row>
    <row r="582" spans="1:61" ht="12.95" customHeight="1">
      <c r="A582" s="22"/>
      <c r="B582" s="317" t="s">
        <v>1184</v>
      </c>
      <c r="H582" s="8"/>
      <c r="I582" s="8"/>
      <c r="J582" s="8"/>
      <c r="K582" s="8"/>
      <c r="L582" s="8"/>
      <c r="M582" s="1648"/>
      <c r="N582" s="1648"/>
      <c r="O582" s="1648"/>
      <c r="P582" s="1648"/>
      <c r="Q582" s="1648"/>
      <c r="R582" s="1648"/>
      <c r="S582" s="8"/>
      <c r="T582" s="22"/>
      <c r="U582" s="317" t="s">
        <v>1184</v>
      </c>
      <c r="AA582" s="8"/>
      <c r="AB582" s="8"/>
      <c r="AC582" s="8"/>
      <c r="AD582" s="8"/>
      <c r="AE582" s="8"/>
      <c r="AF582" s="1648"/>
      <c r="AG582" s="1648"/>
      <c r="AH582" s="1648"/>
      <c r="AI582" s="1648"/>
      <c r="AJ582" s="1648"/>
      <c r="AK582" s="1648"/>
      <c r="BB582" s="3"/>
      <c r="BC582" s="3"/>
      <c r="BD582" s="3"/>
      <c r="BE582" s="3"/>
      <c r="BF582" s="3"/>
      <c r="BG582" s="3"/>
      <c r="BH582" s="3"/>
      <c r="BI582" s="3"/>
    </row>
    <row r="583" spans="1:61" ht="12.95" customHeight="1">
      <c r="A583" s="22"/>
      <c r="B583" t="s">
        <v>20</v>
      </c>
      <c r="N583" s="1285" t="s">
        <v>545</v>
      </c>
      <c r="O583" s="1285"/>
      <c r="T583" s="22"/>
      <c r="U583" t="s">
        <v>20</v>
      </c>
      <c r="AG583" s="1285" t="s">
        <v>545</v>
      </c>
      <c r="AH583" s="1285"/>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439" t="str">
        <f>C564</f>
        <v>Bonneville Multifamily Capital</v>
      </c>
      <c r="H585" s="1439"/>
      <c r="I585" s="1439"/>
      <c r="J585" s="1439"/>
      <c r="K585" s="1439"/>
      <c r="L585" s="1439"/>
      <c r="M585" s="1439"/>
      <c r="N585" s="1439"/>
      <c r="O585" s="1439"/>
      <c r="P585" s="1439"/>
      <c r="Q585" s="1439"/>
      <c r="R585" s="1439"/>
      <c r="T585" s="55" t="s">
        <v>581</v>
      </c>
      <c r="U585" t="s">
        <v>463</v>
      </c>
      <c r="Z585" s="1439" t="str">
        <f>C565</f>
        <v>Boston Financial</v>
      </c>
      <c r="AA585" s="1439"/>
      <c r="AB585" s="1439"/>
      <c r="AC585" s="1439"/>
      <c r="AD585" s="1439"/>
      <c r="AE585" s="1439"/>
      <c r="AF585" s="1439"/>
      <c r="AG585" s="1439"/>
      <c r="AH585" s="1439"/>
      <c r="AI585" s="1439"/>
      <c r="AJ585" s="1439"/>
      <c r="AK585" s="1439"/>
      <c r="BB585" s="3"/>
      <c r="BC585" s="3"/>
    </row>
    <row r="586" spans="1:61" ht="12.95" customHeight="1">
      <c r="A586" s="22"/>
      <c r="B586" t="s">
        <v>85</v>
      </c>
      <c r="G586" s="1428" t="s">
        <v>2833</v>
      </c>
      <c r="H586" s="1428"/>
      <c r="I586" s="1428"/>
      <c r="J586" s="1428"/>
      <c r="K586" s="1428"/>
      <c r="L586" s="1428"/>
      <c r="M586" s="1428"/>
      <c r="N586" s="1428"/>
      <c r="O586" s="1428"/>
      <c r="P586" s="1428"/>
      <c r="Q586" s="1428"/>
      <c r="R586" s="1428"/>
      <c r="T586" s="22"/>
      <c r="U586" t="s">
        <v>85</v>
      </c>
      <c r="Z586" s="1428" t="s">
        <v>2823</v>
      </c>
      <c r="AA586" s="1428"/>
      <c r="AB586" s="1428"/>
      <c r="AC586" s="1428"/>
      <c r="AD586" s="1428"/>
      <c r="AE586" s="1428"/>
      <c r="AF586" s="1428"/>
      <c r="AG586" s="1428"/>
      <c r="AH586" s="1428"/>
      <c r="AI586" s="1428"/>
      <c r="AJ586" s="1428"/>
      <c r="AK586" s="1428"/>
      <c r="BB586" s="3"/>
      <c r="BC586" s="3"/>
    </row>
    <row r="587" spans="1:61" ht="12.95" customHeight="1">
      <c r="A587" s="22"/>
      <c r="B587" t="s">
        <v>580</v>
      </c>
      <c r="G587" s="1408" t="s">
        <v>2834</v>
      </c>
      <c r="H587" s="1408"/>
      <c r="I587" s="1408"/>
      <c r="J587" s="1408"/>
      <c r="K587" s="1408"/>
      <c r="L587" s="1408"/>
      <c r="M587" s="1408"/>
      <c r="N587" s="1408"/>
      <c r="O587" s="1408"/>
      <c r="P587" s="1408"/>
      <c r="Q587" s="1408"/>
      <c r="R587" s="1408"/>
      <c r="T587" s="22"/>
      <c r="U587" t="s">
        <v>580</v>
      </c>
      <c r="Z587" s="1428" t="s">
        <v>2824</v>
      </c>
      <c r="AA587" s="1428"/>
      <c r="AB587" s="1428"/>
      <c r="AC587" s="1428"/>
      <c r="AD587" s="1428"/>
      <c r="AE587" s="1428"/>
      <c r="AF587" s="1428"/>
      <c r="AG587" s="1428"/>
      <c r="AH587" s="1428"/>
      <c r="AI587" s="1428"/>
      <c r="AJ587" s="1428"/>
      <c r="AK587" s="1428"/>
      <c r="BB587" s="3"/>
      <c r="BC587" s="3"/>
    </row>
    <row r="588" spans="1:61" ht="12.95" customHeight="1">
      <c r="A588" s="22"/>
      <c r="B588" t="s">
        <v>17</v>
      </c>
      <c r="G588" s="1408" t="s">
        <v>2835</v>
      </c>
      <c r="H588" s="1408"/>
      <c r="I588" s="1408"/>
      <c r="J588" s="1408"/>
      <c r="K588" s="1408"/>
      <c r="L588" s="1408"/>
      <c r="M588" s="1408"/>
      <c r="N588" s="1408"/>
      <c r="O588" s="1408"/>
      <c r="P588" s="1408"/>
      <c r="Q588" s="1408"/>
      <c r="R588" s="1408"/>
      <c r="T588" s="22"/>
      <c r="U588" t="s">
        <v>17</v>
      </c>
      <c r="Z588" s="1428" t="s">
        <v>2811</v>
      </c>
      <c r="AA588" s="1428"/>
      <c r="AB588" s="1428"/>
      <c r="AC588" s="1428"/>
      <c r="AD588" s="1428"/>
      <c r="AE588" s="1428"/>
      <c r="AF588" s="1428"/>
      <c r="AG588" s="1428"/>
      <c r="AH588" s="1428"/>
      <c r="AI588" s="1428"/>
      <c r="AJ588" s="1428"/>
      <c r="AK588" s="1428"/>
      <c r="BB588" s="3"/>
      <c r="BC588" s="3"/>
    </row>
    <row r="589" spans="1:61" ht="12.95" customHeight="1">
      <c r="A589" s="22"/>
      <c r="B589" t="s">
        <v>316</v>
      </c>
      <c r="G589" s="1424">
        <v>8013231000</v>
      </c>
      <c r="H589" s="1424"/>
      <c r="I589" s="1424"/>
      <c r="J589" s="1424"/>
      <c r="K589" s="1424"/>
      <c r="L589" s="1424"/>
      <c r="O589" s="33" t="s">
        <v>206</v>
      </c>
      <c r="P589" s="1406"/>
      <c r="Q589" s="1406"/>
      <c r="R589" s="1406"/>
      <c r="T589" s="22"/>
      <c r="U589" t="s">
        <v>316</v>
      </c>
      <c r="Z589" s="1496" t="s">
        <v>2825</v>
      </c>
      <c r="AA589" s="1424"/>
      <c r="AB589" s="1424"/>
      <c r="AC589" s="1424"/>
      <c r="AD589" s="1424"/>
      <c r="AE589" s="1424"/>
      <c r="AH589" s="33" t="s">
        <v>206</v>
      </c>
      <c r="AI589" s="1406"/>
      <c r="AJ589" s="1406"/>
      <c r="AK589" s="1406"/>
      <c r="BB589" s="3"/>
      <c r="BC589" s="3"/>
    </row>
    <row r="590" spans="1:61" ht="12.95" customHeight="1">
      <c r="A590" s="22"/>
      <c r="B590" t="s">
        <v>18</v>
      </c>
      <c r="H590" s="1428" t="s">
        <v>2764</v>
      </c>
      <c r="I590" s="1428"/>
      <c r="J590" s="1428"/>
      <c r="K590" s="1428"/>
      <c r="L590" s="1428"/>
      <c r="M590" s="1428"/>
      <c r="N590" s="1428"/>
      <c r="O590" s="1428"/>
      <c r="P590" s="1428"/>
      <c r="Q590" s="1428"/>
      <c r="R590" s="1428"/>
      <c r="T590" s="22"/>
      <c r="U590" t="s">
        <v>18</v>
      </c>
      <c r="AA590" s="1428" t="s">
        <v>2765</v>
      </c>
      <c r="AB590" s="1428"/>
      <c r="AC590" s="1428"/>
      <c r="AD590" s="1428"/>
      <c r="AE590" s="1428"/>
      <c r="AF590" s="1428"/>
      <c r="AG590" s="1428"/>
      <c r="AH590" s="1428"/>
      <c r="AI590" s="1428"/>
      <c r="AJ590" s="1428"/>
      <c r="AK590" s="1428"/>
      <c r="BB590" s="3"/>
      <c r="BC590" s="3"/>
    </row>
    <row r="591" spans="1:61" ht="12.95" customHeight="1">
      <c r="A591" s="22"/>
      <c r="B591" t="s">
        <v>20</v>
      </c>
      <c r="N591" s="1285" t="s">
        <v>545</v>
      </c>
      <c r="O591" s="1285"/>
      <c r="T591" s="22"/>
      <c r="U591" t="s">
        <v>20</v>
      </c>
      <c r="AG591" s="1285" t="s">
        <v>545</v>
      </c>
      <c r="AH591" s="1285"/>
      <c r="BB591" s="3"/>
      <c r="BC591" s="3"/>
    </row>
    <row r="592" spans="1:61" ht="12.95" customHeight="1">
      <c r="A592" s="22"/>
      <c r="T592" s="22"/>
      <c r="BB592" s="3"/>
      <c r="BC592" s="3"/>
    </row>
    <row r="593" spans="1:55" ht="12.95" customHeight="1">
      <c r="A593" s="55" t="s">
        <v>763</v>
      </c>
      <c r="B593" t="s">
        <v>463</v>
      </c>
      <c r="G593" s="1439" t="str">
        <f>C566</f>
        <v>Pacific West Communities, Inc.</v>
      </c>
      <c r="H593" s="1439"/>
      <c r="I593" s="1439"/>
      <c r="J593" s="1439"/>
      <c r="K593" s="1439"/>
      <c r="L593" s="1439"/>
      <c r="M593" s="1439"/>
      <c r="N593" s="1439"/>
      <c r="O593" s="1439"/>
      <c r="P593" s="1439"/>
      <c r="Q593" s="1439"/>
      <c r="R593" s="1439"/>
      <c r="T593" s="55" t="s">
        <v>584</v>
      </c>
      <c r="U593" t="s">
        <v>463</v>
      </c>
      <c r="Z593" s="1439" t="str">
        <f>C567</f>
        <v>National City Pacific Associates II, LP</v>
      </c>
      <c r="AA593" s="1439"/>
      <c r="AB593" s="1439"/>
      <c r="AC593" s="1439"/>
      <c r="AD593" s="1439"/>
      <c r="AE593" s="1439"/>
      <c r="AF593" s="1439"/>
      <c r="AG593" s="1439"/>
      <c r="AH593" s="1439"/>
      <c r="AI593" s="1439"/>
      <c r="AJ593" s="1439"/>
      <c r="AK593" s="1439"/>
      <c r="BB593" s="3"/>
      <c r="BC593" s="3"/>
    </row>
    <row r="594" spans="1:55" ht="12.95" customHeight="1">
      <c r="A594" s="22"/>
      <c r="B594" t="s">
        <v>85</v>
      </c>
      <c r="G594" s="1428" t="s">
        <v>2729</v>
      </c>
      <c r="H594" s="1428"/>
      <c r="I594" s="1428"/>
      <c r="J594" s="1428"/>
      <c r="K594" s="1428"/>
      <c r="L594" s="1428"/>
      <c r="M594" s="1428"/>
      <c r="N594" s="1428"/>
      <c r="O594" s="1428"/>
      <c r="P594" s="1428"/>
      <c r="Q594" s="1428"/>
      <c r="R594" s="1428"/>
      <c r="T594" s="22"/>
      <c r="U594" t="s">
        <v>85</v>
      </c>
      <c r="Z594" s="1428" t="s">
        <v>2729</v>
      </c>
      <c r="AA594" s="1428"/>
      <c r="AB594" s="1428"/>
      <c r="AC594" s="1428"/>
      <c r="AD594" s="1428"/>
      <c r="AE594" s="1428"/>
      <c r="AF594" s="1428"/>
      <c r="AG594" s="1428"/>
      <c r="AH594" s="1428"/>
      <c r="AI594" s="1428"/>
      <c r="AJ594" s="1428"/>
      <c r="AK594" s="1428"/>
      <c r="BB594" s="3"/>
      <c r="BC594" s="3"/>
    </row>
    <row r="595" spans="1:55" ht="12.95" customHeight="1">
      <c r="A595" s="22"/>
      <c r="B595" t="s">
        <v>580</v>
      </c>
      <c r="G595" s="1428" t="s">
        <v>2826</v>
      </c>
      <c r="H595" s="1428"/>
      <c r="I595" s="1428"/>
      <c r="J595" s="1428"/>
      <c r="K595" s="1428"/>
      <c r="L595" s="1428"/>
      <c r="M595" s="1428"/>
      <c r="N595" s="1428"/>
      <c r="O595" s="1428"/>
      <c r="P595" s="1428"/>
      <c r="Q595" s="1428"/>
      <c r="R595" s="1428"/>
      <c r="T595" s="22"/>
      <c r="U595" t="s">
        <v>580</v>
      </c>
      <c r="Z595" s="1408" t="s">
        <v>2826</v>
      </c>
      <c r="AA595" s="1408"/>
      <c r="AB595" s="1408"/>
      <c r="AC595" s="1408"/>
      <c r="AD595" s="1408"/>
      <c r="AE595" s="1408"/>
      <c r="AF595" s="1408"/>
      <c r="AG595" s="1408"/>
      <c r="AH595" s="1408"/>
      <c r="AI595" s="1408"/>
      <c r="AJ595" s="1408"/>
      <c r="AK595" s="1408"/>
      <c r="BB595" s="3"/>
      <c r="BC595" s="3"/>
    </row>
    <row r="596" spans="1:55" ht="12.95" customHeight="1">
      <c r="A596" s="22"/>
      <c r="B596" t="s">
        <v>17</v>
      </c>
      <c r="G596" s="1428" t="s">
        <v>2713</v>
      </c>
      <c r="H596" s="1428"/>
      <c r="I596" s="1428"/>
      <c r="J596" s="1428"/>
      <c r="K596" s="1428"/>
      <c r="L596" s="1428"/>
      <c r="M596" s="1428"/>
      <c r="N596" s="1428"/>
      <c r="O596" s="1428"/>
      <c r="P596" s="1428"/>
      <c r="Q596" s="1428"/>
      <c r="R596" s="1428"/>
      <c r="T596" s="22"/>
      <c r="U596" t="s">
        <v>17</v>
      </c>
      <c r="Z596" s="1408" t="s">
        <v>2713</v>
      </c>
      <c r="AA596" s="1408"/>
      <c r="AB596" s="1408"/>
      <c r="AC596" s="1408"/>
      <c r="AD596" s="1408"/>
      <c r="AE596" s="1408"/>
      <c r="AF596" s="1408"/>
      <c r="AG596" s="1408"/>
      <c r="AH596" s="1408"/>
      <c r="AI596" s="1408"/>
      <c r="AJ596" s="1408"/>
      <c r="AK596" s="1408"/>
    </row>
    <row r="597" spans="1:55" ht="12.95" customHeight="1">
      <c r="A597" s="22"/>
      <c r="B597" t="s">
        <v>316</v>
      </c>
      <c r="G597" s="1424" t="s">
        <v>2706</v>
      </c>
      <c r="H597" s="1424"/>
      <c r="I597" s="1424"/>
      <c r="J597" s="1424"/>
      <c r="K597" s="1424"/>
      <c r="L597" s="1424"/>
      <c r="O597" s="33" t="s">
        <v>206</v>
      </c>
      <c r="P597" s="1406"/>
      <c r="Q597" s="1406"/>
      <c r="R597" s="1406"/>
      <c r="T597" s="22"/>
      <c r="U597" t="s">
        <v>316</v>
      </c>
      <c r="Z597" s="1424" t="s">
        <v>2706</v>
      </c>
      <c r="AA597" s="1424"/>
      <c r="AB597" s="1424"/>
      <c r="AC597" s="1424"/>
      <c r="AD597" s="1424"/>
      <c r="AE597" s="1424"/>
      <c r="AH597" s="33" t="s">
        <v>206</v>
      </c>
      <c r="AI597" s="1406"/>
      <c r="AJ597" s="1406"/>
      <c r="AK597" s="1406"/>
      <c r="AZ597" s="3"/>
      <c r="BA597" s="3"/>
      <c r="BB597" s="3"/>
      <c r="BC597" s="3"/>
    </row>
    <row r="598" spans="1:55" ht="12.95" customHeight="1">
      <c r="A598" s="22"/>
      <c r="B598" t="s">
        <v>18</v>
      </c>
      <c r="H598" s="1428" t="s">
        <v>2256</v>
      </c>
      <c r="I598" s="1428"/>
      <c r="J598" s="1428"/>
      <c r="K598" s="1428"/>
      <c r="L598" s="1428"/>
      <c r="M598" s="1428"/>
      <c r="N598" s="1428"/>
      <c r="O598" s="1428"/>
      <c r="P598" s="1428"/>
      <c r="Q598" s="1428"/>
      <c r="R598" s="1428"/>
      <c r="T598" s="22"/>
      <c r="U598" t="s">
        <v>18</v>
      </c>
      <c r="AA598" s="1428" t="s">
        <v>2766</v>
      </c>
      <c r="AB598" s="1428"/>
      <c r="AC598" s="1428"/>
      <c r="AD598" s="1428"/>
      <c r="AE598" s="1428"/>
      <c r="AF598" s="1428"/>
      <c r="AG598" s="1428"/>
      <c r="AH598" s="1428"/>
      <c r="AI598" s="1428"/>
      <c r="AJ598" s="1428"/>
      <c r="AK598" s="1428"/>
      <c r="AZ598" s="3"/>
      <c r="BA598" s="3"/>
      <c r="BB598" s="3"/>
      <c r="BC598" s="3"/>
    </row>
    <row r="599" spans="1:55" ht="12.95" customHeight="1">
      <c r="A599" s="22"/>
      <c r="B599" t="s">
        <v>20</v>
      </c>
      <c r="N599" s="1285" t="s">
        <v>545</v>
      </c>
      <c r="O599" s="1285"/>
      <c r="T599" s="22"/>
      <c r="U599" t="s">
        <v>20</v>
      </c>
      <c r="AG599" s="1285" t="s">
        <v>545</v>
      </c>
      <c r="AH599" s="1285"/>
      <c r="AZ599" s="3"/>
      <c r="BA599" s="3"/>
      <c r="BB599" s="3"/>
      <c r="BC599" s="3"/>
    </row>
    <row r="600" spans="1:55" ht="12.95" customHeight="1">
      <c r="A600" s="22"/>
      <c r="T600" s="22"/>
      <c r="AZ600" s="3"/>
      <c r="BA600" s="3"/>
      <c r="BB600" s="3"/>
      <c r="BC600" s="3"/>
    </row>
    <row r="601" spans="1:55" ht="12.95" customHeight="1">
      <c r="A601" s="55" t="s">
        <v>455</v>
      </c>
      <c r="B601" t="s">
        <v>463</v>
      </c>
      <c r="G601" s="1439">
        <f>C568</f>
        <v>0</v>
      </c>
      <c r="H601" s="1439"/>
      <c r="I601" s="1439"/>
      <c r="J601" s="1439"/>
      <c r="K601" s="1439"/>
      <c r="L601" s="1439"/>
      <c r="M601" s="1439"/>
      <c r="N601" s="1439"/>
      <c r="O601" s="1439"/>
      <c r="P601" s="1439"/>
      <c r="Q601" s="1439"/>
      <c r="R601" s="1439"/>
      <c r="T601" s="55" t="s">
        <v>456</v>
      </c>
      <c r="U601" t="s">
        <v>463</v>
      </c>
      <c r="Z601" s="1439">
        <f>C569</f>
        <v>0</v>
      </c>
      <c r="AA601" s="1439"/>
      <c r="AB601" s="1439"/>
      <c r="AC601" s="1439"/>
      <c r="AD601" s="1439"/>
      <c r="AE601" s="1439"/>
      <c r="AF601" s="1439"/>
      <c r="AG601" s="1439"/>
      <c r="AH601" s="1439"/>
      <c r="AI601" s="1439"/>
      <c r="AJ601" s="1439"/>
      <c r="AK601" s="1439"/>
      <c r="AZ601" s="3"/>
      <c r="BA601" s="3"/>
      <c r="BB601" s="3"/>
      <c r="BC601" s="3"/>
    </row>
    <row r="602" spans="1:55" s="4" customFormat="1" ht="12.95" customHeight="1">
      <c r="A602" s="22"/>
      <c r="B602" t="s">
        <v>85</v>
      </c>
      <c r="C602"/>
      <c r="D602"/>
      <c r="E602"/>
      <c r="F602"/>
      <c r="G602" s="1428"/>
      <c r="H602" s="1428"/>
      <c r="I602" s="1428"/>
      <c r="J602" s="1428"/>
      <c r="K602" s="1428"/>
      <c r="L602" s="1428"/>
      <c r="M602" s="1428"/>
      <c r="N602" s="1428"/>
      <c r="O602" s="1428"/>
      <c r="P602" s="1428"/>
      <c r="Q602" s="1428"/>
      <c r="R602" s="1428"/>
      <c r="S602"/>
      <c r="T602" s="22"/>
      <c r="U602" t="s">
        <v>85</v>
      </c>
      <c r="V602"/>
      <c r="W602"/>
      <c r="X602"/>
      <c r="Y602"/>
      <c r="Z602" s="1428"/>
      <c r="AA602" s="1428"/>
      <c r="AB602" s="1428"/>
      <c r="AC602" s="1428"/>
      <c r="AD602" s="1428"/>
      <c r="AE602" s="1428"/>
      <c r="AF602" s="1428"/>
      <c r="AG602" s="1428"/>
      <c r="AH602" s="1428"/>
      <c r="AI602" s="1428"/>
      <c r="AJ602" s="1428"/>
      <c r="AK602" s="1428"/>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428"/>
      <c r="H603" s="1428"/>
      <c r="I603" s="1428"/>
      <c r="J603" s="1428"/>
      <c r="K603" s="1428"/>
      <c r="L603" s="1428"/>
      <c r="M603" s="1428"/>
      <c r="N603" s="1428"/>
      <c r="O603" s="1428"/>
      <c r="P603" s="1428"/>
      <c r="Q603" s="1428"/>
      <c r="R603" s="1428"/>
      <c r="S603"/>
      <c r="T603" s="22"/>
      <c r="U603" t="s">
        <v>580</v>
      </c>
      <c r="V603"/>
      <c r="W603"/>
      <c r="X603"/>
      <c r="Y603"/>
      <c r="Z603" s="1408"/>
      <c r="AA603" s="1408"/>
      <c r="AB603" s="1408"/>
      <c r="AC603" s="1408"/>
      <c r="AD603" s="1408"/>
      <c r="AE603" s="1408"/>
      <c r="AF603" s="1408"/>
      <c r="AG603" s="1408"/>
      <c r="AH603" s="1408"/>
      <c r="AI603" s="1408"/>
      <c r="AJ603" s="1408"/>
      <c r="AK603" s="1408"/>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28"/>
      <c r="H604" s="1428"/>
      <c r="I604" s="1428"/>
      <c r="J604" s="1428"/>
      <c r="K604" s="1428"/>
      <c r="L604" s="1428"/>
      <c r="M604" s="1428"/>
      <c r="N604" s="1428"/>
      <c r="O604" s="1428"/>
      <c r="P604" s="1428"/>
      <c r="Q604" s="1428"/>
      <c r="R604" s="1428"/>
      <c r="S604"/>
      <c r="T604" s="22"/>
      <c r="U604" t="s">
        <v>17</v>
      </c>
      <c r="V604"/>
      <c r="W604"/>
      <c r="X604"/>
      <c r="Y604"/>
      <c r="Z604" s="1408"/>
      <c r="AA604" s="1408"/>
      <c r="AB604" s="1408"/>
      <c r="AC604" s="1408"/>
      <c r="AD604" s="1408"/>
      <c r="AE604" s="1408"/>
      <c r="AF604" s="1408"/>
      <c r="AG604" s="1408"/>
      <c r="AH604" s="1408"/>
      <c r="AI604" s="1408"/>
      <c r="AJ604" s="1408"/>
      <c r="AK604" s="1408"/>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424"/>
      <c r="H605" s="1424"/>
      <c r="I605" s="1424"/>
      <c r="J605" s="1424"/>
      <c r="K605" s="1424"/>
      <c r="L605" s="1424"/>
      <c r="M605"/>
      <c r="N605"/>
      <c r="O605" s="33" t="s">
        <v>206</v>
      </c>
      <c r="P605" s="1406"/>
      <c r="Q605" s="1406"/>
      <c r="R605" s="1406"/>
      <c r="S605"/>
      <c r="T605" s="22"/>
      <c r="U605" t="s">
        <v>316</v>
      </c>
      <c r="V605"/>
      <c r="W605"/>
      <c r="X605"/>
      <c r="Y605"/>
      <c r="Z605" s="1424"/>
      <c r="AA605" s="1424"/>
      <c r="AB605" s="1424"/>
      <c r="AC605" s="1424"/>
      <c r="AD605" s="1424"/>
      <c r="AE605" s="1424"/>
      <c r="AF605"/>
      <c r="AG605"/>
      <c r="AH605" s="33" t="s">
        <v>206</v>
      </c>
      <c r="AI605" s="1406"/>
      <c r="AJ605" s="1406"/>
      <c r="AK605" s="1406"/>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28"/>
      <c r="I606" s="1428"/>
      <c r="J606" s="1428"/>
      <c r="K606" s="1428"/>
      <c r="L606" s="1428"/>
      <c r="M606" s="1428"/>
      <c r="N606" s="1428"/>
      <c r="O606" s="1428"/>
      <c r="P606" s="1428"/>
      <c r="Q606" s="1428"/>
      <c r="R606" s="1428"/>
      <c r="S606"/>
      <c r="T606" s="22"/>
      <c r="U606" t="s">
        <v>18</v>
      </c>
      <c r="V606"/>
      <c r="W606"/>
      <c r="X606"/>
      <c r="Y606"/>
      <c r="Z606"/>
      <c r="AA606" s="1428"/>
      <c r="AB606" s="1428"/>
      <c r="AC606" s="1428"/>
      <c r="AD606" s="1428"/>
      <c r="AE606" s="1428"/>
      <c r="AF606" s="1428"/>
      <c r="AG606" s="1428"/>
      <c r="AH606" s="1428"/>
      <c r="AI606" s="1428"/>
      <c r="AJ606" s="1428"/>
      <c r="AK606" s="1428"/>
      <c r="AL606"/>
      <c r="AM606"/>
      <c r="AN606"/>
      <c r="AO606"/>
      <c r="AP606"/>
      <c r="AQ606"/>
      <c r="AR606"/>
      <c r="AS606"/>
      <c r="AT606"/>
      <c r="AU606"/>
      <c r="AV606"/>
      <c r="AW606"/>
      <c r="AX606"/>
      <c r="AY606"/>
      <c r="BB606" s="3"/>
      <c r="BC606" s="3"/>
    </row>
    <row r="607" spans="1:55" ht="12.95" customHeight="1">
      <c r="A607" s="22"/>
      <c r="B607" t="s">
        <v>20</v>
      </c>
      <c r="N607" s="1285" t="s">
        <v>669</v>
      </c>
      <c r="O607" s="1285"/>
      <c r="T607" s="22"/>
      <c r="U607" t="s">
        <v>20</v>
      </c>
      <c r="AG607" s="1285" t="s">
        <v>669</v>
      </c>
      <c r="AH607" s="1285"/>
      <c r="BB607" s="3"/>
      <c r="BC607" s="3"/>
    </row>
    <row r="608" spans="1:55" ht="12.95" customHeight="1">
      <c r="A608" s="22"/>
      <c r="T608" s="22"/>
      <c r="BB608" s="3"/>
      <c r="BC608" s="3"/>
    </row>
    <row r="609" spans="1:55" ht="12.95" customHeight="1">
      <c r="A609" s="55" t="s">
        <v>461</v>
      </c>
      <c r="B609" t="s">
        <v>463</v>
      </c>
      <c r="G609" s="1439">
        <f>C570</f>
        <v>0</v>
      </c>
      <c r="H609" s="1439"/>
      <c r="I609" s="1439"/>
      <c r="J609" s="1439"/>
      <c r="K609" s="1439"/>
      <c r="L609" s="1439"/>
      <c r="M609" s="1439"/>
      <c r="N609" s="1439"/>
      <c r="O609" s="1439"/>
      <c r="P609" s="1439"/>
      <c r="Q609" s="1439"/>
      <c r="R609" s="1439"/>
      <c r="T609" s="55" t="s">
        <v>646</v>
      </c>
      <c r="U609" t="s">
        <v>463</v>
      </c>
      <c r="Z609" s="1439">
        <f>C571</f>
        <v>0</v>
      </c>
      <c r="AA609" s="1439"/>
      <c r="AB609" s="1439"/>
      <c r="AC609" s="1439"/>
      <c r="AD609" s="1439"/>
      <c r="AE609" s="1439"/>
      <c r="AF609" s="1439"/>
      <c r="AG609" s="1439"/>
      <c r="AH609" s="1439"/>
      <c r="AI609" s="1439"/>
      <c r="AJ609" s="1439"/>
      <c r="AK609" s="1439"/>
      <c r="BB609" s="3"/>
      <c r="BC609" s="3"/>
    </row>
    <row r="610" spans="1:55" ht="12.95" customHeight="1">
      <c r="A610" s="22"/>
      <c r="B610" t="s">
        <v>85</v>
      </c>
      <c r="G610" s="1428"/>
      <c r="H610" s="1428"/>
      <c r="I610" s="1428"/>
      <c r="J610" s="1428"/>
      <c r="K610" s="1428"/>
      <c r="L610" s="1428"/>
      <c r="M610" s="1428"/>
      <c r="N610" s="1428"/>
      <c r="O610" s="1428"/>
      <c r="P610" s="1428"/>
      <c r="Q610" s="1428"/>
      <c r="R610" s="1428"/>
      <c r="T610" s="22"/>
      <c r="U610" t="s">
        <v>85</v>
      </c>
      <c r="Z610" s="1428"/>
      <c r="AA610" s="1428"/>
      <c r="AB610" s="1428"/>
      <c r="AC610" s="1428"/>
      <c r="AD610" s="1428"/>
      <c r="AE610" s="1428"/>
      <c r="AF610" s="1428"/>
      <c r="AG610" s="1428"/>
      <c r="AH610" s="1428"/>
      <c r="AI610" s="1428"/>
      <c r="AJ610" s="1428"/>
      <c r="AK610" s="1428"/>
      <c r="AZ610" s="3"/>
      <c r="BA610" s="3"/>
      <c r="BB610" s="3"/>
      <c r="BC610" s="3"/>
    </row>
    <row r="611" spans="1:55" ht="12.95" customHeight="1">
      <c r="A611" s="22"/>
      <c r="B611" t="s">
        <v>580</v>
      </c>
      <c r="G611" s="1428"/>
      <c r="H611" s="1428"/>
      <c r="I611" s="1428"/>
      <c r="J611" s="1428"/>
      <c r="K611" s="1428"/>
      <c r="L611" s="1428"/>
      <c r="M611" s="1428"/>
      <c r="N611" s="1428"/>
      <c r="O611" s="1428"/>
      <c r="P611" s="1428"/>
      <c r="Q611" s="1428"/>
      <c r="R611" s="1428"/>
      <c r="T611" s="22"/>
      <c r="U611" t="s">
        <v>580</v>
      </c>
      <c r="Z611" s="1408"/>
      <c r="AA611" s="1408"/>
      <c r="AB611" s="1408"/>
      <c r="AC611" s="1408"/>
      <c r="AD611" s="1408"/>
      <c r="AE611" s="1408"/>
      <c r="AF611" s="1408"/>
      <c r="AG611" s="1408"/>
      <c r="AH611" s="1408"/>
      <c r="AI611" s="1408"/>
      <c r="AJ611" s="1408"/>
      <c r="AK611" s="1408"/>
      <c r="AZ611" s="3"/>
      <c r="BA611" s="3"/>
      <c r="BB611" s="3"/>
      <c r="BC611" s="3"/>
    </row>
    <row r="612" spans="1:55" ht="12.95" customHeight="1">
      <c r="A612" s="22"/>
      <c r="B612" t="s">
        <v>17</v>
      </c>
      <c r="G612" s="1428"/>
      <c r="H612" s="1428"/>
      <c r="I612" s="1428"/>
      <c r="J612" s="1428"/>
      <c r="K612" s="1428"/>
      <c r="L612" s="1428"/>
      <c r="M612" s="1428"/>
      <c r="N612" s="1428"/>
      <c r="O612" s="1428"/>
      <c r="P612" s="1428"/>
      <c r="Q612" s="1428"/>
      <c r="R612" s="1428"/>
      <c r="T612" s="22"/>
      <c r="U612" t="s">
        <v>17</v>
      </c>
      <c r="Z612" s="1408"/>
      <c r="AA612" s="1408"/>
      <c r="AB612" s="1408"/>
      <c r="AC612" s="1408"/>
      <c r="AD612" s="1408"/>
      <c r="AE612" s="1408"/>
      <c r="AF612" s="1408"/>
      <c r="AG612" s="1408"/>
      <c r="AH612" s="1408"/>
      <c r="AI612" s="1408"/>
      <c r="AJ612" s="1408"/>
      <c r="AK612" s="1408"/>
      <c r="AZ612" s="3"/>
      <c r="BA612" s="3"/>
      <c r="BB612" s="3"/>
      <c r="BC612" s="3"/>
    </row>
    <row r="613" spans="1:55" s="4" customFormat="1" ht="12.95" customHeight="1">
      <c r="A613" s="22"/>
      <c r="B613" t="s">
        <v>316</v>
      </c>
      <c r="C613"/>
      <c r="D613"/>
      <c r="E613"/>
      <c r="F613"/>
      <c r="G613" s="1424"/>
      <c r="H613" s="1424"/>
      <c r="I613" s="1424"/>
      <c r="J613" s="1424"/>
      <c r="K613" s="1424"/>
      <c r="L613" s="1424"/>
      <c r="M613"/>
      <c r="N613"/>
      <c r="O613" s="33" t="s">
        <v>206</v>
      </c>
      <c r="P613" s="1406"/>
      <c r="Q613" s="1406"/>
      <c r="R613" s="1406"/>
      <c r="S613"/>
      <c r="T613" s="22"/>
      <c r="U613" t="s">
        <v>316</v>
      </c>
      <c r="V613"/>
      <c r="W613"/>
      <c r="X613"/>
      <c r="Y613"/>
      <c r="Z613" s="1424"/>
      <c r="AA613" s="1424"/>
      <c r="AB613" s="1424"/>
      <c r="AC613" s="1424"/>
      <c r="AD613" s="1424"/>
      <c r="AE613" s="1424"/>
      <c r="AF613"/>
      <c r="AG613"/>
      <c r="AH613" s="33" t="s">
        <v>206</v>
      </c>
      <c r="AI613" s="1406"/>
      <c r="AJ613" s="1406"/>
      <c r="AK613" s="1406"/>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28"/>
      <c r="I614" s="1428"/>
      <c r="J614" s="1428"/>
      <c r="K614" s="1428"/>
      <c r="L614" s="1428"/>
      <c r="M614" s="1428"/>
      <c r="N614" s="1428"/>
      <c r="O614" s="1428"/>
      <c r="P614" s="1428"/>
      <c r="Q614" s="1428"/>
      <c r="R614" s="1428"/>
      <c r="S614"/>
      <c r="T614" s="22"/>
      <c r="U614" t="s">
        <v>18</v>
      </c>
      <c r="V614"/>
      <c r="W614"/>
      <c r="X614"/>
      <c r="Y614"/>
      <c r="Z614"/>
      <c r="AA614" s="1428"/>
      <c r="AB614" s="1428"/>
      <c r="AC614" s="1428"/>
      <c r="AD614" s="1428"/>
      <c r="AE614" s="1428"/>
      <c r="AF614" s="1428"/>
      <c r="AG614" s="1428"/>
      <c r="AH614" s="1428"/>
      <c r="AI614" s="1428"/>
      <c r="AJ614" s="1428"/>
      <c r="AK614" s="1428"/>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285" t="s">
        <v>669</v>
      </c>
      <c r="O615" s="1285"/>
      <c r="P615"/>
      <c r="Q615"/>
      <c r="R615"/>
      <c r="S615"/>
      <c r="T615" s="22"/>
      <c r="U615" t="s">
        <v>20</v>
      </c>
      <c r="V615"/>
      <c r="W615"/>
      <c r="X615"/>
      <c r="Y615"/>
      <c r="Z615"/>
      <c r="AA615"/>
      <c r="AB615"/>
      <c r="AC615"/>
      <c r="AD615"/>
      <c r="AE615"/>
      <c r="AF615"/>
      <c r="AG615" s="1285" t="s">
        <v>669</v>
      </c>
      <c r="AH615" s="1285"/>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439">
        <f>C572</f>
        <v>0</v>
      </c>
      <c r="H617" s="1439"/>
      <c r="I617" s="1439"/>
      <c r="J617" s="1439"/>
      <c r="K617" s="1439"/>
      <c r="L617" s="1439"/>
      <c r="M617" s="1439"/>
      <c r="N617" s="1439"/>
      <c r="O617" s="1439"/>
      <c r="P617" s="1439"/>
      <c r="Q617" s="1439"/>
      <c r="R617" s="1439"/>
      <c r="T617" s="55" t="s">
        <v>363</v>
      </c>
      <c r="U617" t="s">
        <v>463</v>
      </c>
      <c r="Z617" s="1439">
        <f>C573</f>
        <v>0</v>
      </c>
      <c r="AA617" s="1439"/>
      <c r="AB617" s="1439"/>
      <c r="AC617" s="1439"/>
      <c r="AD617" s="1439"/>
      <c r="AE617" s="1439"/>
      <c r="AF617" s="1439"/>
      <c r="AG617" s="1439"/>
      <c r="AH617" s="1439"/>
      <c r="AI617" s="1439"/>
      <c r="AJ617" s="1439"/>
      <c r="AK617" s="1439"/>
      <c r="AZ617" s="3"/>
      <c r="BA617" s="3"/>
      <c r="BB617" s="3"/>
      <c r="BC617" s="3"/>
    </row>
    <row r="618" spans="1:55" ht="12.95" customHeight="1">
      <c r="B618" t="s">
        <v>85</v>
      </c>
      <c r="G618" s="1428"/>
      <c r="H618" s="1428"/>
      <c r="I618" s="1428"/>
      <c r="J618" s="1428"/>
      <c r="K618" s="1428"/>
      <c r="L618" s="1428"/>
      <c r="M618" s="1428"/>
      <c r="N618" s="1428"/>
      <c r="O618" s="1428"/>
      <c r="P618" s="1428"/>
      <c r="Q618" s="1428"/>
      <c r="R618" s="1428"/>
      <c r="U618" t="s">
        <v>85</v>
      </c>
      <c r="Z618" s="1428"/>
      <c r="AA618" s="1428"/>
      <c r="AB618" s="1428"/>
      <c r="AC618" s="1428"/>
      <c r="AD618" s="1428"/>
      <c r="AE618" s="1428"/>
      <c r="AF618" s="1428"/>
      <c r="AG618" s="1428"/>
      <c r="AH618" s="1428"/>
      <c r="AI618" s="1428"/>
      <c r="AJ618" s="1428"/>
      <c r="AK618" s="1428"/>
      <c r="AZ618" s="3"/>
      <c r="BA618" s="3"/>
      <c r="BB618" s="3"/>
      <c r="BC618" s="3"/>
    </row>
    <row r="619" spans="1:55" ht="12.95" customHeight="1">
      <c r="B619" t="s">
        <v>580</v>
      </c>
      <c r="G619" s="1428"/>
      <c r="H619" s="1428"/>
      <c r="I619" s="1428"/>
      <c r="J619" s="1428"/>
      <c r="K619" s="1428"/>
      <c r="L619" s="1428"/>
      <c r="M619" s="1428"/>
      <c r="N619" s="1428"/>
      <c r="O619" s="1428"/>
      <c r="P619" s="1428"/>
      <c r="Q619" s="1428"/>
      <c r="R619" s="1428"/>
      <c r="U619" t="s">
        <v>580</v>
      </c>
      <c r="Z619" s="1408"/>
      <c r="AA619" s="1408"/>
      <c r="AB619" s="1408"/>
      <c r="AC619" s="1408"/>
      <c r="AD619" s="1408"/>
      <c r="AE619" s="1408"/>
      <c r="AF619" s="1408"/>
      <c r="AG619" s="1408"/>
      <c r="AH619" s="1408"/>
      <c r="AI619" s="1408"/>
      <c r="AJ619" s="1408"/>
      <c r="AK619" s="1408"/>
      <c r="AZ619" s="3"/>
      <c r="BA619" s="3"/>
      <c r="BB619" s="3"/>
      <c r="BC619" s="3"/>
    </row>
    <row r="620" spans="1:55" ht="12.95" customHeight="1">
      <c r="B620" t="s">
        <v>17</v>
      </c>
      <c r="G620" s="1428"/>
      <c r="H620" s="1428"/>
      <c r="I620" s="1428"/>
      <c r="J620" s="1428"/>
      <c r="K620" s="1428"/>
      <c r="L620" s="1428"/>
      <c r="M620" s="1428"/>
      <c r="N620" s="1428"/>
      <c r="O620" s="1428"/>
      <c r="P620" s="1428"/>
      <c r="Q620" s="1428"/>
      <c r="R620" s="1428"/>
      <c r="U620" t="s">
        <v>17</v>
      </c>
      <c r="Z620" s="1408"/>
      <c r="AA620" s="1408"/>
      <c r="AB620" s="1408"/>
      <c r="AC620" s="1408"/>
      <c r="AD620" s="1408"/>
      <c r="AE620" s="1408"/>
      <c r="AF620" s="1408"/>
      <c r="AG620" s="1408"/>
      <c r="AH620" s="1408"/>
      <c r="AI620" s="1408"/>
      <c r="AJ620" s="1408"/>
      <c r="AK620" s="1408"/>
      <c r="AZ620" s="3"/>
      <c r="BA620" s="3"/>
      <c r="BB620" s="3"/>
      <c r="BC620" s="3"/>
    </row>
    <row r="621" spans="1:55" ht="12.95" customHeight="1">
      <c r="B621" t="s">
        <v>316</v>
      </c>
      <c r="G621" s="1424"/>
      <c r="H621" s="1424"/>
      <c r="I621" s="1424"/>
      <c r="J621" s="1424"/>
      <c r="K621" s="1424"/>
      <c r="L621" s="1424"/>
      <c r="O621" s="33" t="s">
        <v>206</v>
      </c>
      <c r="P621" s="1406"/>
      <c r="Q621" s="1406"/>
      <c r="R621" s="1406"/>
      <c r="U621" t="s">
        <v>316</v>
      </c>
      <c r="Z621" s="1424"/>
      <c r="AA621" s="1424"/>
      <c r="AB621" s="1424"/>
      <c r="AC621" s="1424"/>
      <c r="AD621" s="1424"/>
      <c r="AE621" s="1424"/>
      <c r="AH621" s="33" t="s">
        <v>206</v>
      </c>
      <c r="AI621" s="1406"/>
      <c r="AJ621" s="1406"/>
      <c r="AK621" s="1406"/>
      <c r="AZ621" s="3"/>
      <c r="BA621" s="3"/>
      <c r="BB621" s="3"/>
      <c r="BC621" s="3"/>
    </row>
    <row r="622" spans="1:55" ht="12.95" customHeight="1">
      <c r="B622" t="s">
        <v>18</v>
      </c>
      <c r="H622" s="1428"/>
      <c r="I622" s="1428"/>
      <c r="J622" s="1428"/>
      <c r="K622" s="1428"/>
      <c r="L622" s="1428"/>
      <c r="M622" s="1428"/>
      <c r="N622" s="1428"/>
      <c r="O622" s="1428"/>
      <c r="P622" s="1428"/>
      <c r="Q622" s="1428"/>
      <c r="R622" s="1428"/>
      <c r="U622" t="s">
        <v>18</v>
      </c>
      <c r="AA622" s="1428"/>
      <c r="AB622" s="1428"/>
      <c r="AC622" s="1428"/>
      <c r="AD622" s="1428"/>
      <c r="AE622" s="1428"/>
      <c r="AF622" s="1428"/>
      <c r="AG622" s="1428"/>
      <c r="AH622" s="1428"/>
      <c r="AI622" s="1428"/>
      <c r="AJ622" s="1428"/>
      <c r="AK622" s="1428"/>
      <c r="AU622" s="890"/>
      <c r="AV622" s="890"/>
      <c r="AW622" s="890"/>
      <c r="AX622" s="890"/>
      <c r="AY622" s="890"/>
      <c r="AZ622" s="3"/>
      <c r="BA622" s="3"/>
      <c r="BB622" s="3"/>
      <c r="BC622" s="3"/>
    </row>
    <row r="623" spans="1:55" ht="12.95" customHeight="1">
      <c r="B623" t="s">
        <v>20</v>
      </c>
      <c r="N623" s="1285" t="s">
        <v>669</v>
      </c>
      <c r="O623" s="1285"/>
      <c r="U623" t="s">
        <v>20</v>
      </c>
      <c r="AG623" s="1285" t="s">
        <v>669</v>
      </c>
      <c r="AH623" s="1285"/>
      <c r="AU623" s="890"/>
      <c r="AV623" s="890"/>
      <c r="AW623" s="890"/>
      <c r="AX623" s="890"/>
      <c r="AY623" s="890"/>
      <c r="AZ623" s="3"/>
      <c r="BA623" s="3"/>
      <c r="BB623" s="3"/>
      <c r="BC623" s="3"/>
    </row>
    <row r="624" spans="1:55" ht="12.95" customHeight="1">
      <c r="AZ624" s="3"/>
      <c r="BA624" s="3"/>
      <c r="BB624" s="3"/>
      <c r="BC624" s="3"/>
    </row>
    <row r="625" spans="1:56" ht="12.95" customHeight="1">
      <c r="A625" s="1485" t="s">
        <v>544</v>
      </c>
      <c r="B625" s="1485"/>
      <c r="C625" s="1485"/>
      <c r="D625" s="1485"/>
      <c r="E625" s="1485"/>
      <c r="F625" s="1485"/>
      <c r="G625" s="1485"/>
      <c r="H625" s="1485"/>
      <c r="I625" s="1485"/>
      <c r="J625" s="1485"/>
      <c r="K625" s="1485"/>
      <c r="L625" s="1485"/>
      <c r="M625" s="1485"/>
      <c r="N625" s="1485"/>
      <c r="O625" s="1485"/>
      <c r="P625" s="1485"/>
      <c r="Q625" s="1485"/>
      <c r="R625" s="1485"/>
      <c r="S625" s="1485"/>
      <c r="T625" s="1485"/>
      <c r="U625" s="1485"/>
      <c r="V625" s="1485"/>
      <c r="W625" s="1485"/>
      <c r="X625" s="1485"/>
      <c r="Y625" s="1485"/>
      <c r="Z625" s="1485"/>
      <c r="AA625" s="1485"/>
      <c r="AB625" s="1485"/>
      <c r="AC625" s="1485"/>
      <c r="AD625" s="1485"/>
      <c r="AE625" s="1485"/>
      <c r="AF625" s="1485"/>
      <c r="AG625" s="1485"/>
      <c r="AH625" s="1485"/>
      <c r="AI625" s="1485"/>
      <c r="AJ625" s="1485"/>
      <c r="AK625" s="1485"/>
      <c r="AL625" s="1485"/>
      <c r="AM625" s="1485"/>
      <c r="AN625" s="1485"/>
      <c r="AO625" s="1485"/>
      <c r="AP625" s="1485"/>
      <c r="AQ625" s="1485"/>
      <c r="AR625" s="1485"/>
      <c r="AS625" s="1485"/>
      <c r="AT625" s="1485"/>
      <c r="AZ625" s="3"/>
      <c r="BA625" s="3"/>
      <c r="BB625" s="3"/>
      <c r="BC625" s="3"/>
    </row>
    <row r="626" spans="1:56" ht="12.95" customHeight="1">
      <c r="A626" s="1485"/>
      <c r="B626" s="1485"/>
      <c r="C626" s="1485"/>
      <c r="D626" s="1485"/>
      <c r="E626" s="1485"/>
      <c r="F626" s="1485"/>
      <c r="G626" s="1485"/>
      <c r="H626" s="1485"/>
      <c r="I626" s="1485"/>
      <c r="J626" s="1485"/>
      <c r="K626" s="1485"/>
      <c r="L626" s="1485"/>
      <c r="M626" s="1485"/>
      <c r="N626" s="1485"/>
      <c r="O626" s="1485"/>
      <c r="P626" s="1485"/>
      <c r="Q626" s="1485"/>
      <c r="R626" s="1485"/>
      <c r="S626" s="1485"/>
      <c r="T626" s="1485"/>
      <c r="U626" s="1485"/>
      <c r="V626" s="1485"/>
      <c r="W626" s="1485"/>
      <c r="X626" s="1485"/>
      <c r="Y626" s="1485"/>
      <c r="Z626" s="1485"/>
      <c r="AA626" s="1485"/>
      <c r="AB626" s="1485"/>
      <c r="AC626" s="1485"/>
      <c r="AD626" s="1485"/>
      <c r="AE626" s="1485"/>
      <c r="AF626" s="1485"/>
      <c r="AG626" s="1485"/>
      <c r="AH626" s="1485"/>
      <c r="AI626" s="1485"/>
      <c r="AJ626" s="1485"/>
      <c r="AK626" s="1485"/>
      <c r="AL626" s="1485"/>
      <c r="AM626" s="1485"/>
      <c r="AN626" s="1485"/>
      <c r="AO626" s="1485"/>
      <c r="AP626" s="1485"/>
      <c r="AQ626" s="1485"/>
      <c r="AR626" s="1485"/>
      <c r="AS626" s="1485"/>
      <c r="AT626" s="1485"/>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498" t="s">
        <v>2052</v>
      </c>
      <c r="C632" s="1498"/>
      <c r="D632" s="1498"/>
      <c r="E632" s="1498"/>
      <c r="F632" s="1498"/>
      <c r="G632" s="1498"/>
      <c r="H632" s="1498"/>
      <c r="I632" s="1498"/>
      <c r="J632" s="1498"/>
      <c r="K632" s="1498"/>
      <c r="L632" s="1498"/>
      <c r="M632" s="1432" t="s">
        <v>2053</v>
      </c>
      <c r="N632" s="1432"/>
      <c r="O632" s="1432"/>
      <c r="P632" s="1432"/>
      <c r="Q632" s="1432" t="s">
        <v>1823</v>
      </c>
      <c r="R632" s="1432"/>
      <c r="S632" s="1432"/>
      <c r="T632" s="1432" t="s">
        <v>1821</v>
      </c>
      <c r="U632" s="1432"/>
      <c r="V632" s="1432"/>
      <c r="W632" s="1790" t="s">
        <v>453</v>
      </c>
      <c r="X632" s="1790"/>
      <c r="Y632" s="1790"/>
      <c r="Z632" s="1413" t="s">
        <v>2082</v>
      </c>
      <c r="AA632" s="1413"/>
      <c r="AB632" s="1414"/>
      <c r="AC632" s="1451" t="s">
        <v>1664</v>
      </c>
      <c r="AD632" s="1452"/>
      <c r="AE632" s="1453"/>
      <c r="AF632" s="1412" t="s">
        <v>1898</v>
      </c>
      <c r="AG632" s="1413"/>
      <c r="AH632" s="1413"/>
      <c r="AI632" s="1413"/>
      <c r="AJ632" s="1414"/>
      <c r="AK632" s="1651" t="s">
        <v>1899</v>
      </c>
      <c r="AL632" s="1652"/>
      <c r="AM632" s="1652"/>
      <c r="AN632" s="1653"/>
      <c r="AO632" s="1432" t="s">
        <v>454</v>
      </c>
      <c r="AP632" s="1432"/>
      <c r="AQ632" s="1432"/>
      <c r="AR632" s="1432"/>
      <c r="AS632" s="1432"/>
      <c r="AU632" s="3"/>
      <c r="AZ632" s="3"/>
      <c r="BA632" s="3"/>
      <c r="BB632" s="3"/>
      <c r="BC632" s="3"/>
    </row>
    <row r="633" spans="1:56" ht="12.95" customHeight="1">
      <c r="B633" s="1498"/>
      <c r="C633" s="1498"/>
      <c r="D633" s="1498"/>
      <c r="E633" s="1498"/>
      <c r="F633" s="1498"/>
      <c r="G633" s="1498"/>
      <c r="H633" s="1498"/>
      <c r="I633" s="1498"/>
      <c r="J633" s="1498"/>
      <c r="K633" s="1498"/>
      <c r="L633" s="1498"/>
      <c r="M633" s="1432"/>
      <c r="N633" s="1432"/>
      <c r="O633" s="1432"/>
      <c r="P633" s="1432"/>
      <c r="Q633" s="1432"/>
      <c r="R633" s="1432"/>
      <c r="S633" s="1432"/>
      <c r="T633" s="1432"/>
      <c r="U633" s="1432"/>
      <c r="V633" s="1432"/>
      <c r="W633" s="1790"/>
      <c r="X633" s="1790"/>
      <c r="Y633" s="1790"/>
      <c r="Z633" s="1416"/>
      <c r="AA633" s="1416"/>
      <c r="AB633" s="1417"/>
      <c r="AC633" s="1454"/>
      <c r="AD633" s="1455"/>
      <c r="AE633" s="1456"/>
      <c r="AF633" s="1415"/>
      <c r="AG633" s="1416"/>
      <c r="AH633" s="1416"/>
      <c r="AI633" s="1416"/>
      <c r="AJ633" s="1417"/>
      <c r="AK633" s="1654"/>
      <c r="AL633" s="1655"/>
      <c r="AM633" s="1655"/>
      <c r="AN633" s="1656"/>
      <c r="AO633" s="1432"/>
      <c r="AP633" s="1432"/>
      <c r="AQ633" s="1432"/>
      <c r="AR633" s="1432"/>
      <c r="AS633" s="1432"/>
      <c r="AU633" s="3"/>
      <c r="AZ633" s="3"/>
      <c r="BA633" s="3"/>
      <c r="BB633" s="3"/>
      <c r="BC633" s="3"/>
      <c r="BD633" s="3"/>
    </row>
    <row r="634" spans="1:56" ht="12.95" customHeight="1">
      <c r="B634" s="1498"/>
      <c r="C634" s="1498"/>
      <c r="D634" s="1498"/>
      <c r="E634" s="1498"/>
      <c r="F634" s="1498"/>
      <c r="G634" s="1498"/>
      <c r="H634" s="1498"/>
      <c r="I634" s="1498"/>
      <c r="J634" s="1498"/>
      <c r="K634" s="1498"/>
      <c r="L634" s="1498"/>
      <c r="M634" s="1432"/>
      <c r="N634" s="1432"/>
      <c r="O634" s="1432"/>
      <c r="P634" s="1432"/>
      <c r="Q634" s="1432"/>
      <c r="R634" s="1432"/>
      <c r="S634" s="1432"/>
      <c r="T634" s="1432"/>
      <c r="U634" s="1432"/>
      <c r="V634" s="1432"/>
      <c r="W634" s="1790"/>
      <c r="X634" s="1790"/>
      <c r="Y634" s="1790"/>
      <c r="Z634" s="1419"/>
      <c r="AA634" s="1419"/>
      <c r="AB634" s="1420"/>
      <c r="AC634" s="1457"/>
      <c r="AD634" s="1458"/>
      <c r="AE634" s="1459"/>
      <c r="AF634" s="1418"/>
      <c r="AG634" s="1419"/>
      <c r="AH634" s="1419"/>
      <c r="AI634" s="1419"/>
      <c r="AJ634" s="1420"/>
      <c r="AK634" s="1657"/>
      <c r="AL634" s="1658"/>
      <c r="AM634" s="1658"/>
      <c r="AN634" s="1659"/>
      <c r="AO634" s="1432"/>
      <c r="AP634" s="1432"/>
      <c r="AQ634" s="1432"/>
      <c r="AR634" s="1432"/>
      <c r="AS634" s="1432"/>
      <c r="AT634" s="3"/>
      <c r="AU634" s="3"/>
      <c r="AZ634" s="3"/>
      <c r="BA634" s="3"/>
      <c r="BB634" s="3"/>
      <c r="BC634" s="3"/>
      <c r="BD634" s="3"/>
    </row>
    <row r="635" spans="1:56" ht="12.95" customHeight="1">
      <c r="B635" s="51" t="s">
        <v>112</v>
      </c>
      <c r="C635" s="1493" t="s">
        <v>2818</v>
      </c>
      <c r="D635" s="1493"/>
      <c r="E635" s="1493"/>
      <c r="F635" s="1493"/>
      <c r="G635" s="1493"/>
      <c r="H635" s="1493"/>
      <c r="I635" s="1493"/>
      <c r="J635" s="1493"/>
      <c r="K635" s="1493"/>
      <c r="L635" s="1493"/>
      <c r="M635" s="1497" t="s">
        <v>2069</v>
      </c>
      <c r="N635" s="1497"/>
      <c r="O635" s="1497"/>
      <c r="P635" s="1497"/>
      <c r="Q635" s="1447">
        <v>180</v>
      </c>
      <c r="R635" s="1447"/>
      <c r="S635" s="1448"/>
      <c r="T635" s="1446">
        <v>480</v>
      </c>
      <c r="U635" s="1447"/>
      <c r="V635" s="1448"/>
      <c r="W635" s="1488">
        <v>6.5000000000000002E-2</v>
      </c>
      <c r="X635" s="1489"/>
      <c r="Y635" s="1490"/>
      <c r="Z635" s="1409" t="s">
        <v>2081</v>
      </c>
      <c r="AA635" s="1410"/>
      <c r="AB635" s="1411"/>
      <c r="AC635" s="1429">
        <v>1</v>
      </c>
      <c r="AD635" s="1430"/>
      <c r="AE635" s="1431"/>
      <c r="AF635" s="1608">
        <v>1369968</v>
      </c>
      <c r="AG635" s="1609"/>
      <c r="AH635" s="1609"/>
      <c r="AI635" s="1609"/>
      <c r="AJ635" s="1610"/>
      <c r="AK635" s="1421"/>
      <c r="AL635" s="1422"/>
      <c r="AM635" s="1422"/>
      <c r="AN635" s="1423"/>
      <c r="AO635" s="1495">
        <v>19500000</v>
      </c>
      <c r="AP635" s="1495"/>
      <c r="AQ635" s="1495"/>
      <c r="AR635" s="1495"/>
      <c r="AS635" s="1495"/>
      <c r="AT635" s="3"/>
      <c r="AU635" s="3"/>
      <c r="AZ635" s="3"/>
      <c r="BA635" s="3"/>
      <c r="BB635" s="3"/>
      <c r="BC635" s="3"/>
      <c r="BD635" s="3"/>
    </row>
    <row r="636" spans="1:56" ht="12.95" customHeight="1">
      <c r="B636" s="52" t="s">
        <v>113</v>
      </c>
      <c r="C636" s="1493" t="s">
        <v>2832</v>
      </c>
      <c r="D636" s="1493"/>
      <c r="E636" s="1493"/>
      <c r="F636" s="1493"/>
      <c r="G636" s="1493"/>
      <c r="H636" s="1493"/>
      <c r="I636" s="1493"/>
      <c r="J636" s="1493"/>
      <c r="K636" s="1493"/>
      <c r="L636" s="1493"/>
      <c r="M636" s="1497" t="s">
        <v>2070</v>
      </c>
      <c r="N636" s="1497"/>
      <c r="O636" s="1497"/>
      <c r="P636" s="1497"/>
      <c r="Q636" s="1446">
        <v>180</v>
      </c>
      <c r="R636" s="1447"/>
      <c r="S636" s="1448"/>
      <c r="T636" s="1446">
        <v>480</v>
      </c>
      <c r="U636" s="1447"/>
      <c r="V636" s="1448"/>
      <c r="W636" s="1488">
        <v>7.0000000000000007E-2</v>
      </c>
      <c r="X636" s="1489"/>
      <c r="Y636" s="1490"/>
      <c r="Z636" s="1409" t="s">
        <v>457</v>
      </c>
      <c r="AA636" s="1410"/>
      <c r="AB636" s="1411"/>
      <c r="AC636" s="1429"/>
      <c r="AD636" s="1430"/>
      <c r="AE636" s="1431"/>
      <c r="AF636" s="1608"/>
      <c r="AG636" s="1609"/>
      <c r="AH636" s="1609"/>
      <c r="AI636" s="1609"/>
      <c r="AJ636" s="1610"/>
      <c r="AK636" s="1421"/>
      <c r="AL636" s="1422"/>
      <c r="AM636" s="1422"/>
      <c r="AN636" s="1423"/>
      <c r="AO636" s="1436">
        <v>12000000</v>
      </c>
      <c r="AP636" s="1437"/>
      <c r="AQ636" s="1437"/>
      <c r="AR636" s="1437"/>
      <c r="AS636" s="1438"/>
      <c r="AT636" s="1137" t="str">
        <f>IF(AND(NOT(C635=""),C636="",NOT(C637="")),"!","")</f>
        <v/>
      </c>
      <c r="AU636" s="3"/>
      <c r="AZ636" s="3"/>
      <c r="BA636" s="3"/>
      <c r="BB636" s="3"/>
      <c r="BC636" s="3"/>
      <c r="BD636" s="3"/>
    </row>
    <row r="637" spans="1:56" ht="12.95" customHeight="1">
      <c r="B637" s="52" t="s">
        <v>119</v>
      </c>
      <c r="C637" s="1493" t="s">
        <v>2738</v>
      </c>
      <c r="D637" s="1493"/>
      <c r="E637" s="1493"/>
      <c r="F637" s="1493"/>
      <c r="G637" s="1493"/>
      <c r="H637" s="1493"/>
      <c r="I637" s="1493"/>
      <c r="J637" s="1493"/>
      <c r="K637" s="1493"/>
      <c r="L637" s="1493"/>
      <c r="M637" s="1497" t="s">
        <v>2056</v>
      </c>
      <c r="N637" s="1497"/>
      <c r="O637" s="1497"/>
      <c r="P637" s="1497"/>
      <c r="Q637" s="1446"/>
      <c r="R637" s="1447"/>
      <c r="S637" s="1448"/>
      <c r="T637" s="1446"/>
      <c r="U637" s="1447"/>
      <c r="V637" s="1448"/>
      <c r="W637" s="1488"/>
      <c r="X637" s="1489"/>
      <c r="Y637" s="1490"/>
      <c r="Z637" s="1409" t="s">
        <v>1183</v>
      </c>
      <c r="AA637" s="1410"/>
      <c r="AB637" s="1411"/>
      <c r="AC637" s="1429"/>
      <c r="AD637" s="1430"/>
      <c r="AE637" s="1431"/>
      <c r="AF637" s="1608"/>
      <c r="AG637" s="1609"/>
      <c r="AH637" s="1609"/>
      <c r="AI637" s="1609"/>
      <c r="AJ637" s="1610"/>
      <c r="AK637" s="1421"/>
      <c r="AL637" s="1422"/>
      <c r="AM637" s="1422"/>
      <c r="AN637" s="1423"/>
      <c r="AO637" s="1436">
        <v>3668623</v>
      </c>
      <c r="AP637" s="1437"/>
      <c r="AQ637" s="1437"/>
      <c r="AR637" s="1437"/>
      <c r="AS637" s="1438"/>
      <c r="AT637" s="1137" t="str">
        <f t="shared" ref="AT637:AT646" si="2">IF(AND(NOT(C636=""),C637="",NOT(C638="")),"!","")</f>
        <v/>
      </c>
      <c r="AU637" s="3"/>
      <c r="AZ637" s="3"/>
      <c r="BA637" s="3"/>
      <c r="BB637" s="3"/>
      <c r="BC637" s="3"/>
      <c r="BD637" s="3"/>
    </row>
    <row r="638" spans="1:56" ht="12.95" customHeight="1">
      <c r="B638" s="52" t="s">
        <v>581</v>
      </c>
      <c r="C638" s="1427"/>
      <c r="D638" s="1427"/>
      <c r="E638" s="1427"/>
      <c r="F638" s="1427"/>
      <c r="G638" s="1427"/>
      <c r="H638" s="1427"/>
      <c r="I638" s="1427"/>
      <c r="J638" s="1427"/>
      <c r="K638" s="1427"/>
      <c r="L638" s="1427"/>
      <c r="M638" s="1497" t="s">
        <v>1183</v>
      </c>
      <c r="N638" s="1497"/>
      <c r="O638" s="1497"/>
      <c r="P638" s="1497"/>
      <c r="Q638" s="1446"/>
      <c r="R638" s="1447"/>
      <c r="S638" s="1448"/>
      <c r="T638" s="1446"/>
      <c r="U638" s="1447"/>
      <c r="V638" s="1448"/>
      <c r="W638" s="1488"/>
      <c r="X638" s="1489"/>
      <c r="Y638" s="1490"/>
      <c r="Z638" s="1409" t="s">
        <v>1183</v>
      </c>
      <c r="AA638" s="1410"/>
      <c r="AB638" s="1411"/>
      <c r="AC638" s="1429"/>
      <c r="AD638" s="1430"/>
      <c r="AE638" s="1431"/>
      <c r="AF638" s="1608"/>
      <c r="AG638" s="1609"/>
      <c r="AH638" s="1609"/>
      <c r="AI638" s="1609"/>
      <c r="AJ638" s="1610"/>
      <c r="AK638" s="1421"/>
      <c r="AL638" s="1422"/>
      <c r="AM638" s="1422"/>
      <c r="AN638" s="1423"/>
      <c r="AO638" s="1436"/>
      <c r="AP638" s="1437"/>
      <c r="AQ638" s="1437"/>
      <c r="AR638" s="1437"/>
      <c r="AS638" s="1438"/>
      <c r="AT638" s="1137" t="str">
        <f t="shared" si="2"/>
        <v/>
      </c>
      <c r="AU638" s="3"/>
      <c r="AZ638" s="3"/>
      <c r="BA638" s="3"/>
      <c r="BB638" s="3"/>
      <c r="BC638" s="3"/>
      <c r="BD638" s="3"/>
    </row>
    <row r="639" spans="1:56" ht="12.95" customHeight="1">
      <c r="B639" s="52" t="s">
        <v>763</v>
      </c>
      <c r="C639" s="1427"/>
      <c r="D639" s="1427"/>
      <c r="E639" s="1427"/>
      <c r="F639" s="1427"/>
      <c r="G639" s="1427"/>
      <c r="H639" s="1427"/>
      <c r="I639" s="1427"/>
      <c r="J639" s="1427"/>
      <c r="K639" s="1427"/>
      <c r="L639" s="1427"/>
      <c r="M639" s="1497" t="s">
        <v>1183</v>
      </c>
      <c r="N639" s="1497"/>
      <c r="O639" s="1497"/>
      <c r="P639" s="1497"/>
      <c r="Q639" s="1446"/>
      <c r="R639" s="1447"/>
      <c r="S639" s="1448"/>
      <c r="T639" s="1446"/>
      <c r="U639" s="1447"/>
      <c r="V639" s="1448"/>
      <c r="W639" s="1488"/>
      <c r="X639" s="1489"/>
      <c r="Y639" s="1490"/>
      <c r="Z639" s="1409" t="s">
        <v>1183</v>
      </c>
      <c r="AA639" s="1410"/>
      <c r="AB639" s="1411"/>
      <c r="AC639" s="1429"/>
      <c r="AD639" s="1430"/>
      <c r="AE639" s="1431"/>
      <c r="AF639" s="1608"/>
      <c r="AG639" s="1609"/>
      <c r="AH639" s="1609"/>
      <c r="AI639" s="1609"/>
      <c r="AJ639" s="1610"/>
      <c r="AK639" s="1421"/>
      <c r="AL639" s="1422"/>
      <c r="AM639" s="1422"/>
      <c r="AN639" s="1423"/>
      <c r="AO639" s="1436"/>
      <c r="AP639" s="1437"/>
      <c r="AQ639" s="1437"/>
      <c r="AR639" s="1437"/>
      <c r="AS639" s="1438"/>
      <c r="AT639" s="1137" t="str">
        <f t="shared" si="2"/>
        <v/>
      </c>
      <c r="AU639" s="3"/>
      <c r="AZ639" s="3"/>
      <c r="BA639" s="3"/>
      <c r="BB639" s="3"/>
      <c r="BC639" s="3"/>
      <c r="BD639" s="3"/>
    </row>
    <row r="640" spans="1:56" ht="12.95" customHeight="1">
      <c r="B640" s="52" t="s">
        <v>584</v>
      </c>
      <c r="C640" s="1427"/>
      <c r="D640" s="1427"/>
      <c r="E640" s="1427"/>
      <c r="F640" s="1427"/>
      <c r="G640" s="1427"/>
      <c r="H640" s="1427"/>
      <c r="I640" s="1427"/>
      <c r="J640" s="1427"/>
      <c r="K640" s="1427"/>
      <c r="L640" s="1427"/>
      <c r="M640" s="1497" t="s">
        <v>1183</v>
      </c>
      <c r="N640" s="1497"/>
      <c r="O640" s="1497"/>
      <c r="P640" s="1497"/>
      <c r="Q640" s="1446"/>
      <c r="R640" s="1447"/>
      <c r="S640" s="1448"/>
      <c r="T640" s="1446"/>
      <c r="U640" s="1447"/>
      <c r="V640" s="1448"/>
      <c r="W640" s="1488"/>
      <c r="X640" s="1489"/>
      <c r="Y640" s="1490"/>
      <c r="Z640" s="1409" t="s">
        <v>1183</v>
      </c>
      <c r="AA640" s="1410"/>
      <c r="AB640" s="1411"/>
      <c r="AC640" s="1429"/>
      <c r="AD640" s="1430"/>
      <c r="AE640" s="1431"/>
      <c r="AF640" s="1608"/>
      <c r="AG640" s="1609"/>
      <c r="AH640" s="1609"/>
      <c r="AI640" s="1609"/>
      <c r="AJ640" s="1610"/>
      <c r="AK640" s="1421"/>
      <c r="AL640" s="1422"/>
      <c r="AM640" s="1422"/>
      <c r="AN640" s="1423"/>
      <c r="AO640" s="1436"/>
      <c r="AP640" s="1437"/>
      <c r="AQ640" s="1437"/>
      <c r="AR640" s="1437"/>
      <c r="AS640" s="1438"/>
      <c r="AT640" s="1137" t="str">
        <f t="shared" si="2"/>
        <v/>
      </c>
      <c r="AU640" s="3"/>
      <c r="AZ640" s="3"/>
      <c r="BA640" s="3"/>
      <c r="BB640" s="3"/>
      <c r="BC640" s="3"/>
      <c r="BD640" s="3"/>
    </row>
    <row r="641" spans="1:157" ht="12.95" customHeight="1">
      <c r="B641" s="52" t="s">
        <v>455</v>
      </c>
      <c r="C641" s="1427"/>
      <c r="D641" s="1427"/>
      <c r="E641" s="1427"/>
      <c r="F641" s="1427"/>
      <c r="G641" s="1427"/>
      <c r="H641" s="1427"/>
      <c r="I641" s="1427"/>
      <c r="J641" s="1427"/>
      <c r="K641" s="1427"/>
      <c r="L641" s="1427"/>
      <c r="M641" s="1497" t="s">
        <v>1183</v>
      </c>
      <c r="N641" s="1497"/>
      <c r="O641" s="1497"/>
      <c r="P641" s="1497"/>
      <c r="Q641" s="1446"/>
      <c r="R641" s="1447"/>
      <c r="S641" s="1448"/>
      <c r="T641" s="1446"/>
      <c r="U641" s="1447"/>
      <c r="V641" s="1448"/>
      <c r="W641" s="1488"/>
      <c r="X641" s="1489"/>
      <c r="Y641" s="1490"/>
      <c r="Z641" s="1409" t="s">
        <v>1183</v>
      </c>
      <c r="AA641" s="1410"/>
      <c r="AB641" s="1411"/>
      <c r="AC641" s="1429"/>
      <c r="AD641" s="1430"/>
      <c r="AE641" s="1431"/>
      <c r="AF641" s="1608"/>
      <c r="AG641" s="1609"/>
      <c r="AH641" s="1609"/>
      <c r="AI641" s="1609"/>
      <c r="AJ641" s="1610"/>
      <c r="AK641" s="1421"/>
      <c r="AL641" s="1422"/>
      <c r="AM641" s="1422"/>
      <c r="AN641" s="1423"/>
      <c r="AO641" s="1436"/>
      <c r="AP641" s="1437"/>
      <c r="AQ641" s="1437"/>
      <c r="AR641" s="1437"/>
      <c r="AS641" s="1438"/>
      <c r="AT641" s="1137" t="str">
        <f t="shared" si="2"/>
        <v/>
      </c>
      <c r="AU641" s="3"/>
      <c r="AV641" s="3"/>
      <c r="AW641" s="3"/>
      <c r="AX641" s="3"/>
      <c r="AY641" s="3"/>
      <c r="AZ641" s="3"/>
      <c r="BA641" s="3"/>
      <c r="BB641" s="3"/>
      <c r="BC641" s="3"/>
      <c r="BD641" s="3"/>
    </row>
    <row r="642" spans="1:157" ht="12.95" customHeight="1">
      <c r="B642" s="52" t="s">
        <v>456</v>
      </c>
      <c r="C642" s="1427"/>
      <c r="D642" s="1427"/>
      <c r="E642" s="1427"/>
      <c r="F642" s="1427"/>
      <c r="G642" s="1427"/>
      <c r="H642" s="1427"/>
      <c r="I642" s="1427"/>
      <c r="J642" s="1427"/>
      <c r="K642" s="1427"/>
      <c r="L642" s="1427"/>
      <c r="M642" s="1497" t="s">
        <v>1183</v>
      </c>
      <c r="N642" s="1497"/>
      <c r="O642" s="1497"/>
      <c r="P642" s="1497"/>
      <c r="Q642" s="1446"/>
      <c r="R642" s="1447"/>
      <c r="S642" s="1448"/>
      <c r="T642" s="1446"/>
      <c r="U642" s="1447"/>
      <c r="V642" s="1448"/>
      <c r="W642" s="1488"/>
      <c r="X642" s="1489"/>
      <c r="Y642" s="1490"/>
      <c r="Z642" s="1409" t="s">
        <v>1183</v>
      </c>
      <c r="AA642" s="1410"/>
      <c r="AB642" s="1411"/>
      <c r="AC642" s="1429"/>
      <c r="AD642" s="1430"/>
      <c r="AE642" s="1431"/>
      <c r="AF642" s="1608"/>
      <c r="AG642" s="1609"/>
      <c r="AH642" s="1609"/>
      <c r="AI642" s="1609"/>
      <c r="AJ642" s="1610"/>
      <c r="AK642" s="1421"/>
      <c r="AL642" s="1422"/>
      <c r="AM642" s="1422"/>
      <c r="AN642" s="1423"/>
      <c r="AO642" s="1436"/>
      <c r="AP642" s="1437"/>
      <c r="AQ642" s="1437"/>
      <c r="AR642" s="1437"/>
      <c r="AS642" s="1438"/>
      <c r="AT642" s="1137" t="str">
        <f t="shared" si="2"/>
        <v/>
      </c>
      <c r="AU642" s="3"/>
      <c r="AV642" s="3"/>
      <c r="AW642" s="3"/>
      <c r="AX642" s="3"/>
      <c r="AY642" s="3"/>
      <c r="AZ642" s="3"/>
      <c r="BA642" s="3" t="s">
        <v>1183</v>
      </c>
      <c r="BB642" s="3"/>
      <c r="BC642" s="3"/>
      <c r="BD642" s="3"/>
    </row>
    <row r="643" spans="1:157" ht="12.95" customHeight="1">
      <c r="B643" s="52" t="s">
        <v>461</v>
      </c>
      <c r="C643" s="1427"/>
      <c r="D643" s="1427"/>
      <c r="E643" s="1427"/>
      <c r="F643" s="1427"/>
      <c r="G643" s="1427"/>
      <c r="H643" s="1427"/>
      <c r="I643" s="1427"/>
      <c r="J643" s="1427"/>
      <c r="K643" s="1427"/>
      <c r="L643" s="1427"/>
      <c r="M643" s="1497" t="s">
        <v>1183</v>
      </c>
      <c r="N643" s="1497"/>
      <c r="O643" s="1497"/>
      <c r="P643" s="1497"/>
      <c r="Q643" s="1446"/>
      <c r="R643" s="1447"/>
      <c r="S643" s="1448"/>
      <c r="T643" s="1446"/>
      <c r="U643" s="1447"/>
      <c r="V643" s="1448"/>
      <c r="W643" s="1488"/>
      <c r="X643" s="1489"/>
      <c r="Y643" s="1490"/>
      <c r="Z643" s="1409" t="s">
        <v>1183</v>
      </c>
      <c r="AA643" s="1410"/>
      <c r="AB643" s="1411"/>
      <c r="AC643" s="1429"/>
      <c r="AD643" s="1430"/>
      <c r="AE643" s="1431"/>
      <c r="AF643" s="1608"/>
      <c r="AG643" s="1609"/>
      <c r="AH643" s="1609"/>
      <c r="AI643" s="1609"/>
      <c r="AJ643" s="1610"/>
      <c r="AK643" s="1421"/>
      <c r="AL643" s="1422"/>
      <c r="AM643" s="1422"/>
      <c r="AN643" s="1423"/>
      <c r="AO643" s="1436"/>
      <c r="AP643" s="1437"/>
      <c r="AQ643" s="1437"/>
      <c r="AR643" s="1437"/>
      <c r="AS643" s="1438"/>
      <c r="AT643" s="1137" t="str">
        <f t="shared" si="2"/>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02">
        <f t="shared" ref="DX643:DX677" si="3">EZ726*(CP726/$CP$761)</f>
        <v>131.53846153846155</v>
      </c>
      <c r="DY643" s="1502"/>
      <c r="DZ643" s="1502"/>
      <c r="EA643" s="1502"/>
      <c r="EB643" s="1502"/>
      <c r="EC643" s="1502" t="e">
        <f t="shared" ref="EC643:EC677" si="4">FE726*(CU726/$CU$761)</f>
        <v>#VALUE!</v>
      </c>
      <c r="ED643" s="1502"/>
      <c r="EE643" s="1502"/>
      <c r="EF643" s="1502"/>
      <c r="EG643" s="1502"/>
      <c r="EH643" s="1502" t="e">
        <f t="shared" ref="EH643:EH677" si="5">FJ726*(CZ726/$CZ$761)</f>
        <v>#VALUE!</v>
      </c>
      <c r="EI643" s="1502"/>
      <c r="EJ643" s="1502"/>
      <c r="EK643" s="1502"/>
      <c r="EL643" s="1502"/>
      <c r="EM643" s="1502" t="e">
        <f t="shared" ref="EM643:EM677" si="6">FO726*(DE726/$DE$761)</f>
        <v>#VALUE!</v>
      </c>
      <c r="EN643" s="1502"/>
      <c r="EO643" s="1502"/>
      <c r="EP643" s="1502"/>
      <c r="EQ643" s="1502"/>
      <c r="ER643" s="1502" t="e">
        <f t="shared" ref="ER643:ER677" si="7">FT726*(DJ726/$DJ$761)</f>
        <v>#VALUE!</v>
      </c>
      <c r="ES643" s="1502"/>
      <c r="ET643" s="1502"/>
      <c r="EU643" s="1502"/>
      <c r="EV643" s="1502"/>
      <c r="EW643" s="1502" t="e">
        <f t="shared" ref="EW643:EW677" si="8">FY726*(DO726/$DO$761)</f>
        <v>#VALUE!</v>
      </c>
      <c r="EX643" s="1502"/>
      <c r="EY643" s="1502"/>
      <c r="EZ643" s="1502"/>
      <c r="FA643" s="1502"/>
    </row>
    <row r="644" spans="1:157" ht="12.95" customHeight="1">
      <c r="B644" s="52" t="s">
        <v>646</v>
      </c>
      <c r="C644" s="1427"/>
      <c r="D644" s="1427"/>
      <c r="E644" s="1427"/>
      <c r="F644" s="1427"/>
      <c r="G644" s="1427"/>
      <c r="H644" s="1427"/>
      <c r="I644" s="1427"/>
      <c r="J644" s="1427"/>
      <c r="K644" s="1427"/>
      <c r="L644" s="1427"/>
      <c r="M644" s="1497" t="s">
        <v>1183</v>
      </c>
      <c r="N644" s="1497"/>
      <c r="O644" s="1497"/>
      <c r="P644" s="1497"/>
      <c r="Q644" s="1446"/>
      <c r="R644" s="1447"/>
      <c r="S644" s="1448"/>
      <c r="T644" s="1446"/>
      <c r="U644" s="1447"/>
      <c r="V644" s="1448"/>
      <c r="W644" s="1488"/>
      <c r="X644" s="1489"/>
      <c r="Y644" s="1490"/>
      <c r="Z644" s="1409" t="s">
        <v>1183</v>
      </c>
      <c r="AA644" s="1410"/>
      <c r="AB644" s="1411"/>
      <c r="AC644" s="1429"/>
      <c r="AD644" s="1430"/>
      <c r="AE644" s="1431"/>
      <c r="AF644" s="1608"/>
      <c r="AG644" s="1609"/>
      <c r="AH644" s="1609"/>
      <c r="AI644" s="1609"/>
      <c r="AJ644" s="1610"/>
      <c r="AK644" s="1421"/>
      <c r="AL644" s="1422"/>
      <c r="AM644" s="1422"/>
      <c r="AN644" s="1423"/>
      <c r="AO644" s="1436"/>
      <c r="AP644" s="1437"/>
      <c r="AQ644" s="1437"/>
      <c r="AR644" s="1437"/>
      <c r="AS644" s="1438"/>
      <c r="AT644" s="1137" t="str">
        <f t="shared" si="2"/>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502">
        <f t="shared" si="3"/>
        <v>225.84615384615387</v>
      </c>
      <c r="DY644" s="1502"/>
      <c r="DZ644" s="1502"/>
      <c r="EA644" s="1502"/>
      <c r="EB644" s="1502"/>
      <c r="EC644" s="1502" t="e">
        <f t="shared" si="4"/>
        <v>#VALUE!</v>
      </c>
      <c r="ED644" s="1502"/>
      <c r="EE644" s="1502"/>
      <c r="EF644" s="1502"/>
      <c r="EG644" s="1502"/>
      <c r="EH644" s="1502" t="e">
        <f t="shared" si="5"/>
        <v>#VALUE!</v>
      </c>
      <c r="EI644" s="1502"/>
      <c r="EJ644" s="1502"/>
      <c r="EK644" s="1502"/>
      <c r="EL644" s="1502"/>
      <c r="EM644" s="1502" t="e">
        <f t="shared" si="6"/>
        <v>#VALUE!</v>
      </c>
      <c r="EN644" s="1502"/>
      <c r="EO644" s="1502"/>
      <c r="EP644" s="1502"/>
      <c r="EQ644" s="1502"/>
      <c r="ER644" s="1502" t="e">
        <f t="shared" si="7"/>
        <v>#VALUE!</v>
      </c>
      <c r="ES644" s="1502"/>
      <c r="ET644" s="1502"/>
      <c r="EU644" s="1502"/>
      <c r="EV644" s="1502"/>
      <c r="EW644" s="1502" t="e">
        <f t="shared" si="8"/>
        <v>#VALUE!</v>
      </c>
      <c r="EX644" s="1502"/>
      <c r="EY644" s="1502"/>
      <c r="EZ644" s="1502"/>
      <c r="FA644" s="1502"/>
    </row>
    <row r="645" spans="1:157" ht="12.95" customHeight="1">
      <c r="B645" s="52" t="s">
        <v>362</v>
      </c>
      <c r="C645" s="1427"/>
      <c r="D645" s="1427"/>
      <c r="E645" s="1427"/>
      <c r="F645" s="1427"/>
      <c r="G645" s="1427"/>
      <c r="H645" s="1427"/>
      <c r="I645" s="1427"/>
      <c r="J645" s="1427"/>
      <c r="K645" s="1427"/>
      <c r="L645" s="1427"/>
      <c r="M645" s="1497" t="s">
        <v>1183</v>
      </c>
      <c r="N645" s="1497"/>
      <c r="O645" s="1497"/>
      <c r="P645" s="1497"/>
      <c r="Q645" s="1446"/>
      <c r="R645" s="1447"/>
      <c r="S645" s="1448"/>
      <c r="T645" s="1446"/>
      <c r="U645" s="1447"/>
      <c r="V645" s="1448"/>
      <c r="W645" s="1488"/>
      <c r="X645" s="1489"/>
      <c r="Y645" s="1490"/>
      <c r="Z645" s="1409" t="s">
        <v>1183</v>
      </c>
      <c r="AA645" s="1410"/>
      <c r="AB645" s="1411"/>
      <c r="AC645" s="1429"/>
      <c r="AD645" s="1430"/>
      <c r="AE645" s="1431"/>
      <c r="AF645" s="1608"/>
      <c r="AG645" s="1609"/>
      <c r="AH645" s="1609"/>
      <c r="AI645" s="1609"/>
      <c r="AJ645" s="1610"/>
      <c r="AK645" s="1421"/>
      <c r="AL645" s="1422"/>
      <c r="AM645" s="1422"/>
      <c r="AN645" s="1423"/>
      <c r="AO645" s="1436"/>
      <c r="AP645" s="1437"/>
      <c r="AQ645" s="1437"/>
      <c r="AR645" s="1437"/>
      <c r="AS645" s="1438"/>
      <c r="AT645" s="1137" t="str">
        <f t="shared" si="2"/>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502">
        <f t="shared" si="3"/>
        <v>545.84615384615392</v>
      </c>
      <c r="DY645" s="1502"/>
      <c r="DZ645" s="1502"/>
      <c r="EA645" s="1502"/>
      <c r="EB645" s="1502"/>
      <c r="EC645" s="1502" t="e">
        <f t="shared" si="4"/>
        <v>#VALUE!</v>
      </c>
      <c r="ED645" s="1502"/>
      <c r="EE645" s="1502"/>
      <c r="EF645" s="1502"/>
      <c r="EG645" s="1502"/>
      <c r="EH645" s="1502" t="e">
        <f t="shared" si="5"/>
        <v>#VALUE!</v>
      </c>
      <c r="EI645" s="1502"/>
      <c r="EJ645" s="1502"/>
      <c r="EK645" s="1502"/>
      <c r="EL645" s="1502"/>
      <c r="EM645" s="1502" t="e">
        <f t="shared" si="6"/>
        <v>#VALUE!</v>
      </c>
      <c r="EN645" s="1502"/>
      <c r="EO645" s="1502"/>
      <c r="EP645" s="1502"/>
      <c r="EQ645" s="1502"/>
      <c r="ER645" s="1502" t="e">
        <f t="shared" si="7"/>
        <v>#VALUE!</v>
      </c>
      <c r="ES645" s="1502"/>
      <c r="ET645" s="1502"/>
      <c r="EU645" s="1502"/>
      <c r="EV645" s="1502"/>
      <c r="EW645" s="1502" t="e">
        <f t="shared" si="8"/>
        <v>#VALUE!</v>
      </c>
      <c r="EX645" s="1502"/>
      <c r="EY645" s="1502"/>
      <c r="EZ645" s="1502"/>
      <c r="FA645" s="1502"/>
    </row>
    <row r="646" spans="1:157" ht="12.95" customHeight="1">
      <c r="B646" s="52" t="s">
        <v>363</v>
      </c>
      <c r="C646" s="1427"/>
      <c r="D646" s="1427"/>
      <c r="E646" s="1427"/>
      <c r="F646" s="1427"/>
      <c r="G646" s="1427"/>
      <c r="H646" s="1427"/>
      <c r="I646" s="1427"/>
      <c r="J646" s="1427"/>
      <c r="K646" s="1427"/>
      <c r="L646" s="1427"/>
      <c r="M646" s="1497" t="s">
        <v>1183</v>
      </c>
      <c r="N646" s="1497"/>
      <c r="O646" s="1497"/>
      <c r="P646" s="1497"/>
      <c r="Q646" s="1446"/>
      <c r="R646" s="1447"/>
      <c r="S646" s="1448"/>
      <c r="T646" s="1446"/>
      <c r="U646" s="1447"/>
      <c r="V646" s="1448"/>
      <c r="W646" s="1488"/>
      <c r="X646" s="1489"/>
      <c r="Y646" s="1490"/>
      <c r="Z646" s="1409" t="s">
        <v>1183</v>
      </c>
      <c r="AA646" s="1410"/>
      <c r="AB646" s="1411"/>
      <c r="AC646" s="1429"/>
      <c r="AD646" s="1430"/>
      <c r="AE646" s="1431"/>
      <c r="AF646" s="1608"/>
      <c r="AG646" s="1609"/>
      <c r="AH646" s="1609"/>
      <c r="AI646" s="1609"/>
      <c r="AJ646" s="1610"/>
      <c r="AK646" s="1421"/>
      <c r="AL646" s="1422"/>
      <c r="AM646" s="1422"/>
      <c r="AN646" s="1423"/>
      <c r="AO646" s="1436"/>
      <c r="AP646" s="1437"/>
      <c r="AQ646" s="1437"/>
      <c r="AR646" s="1437"/>
      <c r="AS646" s="1438"/>
      <c r="AT646" s="1137" t="str">
        <f t="shared" si="2"/>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502">
        <f t="shared" si="3"/>
        <v>800</v>
      </c>
      <c r="DY646" s="1502"/>
      <c r="DZ646" s="1502"/>
      <c r="EA646" s="1502"/>
      <c r="EB646" s="1502"/>
      <c r="EC646" s="1502" t="e">
        <f t="shared" si="4"/>
        <v>#VALUE!</v>
      </c>
      <c r="ED646" s="1502"/>
      <c r="EE646" s="1502"/>
      <c r="EF646" s="1502"/>
      <c r="EG646" s="1502"/>
      <c r="EH646" s="1502" t="e">
        <f t="shared" si="5"/>
        <v>#VALUE!</v>
      </c>
      <c r="EI646" s="1502"/>
      <c r="EJ646" s="1502"/>
      <c r="EK646" s="1502"/>
      <c r="EL646" s="1502"/>
      <c r="EM646" s="1502" t="e">
        <f t="shared" si="6"/>
        <v>#VALUE!</v>
      </c>
      <c r="EN646" s="1502"/>
      <c r="EO646" s="1502"/>
      <c r="EP646" s="1502"/>
      <c r="EQ646" s="1502"/>
      <c r="ER646" s="1502" t="e">
        <f t="shared" si="7"/>
        <v>#VALUE!</v>
      </c>
      <c r="ES646" s="1502"/>
      <c r="ET646" s="1502"/>
      <c r="EU646" s="1502"/>
      <c r="EV646" s="1502"/>
      <c r="EW646" s="1502" t="e">
        <f t="shared" si="8"/>
        <v>#VALUE!</v>
      </c>
      <c r="EX646" s="1502"/>
      <c r="EY646" s="1502"/>
      <c r="EZ646" s="1502"/>
      <c r="FA646" s="1502"/>
    </row>
    <row r="647" spans="1:157" ht="12.95" customHeight="1">
      <c r="B647" s="1630" t="s">
        <v>128</v>
      </c>
      <c r="C647" s="1631"/>
      <c r="D647" s="1631"/>
      <c r="E647" s="1631"/>
      <c r="F647" s="1631"/>
      <c r="G647" s="1631"/>
      <c r="H647" s="1631"/>
      <c r="I647" s="1631"/>
      <c r="J647" s="1631"/>
      <c r="K647" s="1631"/>
      <c r="L647" s="1631"/>
      <c r="M647" s="1631"/>
      <c r="N647" s="1631"/>
      <c r="O647" s="1631"/>
      <c r="P647" s="1631"/>
      <c r="Q647" s="1631"/>
      <c r="R647" s="1631"/>
      <c r="S647" s="1631"/>
      <c r="T647" s="1631"/>
      <c r="U647" s="1631"/>
      <c r="V647" s="1631"/>
      <c r="W647" s="1631"/>
      <c r="X647" s="1631"/>
      <c r="Y647" s="1631"/>
      <c r="Z647" s="1631"/>
      <c r="AA647" s="1631"/>
      <c r="AB647" s="1631"/>
      <c r="AC647" s="1631"/>
      <c r="AD647" s="1631"/>
      <c r="AE647" s="1631"/>
      <c r="AF647" s="1631"/>
      <c r="AG647" s="1631"/>
      <c r="AH647" s="1631"/>
      <c r="AI647" s="1631"/>
      <c r="AJ647" s="1631"/>
      <c r="AK647" s="1631"/>
      <c r="AL647" s="1631"/>
      <c r="AM647" s="1631"/>
      <c r="AN647" s="1632"/>
      <c r="AO647" s="1499">
        <f>SUM(AO635:AR646)</f>
        <v>35168623</v>
      </c>
      <c r="AP647" s="1500"/>
      <c r="AQ647" s="1500"/>
      <c r="AR647" s="1500"/>
      <c r="AS647" s="1501"/>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02" t="e">
        <f t="shared" si="3"/>
        <v>#VALUE!</v>
      </c>
      <c r="DY647" s="1502"/>
      <c r="DZ647" s="1502"/>
      <c r="EA647" s="1502"/>
      <c r="EB647" s="1502"/>
      <c r="EC647" s="1502">
        <f t="shared" si="4"/>
        <v>111.87692307692308</v>
      </c>
      <c r="ED647" s="1502"/>
      <c r="EE647" s="1502"/>
      <c r="EF647" s="1502"/>
      <c r="EG647" s="1502"/>
      <c r="EH647" s="1502" t="e">
        <f t="shared" si="5"/>
        <v>#VALUE!</v>
      </c>
      <c r="EI647" s="1502"/>
      <c r="EJ647" s="1502"/>
      <c r="EK647" s="1502"/>
      <c r="EL647" s="1502"/>
      <c r="EM647" s="1502" t="e">
        <f t="shared" si="6"/>
        <v>#VALUE!</v>
      </c>
      <c r="EN647" s="1502"/>
      <c r="EO647" s="1502"/>
      <c r="EP647" s="1502"/>
      <c r="EQ647" s="1502"/>
      <c r="ER647" s="1502" t="e">
        <f t="shared" si="7"/>
        <v>#VALUE!</v>
      </c>
      <c r="ES647" s="1502"/>
      <c r="ET647" s="1502"/>
      <c r="EU647" s="1502"/>
      <c r="EV647" s="1502"/>
      <c r="EW647" s="1502" t="e">
        <f t="shared" si="8"/>
        <v>#VALUE!</v>
      </c>
      <c r="EX647" s="1502"/>
      <c r="EY647" s="1502"/>
      <c r="EZ647" s="1502"/>
      <c r="FA647" s="1502"/>
    </row>
    <row r="648" spans="1:157" ht="12.95" customHeight="1">
      <c r="B648" s="1630" t="s">
        <v>267</v>
      </c>
      <c r="C648" s="1631"/>
      <c r="D648" s="1631"/>
      <c r="E648" s="1631"/>
      <c r="F648" s="1631"/>
      <c r="G648" s="1631"/>
      <c r="H648" s="1631"/>
      <c r="I648" s="1631"/>
      <c r="J648" s="1631"/>
      <c r="K648" s="1631"/>
      <c r="L648" s="1631"/>
      <c r="M648" s="1631"/>
      <c r="N648" s="1631"/>
      <c r="O648" s="1631"/>
      <c r="P648" s="1631"/>
      <c r="Q648" s="1631"/>
      <c r="R648" s="1631"/>
      <c r="S648" s="1631"/>
      <c r="T648" s="1631"/>
      <c r="U648" s="1631"/>
      <c r="V648" s="1631"/>
      <c r="W648" s="1631"/>
      <c r="X648" s="1631"/>
      <c r="Y648" s="1631"/>
      <c r="Z648" s="1631"/>
      <c r="AA648" s="1631"/>
      <c r="AB648" s="1631"/>
      <c r="AC648" s="1631"/>
      <c r="AD648" s="1631"/>
      <c r="AE648" s="1631"/>
      <c r="AF648" s="1631"/>
      <c r="AG648" s="1631"/>
      <c r="AH648" s="1631"/>
      <c r="AI648" s="1631"/>
      <c r="AJ648" s="1631"/>
      <c r="AK648" s="1631"/>
      <c r="AL648" s="1631"/>
      <c r="AM648" s="1631"/>
      <c r="AN648" s="1632"/>
      <c r="AO648" s="1436">
        <v>20737950</v>
      </c>
      <c r="AP648" s="1437"/>
      <c r="AQ648" s="1437"/>
      <c r="AR648" s="1437"/>
      <c r="AS648" s="1438"/>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02" t="e">
        <f t="shared" si="3"/>
        <v>#VALUE!</v>
      </c>
      <c r="DY648" s="1502"/>
      <c r="DZ648" s="1502"/>
      <c r="EA648" s="1502"/>
      <c r="EB648" s="1502"/>
      <c r="EC648" s="1502">
        <f t="shared" si="4"/>
        <v>192.61538461538461</v>
      </c>
      <c r="ED648" s="1502"/>
      <c r="EE648" s="1502"/>
      <c r="EF648" s="1502"/>
      <c r="EG648" s="1502"/>
      <c r="EH648" s="1502" t="e">
        <f t="shared" si="5"/>
        <v>#VALUE!</v>
      </c>
      <c r="EI648" s="1502"/>
      <c r="EJ648" s="1502"/>
      <c r="EK648" s="1502"/>
      <c r="EL648" s="1502"/>
      <c r="EM648" s="1502" t="e">
        <f t="shared" si="6"/>
        <v>#VALUE!</v>
      </c>
      <c r="EN648" s="1502"/>
      <c r="EO648" s="1502"/>
      <c r="EP648" s="1502"/>
      <c r="EQ648" s="1502"/>
      <c r="ER648" s="1502" t="e">
        <f t="shared" si="7"/>
        <v>#VALUE!</v>
      </c>
      <c r="ES648" s="1502"/>
      <c r="ET648" s="1502"/>
      <c r="EU648" s="1502"/>
      <c r="EV648" s="1502"/>
      <c r="EW648" s="1502" t="e">
        <f t="shared" si="8"/>
        <v>#VALUE!</v>
      </c>
      <c r="EX648" s="1502"/>
      <c r="EY648" s="1502"/>
      <c r="EZ648" s="1502"/>
      <c r="FA648" s="1502"/>
    </row>
    <row r="649" spans="1:157" ht="12.95" customHeight="1">
      <c r="B649" s="1645" t="s">
        <v>268</v>
      </c>
      <c r="C649" s="1646"/>
      <c r="D649" s="1646"/>
      <c r="E649" s="1646"/>
      <c r="F649" s="1646"/>
      <c r="G649" s="1646"/>
      <c r="H649" s="1646"/>
      <c r="I649" s="1646"/>
      <c r="J649" s="1646"/>
      <c r="K649" s="1646"/>
      <c r="L649" s="1646"/>
      <c r="M649" s="1646"/>
      <c r="N649" s="1646"/>
      <c r="O649" s="1646"/>
      <c r="P649" s="1646"/>
      <c r="Q649" s="1646"/>
      <c r="R649" s="1646"/>
      <c r="S649" s="1646"/>
      <c r="T649" s="1646"/>
      <c r="U649" s="1646"/>
      <c r="V649" s="1646"/>
      <c r="W649" s="1646"/>
      <c r="X649" s="1646"/>
      <c r="Y649" s="1646"/>
      <c r="Z649" s="1646"/>
      <c r="AA649" s="1646"/>
      <c r="AB649" s="1646"/>
      <c r="AC649" s="1646"/>
      <c r="AD649" s="1646"/>
      <c r="AE649" s="1646"/>
      <c r="AF649" s="1646"/>
      <c r="AG649" s="1646"/>
      <c r="AH649" s="1646"/>
      <c r="AI649" s="1646"/>
      <c r="AJ649" s="1646"/>
      <c r="AK649" s="1646"/>
      <c r="AL649" s="1646"/>
      <c r="AM649" s="1646"/>
      <c r="AN649" s="1647"/>
      <c r="AO649" s="1499">
        <f>AO647+AO648</f>
        <v>55906573</v>
      </c>
      <c r="AP649" s="1500"/>
      <c r="AQ649" s="1500"/>
      <c r="AR649" s="1500"/>
      <c r="AS649" s="1501"/>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02" t="e">
        <f t="shared" si="3"/>
        <v>#VALUE!</v>
      </c>
      <c r="DY649" s="1502"/>
      <c r="DZ649" s="1502"/>
      <c r="EA649" s="1502"/>
      <c r="EB649" s="1502"/>
      <c r="EC649" s="1502">
        <f t="shared" si="4"/>
        <v>1019.3076923076923</v>
      </c>
      <c r="ED649" s="1502"/>
      <c r="EE649" s="1502"/>
      <c r="EF649" s="1502"/>
      <c r="EG649" s="1502"/>
      <c r="EH649" s="1502" t="e">
        <f t="shared" si="5"/>
        <v>#VALUE!</v>
      </c>
      <c r="EI649" s="1502"/>
      <c r="EJ649" s="1502"/>
      <c r="EK649" s="1502"/>
      <c r="EL649" s="1502"/>
      <c r="EM649" s="1502" t="e">
        <f t="shared" si="6"/>
        <v>#VALUE!</v>
      </c>
      <c r="EN649" s="1502"/>
      <c r="EO649" s="1502"/>
      <c r="EP649" s="1502"/>
      <c r="EQ649" s="1502"/>
      <c r="ER649" s="1502" t="e">
        <f t="shared" si="7"/>
        <v>#VALUE!</v>
      </c>
      <c r="ES649" s="1502"/>
      <c r="ET649" s="1502"/>
      <c r="EU649" s="1502"/>
      <c r="EV649" s="1502"/>
      <c r="EW649" s="1502" t="e">
        <f t="shared" si="8"/>
        <v>#VALUE!</v>
      </c>
      <c r="EX649" s="1502"/>
      <c r="EY649" s="1502"/>
      <c r="EZ649" s="1502"/>
      <c r="FA649" s="1502"/>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02" t="e">
        <f t="shared" si="3"/>
        <v>#VALUE!</v>
      </c>
      <c r="DY650" s="1502"/>
      <c r="DZ650" s="1502"/>
      <c r="EA650" s="1502"/>
      <c r="EB650" s="1502"/>
      <c r="EC650" s="1502">
        <f t="shared" si="4"/>
        <v>478.3692307692308</v>
      </c>
      <c r="ED650" s="1502"/>
      <c r="EE650" s="1502"/>
      <c r="EF650" s="1502"/>
      <c r="EG650" s="1502"/>
      <c r="EH650" s="1502" t="e">
        <f t="shared" si="5"/>
        <v>#VALUE!</v>
      </c>
      <c r="EI650" s="1502"/>
      <c r="EJ650" s="1502"/>
      <c r="EK650" s="1502"/>
      <c r="EL650" s="1502"/>
      <c r="EM650" s="1502" t="e">
        <f t="shared" si="6"/>
        <v>#VALUE!</v>
      </c>
      <c r="EN650" s="1502"/>
      <c r="EO650" s="1502"/>
      <c r="EP650" s="1502"/>
      <c r="EQ650" s="1502"/>
      <c r="ER650" s="1502" t="e">
        <f t="shared" si="7"/>
        <v>#VALUE!</v>
      </c>
      <c r="ES650" s="1502"/>
      <c r="ET650" s="1502"/>
      <c r="EU650" s="1502"/>
      <c r="EV650" s="1502"/>
      <c r="EW650" s="1502" t="e">
        <f t="shared" si="8"/>
        <v>#VALUE!</v>
      </c>
      <c r="EX650" s="1502"/>
      <c r="EY650" s="1502"/>
      <c r="EZ650" s="1502"/>
      <c r="FA650" s="1502"/>
    </row>
    <row r="651" spans="1:157" ht="12.95" customHeight="1">
      <c r="A651" s="55" t="s">
        <v>112</v>
      </c>
      <c r="B651" t="s">
        <v>463</v>
      </c>
      <c r="G651" s="1439" t="str">
        <f>C635</f>
        <v>Citibank, N.A.</v>
      </c>
      <c r="H651" s="1439"/>
      <c r="I651" s="1439"/>
      <c r="J651" s="1439"/>
      <c r="K651" s="1439"/>
      <c r="L651" s="1439"/>
      <c r="M651" s="1439"/>
      <c r="N651" s="1439"/>
      <c r="O651" s="1439"/>
      <c r="P651" s="1439"/>
      <c r="Q651" s="1439"/>
      <c r="R651" s="1439"/>
      <c r="S651" s="8"/>
      <c r="T651" s="55" t="s">
        <v>113</v>
      </c>
      <c r="U651" t="s">
        <v>463</v>
      </c>
      <c r="Z651" s="1439" t="str">
        <f>C636</f>
        <v>Bonneville Multifamily Capital</v>
      </c>
      <c r="AA651" s="1439"/>
      <c r="AB651" s="1439"/>
      <c r="AC651" s="1439"/>
      <c r="AD651" s="1439"/>
      <c r="AE651" s="1439"/>
      <c r="AF651" s="1439"/>
      <c r="AG651" s="1439"/>
      <c r="AH651" s="1439"/>
      <c r="AI651" s="1439"/>
      <c r="AJ651" s="1439"/>
      <c r="AK651" s="143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02" t="e">
        <f t="shared" si="3"/>
        <v>#VALUE!</v>
      </c>
      <c r="DY651" s="1502"/>
      <c r="DZ651" s="1502"/>
      <c r="EA651" s="1502"/>
      <c r="EB651" s="1502"/>
      <c r="EC651" s="1502" t="e">
        <f t="shared" si="4"/>
        <v>#VALUE!</v>
      </c>
      <c r="ED651" s="1502"/>
      <c r="EE651" s="1502"/>
      <c r="EF651" s="1502"/>
      <c r="EG651" s="1502"/>
      <c r="EH651" s="1502">
        <f t="shared" si="5"/>
        <v>37.172413793103445</v>
      </c>
      <c r="EI651" s="1502"/>
      <c r="EJ651" s="1502"/>
      <c r="EK651" s="1502"/>
      <c r="EL651" s="1502"/>
      <c r="EM651" s="1502" t="e">
        <f t="shared" si="6"/>
        <v>#VALUE!</v>
      </c>
      <c r="EN651" s="1502"/>
      <c r="EO651" s="1502"/>
      <c r="EP651" s="1502"/>
      <c r="EQ651" s="1502"/>
      <c r="ER651" s="1502" t="e">
        <f t="shared" si="7"/>
        <v>#VALUE!</v>
      </c>
      <c r="ES651" s="1502"/>
      <c r="ET651" s="1502"/>
      <c r="EU651" s="1502"/>
      <c r="EV651" s="1502"/>
      <c r="EW651" s="1502" t="e">
        <f t="shared" si="8"/>
        <v>#VALUE!</v>
      </c>
      <c r="EX651" s="1502"/>
      <c r="EY651" s="1502"/>
      <c r="EZ651" s="1502"/>
      <c r="FA651" s="1502"/>
    </row>
    <row r="652" spans="1:157" ht="12.95" customHeight="1">
      <c r="A652" s="22"/>
      <c r="B652" t="s">
        <v>85</v>
      </c>
      <c r="G652" s="1428" t="s">
        <v>2819</v>
      </c>
      <c r="H652" s="1428"/>
      <c r="I652" s="1428"/>
      <c r="J652" s="1428"/>
      <c r="K652" s="1428"/>
      <c r="L652" s="1428"/>
      <c r="M652" s="1428"/>
      <c r="N652" s="1428"/>
      <c r="O652" s="1428"/>
      <c r="P652" s="1428"/>
      <c r="Q652" s="1428"/>
      <c r="R652" s="1428"/>
      <c r="S652" s="8"/>
      <c r="T652" s="22"/>
      <c r="U652" t="s">
        <v>85</v>
      </c>
      <c r="Z652" s="1428" t="s">
        <v>2833</v>
      </c>
      <c r="AA652" s="1428"/>
      <c r="AB652" s="1428"/>
      <c r="AC652" s="1428"/>
      <c r="AD652" s="1428"/>
      <c r="AE652" s="1428"/>
      <c r="AF652" s="1428"/>
      <c r="AG652" s="1428"/>
      <c r="AH652" s="1428"/>
      <c r="AI652" s="1428"/>
      <c r="AJ652" s="1428"/>
      <c r="AK652" s="1428"/>
      <c r="AV652" s="3"/>
      <c r="AW652" s="3"/>
      <c r="AX652" s="3"/>
      <c r="AY652" s="3"/>
      <c r="AZ652" s="3"/>
      <c r="BA652" s="3"/>
      <c r="BB652" s="3"/>
      <c r="BC652" s="3"/>
      <c r="BD652" s="3"/>
      <c r="BE652" s="3"/>
      <c r="BF652" s="3"/>
      <c r="BG652" s="3"/>
      <c r="BH652" s="3"/>
      <c r="BI652" s="3"/>
      <c r="BJ652" s="3"/>
      <c r="BK652" s="3"/>
      <c r="BL652" s="3"/>
      <c r="BM652" s="3"/>
      <c r="DX652" s="1502" t="e">
        <f t="shared" si="3"/>
        <v>#VALUE!</v>
      </c>
      <c r="DY652" s="1502"/>
      <c r="DZ652" s="1502"/>
      <c r="EA652" s="1502"/>
      <c r="EB652" s="1502"/>
      <c r="EC652" s="1502" t="e">
        <f t="shared" si="4"/>
        <v>#VALUE!</v>
      </c>
      <c r="ED652" s="1502"/>
      <c r="EE652" s="1502"/>
      <c r="EF652" s="1502"/>
      <c r="EG652" s="1502"/>
      <c r="EH652" s="1502">
        <f t="shared" si="5"/>
        <v>64.310344827586206</v>
      </c>
      <c r="EI652" s="1502"/>
      <c r="EJ652" s="1502"/>
      <c r="EK652" s="1502"/>
      <c r="EL652" s="1502"/>
      <c r="EM652" s="1502" t="e">
        <f t="shared" si="6"/>
        <v>#VALUE!</v>
      </c>
      <c r="EN652" s="1502"/>
      <c r="EO652" s="1502"/>
      <c r="EP652" s="1502"/>
      <c r="EQ652" s="1502"/>
      <c r="ER652" s="1502" t="e">
        <f t="shared" si="7"/>
        <v>#VALUE!</v>
      </c>
      <c r="ES652" s="1502"/>
      <c r="ET652" s="1502"/>
      <c r="EU652" s="1502"/>
      <c r="EV652" s="1502"/>
      <c r="EW652" s="1502" t="e">
        <f t="shared" si="8"/>
        <v>#VALUE!</v>
      </c>
      <c r="EX652" s="1502"/>
      <c r="EY652" s="1502"/>
      <c r="EZ652" s="1502"/>
      <c r="FA652" s="1502"/>
    </row>
    <row r="653" spans="1:157" ht="12.95" customHeight="1">
      <c r="A653" s="22"/>
      <c r="B653" t="s">
        <v>580</v>
      </c>
      <c r="G653" s="1428" t="s">
        <v>2820</v>
      </c>
      <c r="H653" s="1428"/>
      <c r="I653" s="1428"/>
      <c r="J653" s="1428"/>
      <c r="K653" s="1428"/>
      <c r="L653" s="1428"/>
      <c r="M653" s="1428"/>
      <c r="N653" s="1428"/>
      <c r="O653" s="1428"/>
      <c r="P653" s="1428"/>
      <c r="Q653" s="1428"/>
      <c r="R653" s="1428"/>
      <c r="T653" s="22"/>
      <c r="U653" t="s">
        <v>580</v>
      </c>
      <c r="Z653" s="1408" t="s">
        <v>2834</v>
      </c>
      <c r="AA653" s="1408"/>
      <c r="AB653" s="1408"/>
      <c r="AC653" s="1408"/>
      <c r="AD653" s="1408"/>
      <c r="AE653" s="1408"/>
      <c r="AF653" s="1408"/>
      <c r="AG653" s="1408"/>
      <c r="AH653" s="1408"/>
      <c r="AI653" s="1408"/>
      <c r="AJ653" s="1408"/>
      <c r="AK653" s="1408"/>
      <c r="AV653" s="3"/>
      <c r="AW653" s="3"/>
      <c r="AX653" s="3"/>
      <c r="AY653" s="3"/>
      <c r="AZ653" s="3"/>
      <c r="BA653" s="3"/>
      <c r="BB653" s="3"/>
      <c r="BC653" s="3"/>
      <c r="BD653" s="3"/>
      <c r="BE653" s="3"/>
      <c r="BF653" s="3"/>
      <c r="BG653" s="3"/>
      <c r="BH653" s="3"/>
      <c r="BI653" s="3"/>
      <c r="BJ653" s="3"/>
      <c r="BK653" s="3"/>
      <c r="BL653" s="3"/>
      <c r="BM653" s="3"/>
      <c r="DX653" s="1502" t="e">
        <f t="shared" si="3"/>
        <v>#VALUE!</v>
      </c>
      <c r="DY653" s="1502"/>
      <c r="DZ653" s="1502"/>
      <c r="EA653" s="1502"/>
      <c r="EB653" s="1502"/>
      <c r="EC653" s="1502" t="e">
        <f t="shared" si="4"/>
        <v>#VALUE!</v>
      </c>
      <c r="ED653" s="1502"/>
      <c r="EE653" s="1502"/>
      <c r="EF653" s="1502"/>
      <c r="EG653" s="1502"/>
      <c r="EH653" s="1502">
        <f t="shared" si="5"/>
        <v>233.68965517241378</v>
      </c>
      <c r="EI653" s="1502"/>
      <c r="EJ653" s="1502"/>
      <c r="EK653" s="1502"/>
      <c r="EL653" s="1502"/>
      <c r="EM653" s="1502" t="e">
        <f t="shared" si="6"/>
        <v>#VALUE!</v>
      </c>
      <c r="EN653" s="1502"/>
      <c r="EO653" s="1502"/>
      <c r="EP653" s="1502"/>
      <c r="EQ653" s="1502"/>
      <c r="ER653" s="1502" t="e">
        <f t="shared" si="7"/>
        <v>#VALUE!</v>
      </c>
      <c r="ES653" s="1502"/>
      <c r="ET653" s="1502"/>
      <c r="EU653" s="1502"/>
      <c r="EV653" s="1502"/>
      <c r="EW653" s="1502" t="e">
        <f t="shared" si="8"/>
        <v>#VALUE!</v>
      </c>
      <c r="EX653" s="1502"/>
      <c r="EY653" s="1502"/>
      <c r="EZ653" s="1502"/>
      <c r="FA653" s="1502"/>
    </row>
    <row r="654" spans="1:157" ht="12.95" customHeight="1">
      <c r="A654" s="22"/>
      <c r="B654" t="s">
        <v>17</v>
      </c>
      <c r="G654" s="1428" t="s">
        <v>2821</v>
      </c>
      <c r="H654" s="1428"/>
      <c r="I654" s="1428"/>
      <c r="J654" s="1428"/>
      <c r="K654" s="1428"/>
      <c r="L654" s="1428"/>
      <c r="M654" s="1428"/>
      <c r="N654" s="1428"/>
      <c r="O654" s="1428"/>
      <c r="P654" s="1428"/>
      <c r="Q654" s="1428"/>
      <c r="R654" s="1428"/>
      <c r="S654" s="8"/>
      <c r="T654" s="22"/>
      <c r="U654" t="s">
        <v>17</v>
      </c>
      <c r="Z654" s="1408" t="s">
        <v>2835</v>
      </c>
      <c r="AA654" s="1408"/>
      <c r="AB654" s="1408"/>
      <c r="AC654" s="1408"/>
      <c r="AD654" s="1408"/>
      <c r="AE654" s="1408"/>
      <c r="AF654" s="1408"/>
      <c r="AG654" s="1408"/>
      <c r="AH654" s="1408"/>
      <c r="AI654" s="1408"/>
      <c r="AJ654" s="1408"/>
      <c r="AK654" s="1408"/>
      <c r="AZ654" s="3"/>
      <c r="BA654" s="3"/>
      <c r="BB654" s="3"/>
      <c r="BC654" s="3"/>
      <c r="BD654" s="3"/>
      <c r="BE654" s="3"/>
      <c r="BF654" s="3"/>
      <c r="BG654" s="3"/>
      <c r="BH654" s="3"/>
      <c r="BI654" s="3"/>
      <c r="BJ654" s="3"/>
      <c r="BK654" s="3"/>
      <c r="BL654" s="3"/>
      <c r="BM654" s="3"/>
      <c r="DX654" s="1502" t="e">
        <f t="shared" si="3"/>
        <v>#VALUE!</v>
      </c>
      <c r="DY654" s="1502"/>
      <c r="DZ654" s="1502"/>
      <c r="EA654" s="1502"/>
      <c r="EB654" s="1502"/>
      <c r="EC654" s="1502" t="e">
        <f t="shared" si="4"/>
        <v>#VALUE!</v>
      </c>
      <c r="ED654" s="1502"/>
      <c r="EE654" s="1502"/>
      <c r="EF654" s="1502"/>
      <c r="EG654" s="1502"/>
      <c r="EH654" s="1502">
        <f t="shared" si="5"/>
        <v>2195.5862068965516</v>
      </c>
      <c r="EI654" s="1502"/>
      <c r="EJ654" s="1502"/>
      <c r="EK654" s="1502"/>
      <c r="EL654" s="1502"/>
      <c r="EM654" s="1502" t="e">
        <f t="shared" si="6"/>
        <v>#VALUE!</v>
      </c>
      <c r="EN654" s="1502"/>
      <c r="EO654" s="1502"/>
      <c r="EP654" s="1502"/>
      <c r="EQ654" s="1502"/>
      <c r="ER654" s="1502" t="e">
        <f t="shared" si="7"/>
        <v>#VALUE!</v>
      </c>
      <c r="ES654" s="1502"/>
      <c r="ET654" s="1502"/>
      <c r="EU654" s="1502"/>
      <c r="EV654" s="1502"/>
      <c r="EW654" s="1502" t="e">
        <f t="shared" si="8"/>
        <v>#VALUE!</v>
      </c>
      <c r="EX654" s="1502"/>
      <c r="EY654" s="1502"/>
      <c r="EZ654" s="1502"/>
      <c r="FA654" s="1502"/>
    </row>
    <row r="655" spans="1:157" ht="12.95" customHeight="1">
      <c r="A655" s="22"/>
      <c r="B655" t="s">
        <v>316</v>
      </c>
      <c r="G655" s="1424" t="s">
        <v>2822</v>
      </c>
      <c r="H655" s="1424"/>
      <c r="I655" s="1424"/>
      <c r="J655" s="1424"/>
      <c r="K655" s="1424"/>
      <c r="L655" s="1424"/>
      <c r="O655" s="33" t="s">
        <v>206</v>
      </c>
      <c r="P655" s="1406"/>
      <c r="Q655" s="1406"/>
      <c r="R655" s="1406"/>
      <c r="S655" s="10"/>
      <c r="T655" s="22"/>
      <c r="U655" t="s">
        <v>316</v>
      </c>
      <c r="Z655" s="1424">
        <v>8013231000</v>
      </c>
      <c r="AA655" s="1424"/>
      <c r="AB655" s="1424"/>
      <c r="AC655" s="1424"/>
      <c r="AD655" s="1424"/>
      <c r="AE655" s="1424"/>
      <c r="AH655" s="33" t="s">
        <v>206</v>
      </c>
      <c r="AI655" s="1406"/>
      <c r="AJ655" s="1406"/>
      <c r="AK655" s="1406"/>
      <c r="AZ655" s="34"/>
      <c r="BA655" s="34"/>
      <c r="BB655" s="34"/>
      <c r="BC655" s="34"/>
      <c r="BD655" s="34"/>
      <c r="BE655" s="34"/>
      <c r="BF655" s="34"/>
      <c r="BG655" s="34"/>
      <c r="BH655" s="34"/>
      <c r="BI655" s="34"/>
      <c r="BJ655" s="34"/>
      <c r="BK655" s="34"/>
      <c r="BL655" s="34"/>
      <c r="BM655" s="34"/>
      <c r="DX655" s="1502" t="e">
        <f t="shared" si="3"/>
        <v>#VALUE!</v>
      </c>
      <c r="DY655" s="1502"/>
      <c r="DZ655" s="1502"/>
      <c r="EA655" s="1502"/>
      <c r="EB655" s="1502"/>
      <c r="EC655" s="1502" t="e">
        <f t="shared" si="4"/>
        <v>#VALUE!</v>
      </c>
      <c r="ED655" s="1502"/>
      <c r="EE655" s="1502"/>
      <c r="EF655" s="1502"/>
      <c r="EG655" s="1502"/>
      <c r="EH655" s="1502" t="e">
        <f t="shared" si="5"/>
        <v>#VALUE!</v>
      </c>
      <c r="EI655" s="1502"/>
      <c r="EJ655" s="1502"/>
      <c r="EK655" s="1502"/>
      <c r="EL655" s="1502"/>
      <c r="EM655" s="1502" t="e">
        <f t="shared" si="6"/>
        <v>#VALUE!</v>
      </c>
      <c r="EN655" s="1502"/>
      <c r="EO655" s="1502"/>
      <c r="EP655" s="1502"/>
      <c r="EQ655" s="1502"/>
      <c r="ER655" s="1502" t="e">
        <f t="shared" si="7"/>
        <v>#VALUE!</v>
      </c>
      <c r="ES655" s="1502"/>
      <c r="ET655" s="1502"/>
      <c r="EU655" s="1502"/>
      <c r="EV655" s="1502"/>
      <c r="EW655" s="1502" t="e">
        <f t="shared" si="8"/>
        <v>#VALUE!</v>
      </c>
      <c r="EX655" s="1502"/>
      <c r="EY655" s="1502"/>
      <c r="EZ655" s="1502"/>
      <c r="FA655" s="1502"/>
    </row>
    <row r="656" spans="1:157" ht="12.95" customHeight="1">
      <c r="A656" s="22"/>
      <c r="B656" t="s">
        <v>18</v>
      </c>
      <c r="H656" s="1428" t="s">
        <v>2828</v>
      </c>
      <c r="I656" s="1428"/>
      <c r="J656" s="1428"/>
      <c r="K656" s="1428"/>
      <c r="L656" s="1428"/>
      <c r="M656" s="1428"/>
      <c r="N656" s="1428"/>
      <c r="O656" s="1428"/>
      <c r="P656" s="1428"/>
      <c r="Q656" s="1428"/>
      <c r="R656" s="1428"/>
      <c r="S656" s="8"/>
      <c r="T656" s="22"/>
      <c r="U656" t="s">
        <v>18</v>
      </c>
      <c r="AA656" s="1428" t="s">
        <v>2827</v>
      </c>
      <c r="AB656" s="1428"/>
      <c r="AC656" s="1428"/>
      <c r="AD656" s="1428"/>
      <c r="AE656" s="1428"/>
      <c r="AF656" s="1428"/>
      <c r="AG656" s="1428"/>
      <c r="AH656" s="1428"/>
      <c r="AI656" s="1428"/>
      <c r="AJ656" s="1428"/>
      <c r="AK656" s="1428"/>
      <c r="AZ656" s="34"/>
      <c r="BA656" s="34"/>
      <c r="BB656" s="34"/>
      <c r="BC656" s="34"/>
      <c r="BD656" s="34"/>
      <c r="BE656" s="34"/>
      <c r="BF656" s="34"/>
      <c r="BG656" s="34"/>
      <c r="BH656" s="34"/>
      <c r="BI656" s="34"/>
      <c r="BJ656" s="34"/>
      <c r="BK656" s="34"/>
      <c r="BL656" s="34"/>
      <c r="BM656" s="34"/>
      <c r="DX656" s="1502" t="e">
        <f t="shared" si="3"/>
        <v>#VALUE!</v>
      </c>
      <c r="DY656" s="1502"/>
      <c r="DZ656" s="1502"/>
      <c r="EA656" s="1502"/>
      <c r="EB656" s="1502"/>
      <c r="EC656" s="1502" t="e">
        <f t="shared" si="4"/>
        <v>#VALUE!</v>
      </c>
      <c r="ED656" s="1502"/>
      <c r="EE656" s="1502"/>
      <c r="EF656" s="1502"/>
      <c r="EG656" s="1502"/>
      <c r="EH656" s="1502" t="e">
        <f t="shared" si="5"/>
        <v>#VALUE!</v>
      </c>
      <c r="EI656" s="1502"/>
      <c r="EJ656" s="1502"/>
      <c r="EK656" s="1502"/>
      <c r="EL656" s="1502"/>
      <c r="EM656" s="1502" t="e">
        <f t="shared" si="6"/>
        <v>#VALUE!</v>
      </c>
      <c r="EN656" s="1502"/>
      <c r="EO656" s="1502"/>
      <c r="EP656" s="1502"/>
      <c r="EQ656" s="1502"/>
      <c r="ER656" s="1502" t="e">
        <f t="shared" si="7"/>
        <v>#VALUE!</v>
      </c>
      <c r="ES656" s="1502"/>
      <c r="ET656" s="1502"/>
      <c r="EU656" s="1502"/>
      <c r="EV656" s="1502"/>
      <c r="EW656" s="1502" t="e">
        <f t="shared" si="8"/>
        <v>#VALUE!</v>
      </c>
      <c r="EX656" s="1502"/>
      <c r="EY656" s="1502"/>
      <c r="EZ656" s="1502"/>
      <c r="FA656" s="1502"/>
    </row>
    <row r="657" spans="1:157" ht="12.95" customHeight="1">
      <c r="A657" s="22"/>
      <c r="B657" t="s">
        <v>20</v>
      </c>
      <c r="N657" s="1285" t="s">
        <v>545</v>
      </c>
      <c r="O657" s="1285"/>
      <c r="T657" s="22"/>
      <c r="U657" t="s">
        <v>20</v>
      </c>
      <c r="AG657" s="1285" t="s">
        <v>545</v>
      </c>
      <c r="AH657" s="1285"/>
      <c r="AZ657" s="34"/>
      <c r="BA657" s="34"/>
      <c r="BB657" s="34"/>
      <c r="BC657" s="34"/>
      <c r="BD657" s="34"/>
      <c r="BE657" s="34"/>
      <c r="BF657" s="34"/>
      <c r="BG657" s="34"/>
      <c r="BH657" s="34"/>
      <c r="BI657" s="34"/>
      <c r="BJ657" s="34"/>
      <c r="BK657" s="34"/>
      <c r="BL657" s="34"/>
      <c r="BM657" s="34"/>
      <c r="DX657" s="1502" t="e">
        <f t="shared" si="3"/>
        <v>#VALUE!</v>
      </c>
      <c r="DY657" s="1502"/>
      <c r="DZ657" s="1502"/>
      <c r="EA657" s="1502"/>
      <c r="EB657" s="1502"/>
      <c r="EC657" s="1502" t="e">
        <f t="shared" si="4"/>
        <v>#VALUE!</v>
      </c>
      <c r="ED657" s="1502"/>
      <c r="EE657" s="1502"/>
      <c r="EF657" s="1502"/>
      <c r="EG657" s="1502"/>
      <c r="EH657" s="1502" t="e">
        <f t="shared" si="5"/>
        <v>#VALUE!</v>
      </c>
      <c r="EI657" s="1502"/>
      <c r="EJ657" s="1502"/>
      <c r="EK657" s="1502"/>
      <c r="EL657" s="1502"/>
      <c r="EM657" s="1502" t="e">
        <f t="shared" si="6"/>
        <v>#VALUE!</v>
      </c>
      <c r="EN657" s="1502"/>
      <c r="EO657" s="1502"/>
      <c r="EP657" s="1502"/>
      <c r="EQ657" s="1502"/>
      <c r="ER657" s="1502" t="e">
        <f t="shared" si="7"/>
        <v>#VALUE!</v>
      </c>
      <c r="ES657" s="1502"/>
      <c r="ET657" s="1502"/>
      <c r="EU657" s="1502"/>
      <c r="EV657" s="1502"/>
      <c r="EW657" s="1502" t="e">
        <f t="shared" si="8"/>
        <v>#VALUE!</v>
      </c>
      <c r="EX657" s="1502"/>
      <c r="EY657" s="1502"/>
      <c r="EZ657" s="1502"/>
      <c r="FA657" s="1502"/>
    </row>
    <row r="658" spans="1:157" ht="12.95" customHeight="1">
      <c r="A658" s="22"/>
      <c r="T658" s="22"/>
      <c r="AZ658" s="34"/>
      <c r="BA658" s="34"/>
      <c r="BB658" s="34"/>
      <c r="BC658" s="34"/>
      <c r="BD658" s="34"/>
      <c r="BE658" s="34"/>
      <c r="BF658" s="34"/>
      <c r="BG658" s="34"/>
      <c r="BH658" s="34"/>
      <c r="BI658" s="34"/>
      <c r="BJ658" s="34"/>
      <c r="BK658" s="34"/>
      <c r="BL658" s="34"/>
      <c r="BM658" s="34"/>
      <c r="DX658" s="1502" t="e">
        <f t="shared" si="3"/>
        <v>#VALUE!</v>
      </c>
      <c r="DY658" s="1502"/>
      <c r="DZ658" s="1502"/>
      <c r="EA658" s="1502"/>
      <c r="EB658" s="1502"/>
      <c r="EC658" s="1502" t="e">
        <f t="shared" si="4"/>
        <v>#VALUE!</v>
      </c>
      <c r="ED658" s="1502"/>
      <c r="EE658" s="1502"/>
      <c r="EF658" s="1502"/>
      <c r="EG658" s="1502"/>
      <c r="EH658" s="1502" t="e">
        <f t="shared" si="5"/>
        <v>#VALUE!</v>
      </c>
      <c r="EI658" s="1502"/>
      <c r="EJ658" s="1502"/>
      <c r="EK658" s="1502"/>
      <c r="EL658" s="1502"/>
      <c r="EM658" s="1502" t="e">
        <f t="shared" si="6"/>
        <v>#VALUE!</v>
      </c>
      <c r="EN658" s="1502"/>
      <c r="EO658" s="1502"/>
      <c r="EP658" s="1502"/>
      <c r="EQ658" s="1502"/>
      <c r="ER658" s="1502" t="e">
        <f t="shared" si="7"/>
        <v>#VALUE!</v>
      </c>
      <c r="ES658" s="1502"/>
      <c r="ET658" s="1502"/>
      <c r="EU658" s="1502"/>
      <c r="EV658" s="1502"/>
      <c r="EW658" s="1502" t="e">
        <f t="shared" si="8"/>
        <v>#VALUE!</v>
      </c>
      <c r="EX658" s="1502"/>
      <c r="EY658" s="1502"/>
      <c r="EZ658" s="1502"/>
      <c r="FA658" s="1502"/>
    </row>
    <row r="659" spans="1:157" ht="12.95" customHeight="1">
      <c r="A659" s="55" t="s">
        <v>119</v>
      </c>
      <c r="B659" t="s">
        <v>463</v>
      </c>
      <c r="G659" s="1439" t="str">
        <f>C637</f>
        <v>Pacific West Communities, Inc.</v>
      </c>
      <c r="H659" s="1439"/>
      <c r="I659" s="1439"/>
      <c r="J659" s="1439"/>
      <c r="K659" s="1439"/>
      <c r="L659" s="1439"/>
      <c r="M659" s="1439"/>
      <c r="N659" s="1439"/>
      <c r="O659" s="1439"/>
      <c r="P659" s="1439"/>
      <c r="Q659" s="1439"/>
      <c r="R659" s="1439"/>
      <c r="T659" s="55" t="s">
        <v>581</v>
      </c>
      <c r="U659" t="s">
        <v>463</v>
      </c>
      <c r="Z659" s="1439">
        <f>C638</f>
        <v>0</v>
      </c>
      <c r="AA659" s="1439"/>
      <c r="AB659" s="1439"/>
      <c r="AC659" s="1439"/>
      <c r="AD659" s="1439"/>
      <c r="AE659" s="1439"/>
      <c r="AF659" s="1439"/>
      <c r="AG659" s="1439"/>
      <c r="AH659" s="1439"/>
      <c r="AI659" s="1439"/>
      <c r="AJ659" s="1439"/>
      <c r="AK659" s="1439"/>
      <c r="AZ659" s="34"/>
      <c r="BA659" s="34"/>
      <c r="BB659" s="34"/>
      <c r="BC659" s="34"/>
      <c r="BD659" s="34"/>
      <c r="BE659" s="34"/>
      <c r="BF659" s="34"/>
      <c r="BG659" s="34"/>
      <c r="BH659" s="34"/>
      <c r="BI659" s="34"/>
      <c r="BJ659" s="34"/>
      <c r="BK659" s="34"/>
      <c r="BL659" s="34"/>
      <c r="BM659" s="34"/>
      <c r="DX659" s="1502" t="e">
        <f t="shared" si="3"/>
        <v>#VALUE!</v>
      </c>
      <c r="DY659" s="1502"/>
      <c r="DZ659" s="1502"/>
      <c r="EA659" s="1502"/>
      <c r="EB659" s="1502"/>
      <c r="EC659" s="1502" t="e">
        <f t="shared" si="4"/>
        <v>#VALUE!</v>
      </c>
      <c r="ED659" s="1502"/>
      <c r="EE659" s="1502"/>
      <c r="EF659" s="1502"/>
      <c r="EG659" s="1502"/>
      <c r="EH659" s="1502" t="e">
        <f t="shared" si="5"/>
        <v>#VALUE!</v>
      </c>
      <c r="EI659" s="1502"/>
      <c r="EJ659" s="1502"/>
      <c r="EK659" s="1502"/>
      <c r="EL659" s="1502"/>
      <c r="EM659" s="1502" t="e">
        <f t="shared" si="6"/>
        <v>#VALUE!</v>
      </c>
      <c r="EN659" s="1502"/>
      <c r="EO659" s="1502"/>
      <c r="EP659" s="1502"/>
      <c r="EQ659" s="1502"/>
      <c r="ER659" s="1502" t="e">
        <f t="shared" si="7"/>
        <v>#VALUE!</v>
      </c>
      <c r="ES659" s="1502"/>
      <c r="ET659" s="1502"/>
      <c r="EU659" s="1502"/>
      <c r="EV659" s="1502"/>
      <c r="EW659" s="1502" t="e">
        <f t="shared" si="8"/>
        <v>#VALUE!</v>
      </c>
      <c r="EX659" s="1502"/>
      <c r="EY659" s="1502"/>
      <c r="EZ659" s="1502"/>
      <c r="FA659" s="1502"/>
    </row>
    <row r="660" spans="1:157" ht="12.95" customHeight="1">
      <c r="A660" s="22"/>
      <c r="B660" t="s">
        <v>85</v>
      </c>
      <c r="G660" s="1428" t="s">
        <v>2729</v>
      </c>
      <c r="H660" s="1428"/>
      <c r="I660" s="1428"/>
      <c r="J660" s="1428"/>
      <c r="K660" s="1428"/>
      <c r="L660" s="1428"/>
      <c r="M660" s="1428"/>
      <c r="N660" s="1428"/>
      <c r="O660" s="1428"/>
      <c r="P660" s="1428"/>
      <c r="Q660" s="1428"/>
      <c r="R660" s="1428"/>
      <c r="T660" s="22"/>
      <c r="U660" t="s">
        <v>85</v>
      </c>
      <c r="Z660" s="1428"/>
      <c r="AA660" s="1428"/>
      <c r="AB660" s="1428"/>
      <c r="AC660" s="1428"/>
      <c r="AD660" s="1428"/>
      <c r="AE660" s="1428"/>
      <c r="AF660" s="1428"/>
      <c r="AG660" s="1428"/>
      <c r="AH660" s="1428"/>
      <c r="AI660" s="1428"/>
      <c r="AJ660" s="1428"/>
      <c r="AK660" s="1428"/>
      <c r="AZ660" s="34"/>
      <c r="BA660" s="34"/>
      <c r="BB660" s="34"/>
      <c r="BC660" s="34"/>
      <c r="BD660" s="34"/>
      <c r="BE660" s="34"/>
      <c r="BF660" s="34"/>
      <c r="BG660" s="34"/>
      <c r="BH660" s="34"/>
      <c r="BI660" s="34"/>
      <c r="BJ660" s="34"/>
      <c r="BK660" s="34"/>
      <c r="BL660" s="34"/>
      <c r="BM660" s="34"/>
      <c r="DX660" s="1502" t="e">
        <f t="shared" si="3"/>
        <v>#VALUE!</v>
      </c>
      <c r="DY660" s="1502"/>
      <c r="DZ660" s="1502"/>
      <c r="EA660" s="1502"/>
      <c r="EB660" s="1502"/>
      <c r="EC660" s="1502" t="e">
        <f t="shared" si="4"/>
        <v>#VALUE!</v>
      </c>
      <c r="ED660" s="1502"/>
      <c r="EE660" s="1502"/>
      <c r="EF660" s="1502"/>
      <c r="EG660" s="1502"/>
      <c r="EH660" s="1502" t="e">
        <f t="shared" si="5"/>
        <v>#VALUE!</v>
      </c>
      <c r="EI660" s="1502"/>
      <c r="EJ660" s="1502"/>
      <c r="EK660" s="1502"/>
      <c r="EL660" s="1502"/>
      <c r="EM660" s="1502" t="e">
        <f t="shared" si="6"/>
        <v>#VALUE!</v>
      </c>
      <c r="EN660" s="1502"/>
      <c r="EO660" s="1502"/>
      <c r="EP660" s="1502"/>
      <c r="EQ660" s="1502"/>
      <c r="ER660" s="1502" t="e">
        <f t="shared" si="7"/>
        <v>#VALUE!</v>
      </c>
      <c r="ES660" s="1502"/>
      <c r="ET660" s="1502"/>
      <c r="EU660" s="1502"/>
      <c r="EV660" s="1502"/>
      <c r="EW660" s="1502" t="e">
        <f t="shared" si="8"/>
        <v>#VALUE!</v>
      </c>
      <c r="EX660" s="1502"/>
      <c r="EY660" s="1502"/>
      <c r="EZ660" s="1502"/>
      <c r="FA660" s="1502"/>
    </row>
    <row r="661" spans="1:157" ht="12.95" customHeight="1">
      <c r="A661" s="22"/>
      <c r="B661" t="s">
        <v>580</v>
      </c>
      <c r="G661" s="1408" t="s">
        <v>2826</v>
      </c>
      <c r="H661" s="1408"/>
      <c r="I661" s="1408"/>
      <c r="J661" s="1408"/>
      <c r="K661" s="1408"/>
      <c r="L661" s="1408"/>
      <c r="M661" s="1408"/>
      <c r="N661" s="1408"/>
      <c r="O661" s="1408"/>
      <c r="P661" s="1408"/>
      <c r="Q661" s="1408"/>
      <c r="R661" s="1408"/>
      <c r="T661" s="22"/>
      <c r="U661" t="s">
        <v>580</v>
      </c>
      <c r="Z661" s="1408"/>
      <c r="AA661" s="1408"/>
      <c r="AB661" s="1408"/>
      <c r="AC661" s="1408"/>
      <c r="AD661" s="1408"/>
      <c r="AE661" s="1408"/>
      <c r="AF661" s="1408"/>
      <c r="AG661" s="1408"/>
      <c r="AH661" s="1408"/>
      <c r="AI661" s="1408"/>
      <c r="AJ661" s="1408"/>
      <c r="AK661" s="1408"/>
      <c r="AZ661" s="34"/>
      <c r="BA661" s="34"/>
      <c r="BB661" s="34"/>
      <c r="BC661" s="34"/>
      <c r="BD661" s="34"/>
      <c r="BE661" s="34"/>
      <c r="BF661" s="34"/>
      <c r="BG661" s="34"/>
      <c r="BH661" s="34"/>
      <c r="BI661" s="34"/>
      <c r="BJ661" s="34"/>
      <c r="BK661" s="34"/>
      <c r="BL661" s="34"/>
      <c r="BM661" s="34"/>
      <c r="DX661" s="1502" t="e">
        <f t="shared" si="3"/>
        <v>#VALUE!</v>
      </c>
      <c r="DY661" s="1502"/>
      <c r="DZ661" s="1502"/>
      <c r="EA661" s="1502"/>
      <c r="EB661" s="1502"/>
      <c r="EC661" s="1502" t="e">
        <f t="shared" si="4"/>
        <v>#VALUE!</v>
      </c>
      <c r="ED661" s="1502"/>
      <c r="EE661" s="1502"/>
      <c r="EF661" s="1502"/>
      <c r="EG661" s="1502"/>
      <c r="EH661" s="1502" t="e">
        <f t="shared" si="5"/>
        <v>#VALUE!</v>
      </c>
      <c r="EI661" s="1502"/>
      <c r="EJ661" s="1502"/>
      <c r="EK661" s="1502"/>
      <c r="EL661" s="1502"/>
      <c r="EM661" s="1502" t="e">
        <f t="shared" si="6"/>
        <v>#VALUE!</v>
      </c>
      <c r="EN661" s="1502"/>
      <c r="EO661" s="1502"/>
      <c r="EP661" s="1502"/>
      <c r="EQ661" s="1502"/>
      <c r="ER661" s="1502" t="e">
        <f t="shared" si="7"/>
        <v>#VALUE!</v>
      </c>
      <c r="ES661" s="1502"/>
      <c r="ET661" s="1502"/>
      <c r="EU661" s="1502"/>
      <c r="EV661" s="1502"/>
      <c r="EW661" s="1502" t="e">
        <f t="shared" si="8"/>
        <v>#VALUE!</v>
      </c>
      <c r="EX661" s="1502"/>
      <c r="EY661" s="1502"/>
      <c r="EZ661" s="1502"/>
      <c r="FA661" s="1502"/>
    </row>
    <row r="662" spans="1:157" ht="12.95" customHeight="1">
      <c r="A662" s="22"/>
      <c r="B662" t="s">
        <v>17</v>
      </c>
      <c r="G662" s="1408" t="s">
        <v>2713</v>
      </c>
      <c r="H662" s="1408"/>
      <c r="I662" s="1408"/>
      <c r="J662" s="1408"/>
      <c r="K662" s="1408"/>
      <c r="L662" s="1408"/>
      <c r="M662" s="1408"/>
      <c r="N662" s="1408"/>
      <c r="O662" s="1408"/>
      <c r="P662" s="1408"/>
      <c r="Q662" s="1408"/>
      <c r="R662" s="1408"/>
      <c r="T662" s="22"/>
      <c r="U662" t="s">
        <v>17</v>
      </c>
      <c r="Z662" s="1408"/>
      <c r="AA662" s="1408"/>
      <c r="AB662" s="1408"/>
      <c r="AC662" s="1408"/>
      <c r="AD662" s="1408"/>
      <c r="AE662" s="1408"/>
      <c r="AF662" s="1408"/>
      <c r="AG662" s="1408"/>
      <c r="AH662" s="1408"/>
      <c r="AI662" s="1408"/>
      <c r="AJ662" s="1408"/>
      <c r="AK662" s="1408"/>
      <c r="AZ662" s="34"/>
      <c r="BA662" s="34"/>
      <c r="BB662" s="34"/>
      <c r="BC662" s="34"/>
      <c r="BD662" s="34"/>
      <c r="BE662" s="34"/>
      <c r="BF662" s="34"/>
      <c r="BG662" s="34"/>
      <c r="BH662" s="34"/>
      <c r="BI662" s="34"/>
      <c r="BJ662" s="34"/>
      <c r="BK662" s="34"/>
      <c r="BL662" s="34"/>
      <c r="BM662" s="34"/>
      <c r="DX662" s="1502" t="e">
        <f t="shared" si="3"/>
        <v>#VALUE!</v>
      </c>
      <c r="DY662" s="1502"/>
      <c r="DZ662" s="1502"/>
      <c r="EA662" s="1502"/>
      <c r="EB662" s="1502"/>
      <c r="EC662" s="1502" t="e">
        <f t="shared" si="4"/>
        <v>#VALUE!</v>
      </c>
      <c r="ED662" s="1502"/>
      <c r="EE662" s="1502"/>
      <c r="EF662" s="1502"/>
      <c r="EG662" s="1502"/>
      <c r="EH662" s="1502" t="e">
        <f t="shared" si="5"/>
        <v>#VALUE!</v>
      </c>
      <c r="EI662" s="1502"/>
      <c r="EJ662" s="1502"/>
      <c r="EK662" s="1502"/>
      <c r="EL662" s="1502"/>
      <c r="EM662" s="1502" t="e">
        <f t="shared" si="6"/>
        <v>#VALUE!</v>
      </c>
      <c r="EN662" s="1502"/>
      <c r="EO662" s="1502"/>
      <c r="EP662" s="1502"/>
      <c r="EQ662" s="1502"/>
      <c r="ER662" s="1502" t="e">
        <f t="shared" si="7"/>
        <v>#VALUE!</v>
      </c>
      <c r="ES662" s="1502"/>
      <c r="ET662" s="1502"/>
      <c r="EU662" s="1502"/>
      <c r="EV662" s="1502"/>
      <c r="EW662" s="1502" t="e">
        <f t="shared" si="8"/>
        <v>#VALUE!</v>
      </c>
      <c r="EX662" s="1502"/>
      <c r="EY662" s="1502"/>
      <c r="EZ662" s="1502"/>
      <c r="FA662" s="1502"/>
    </row>
    <row r="663" spans="1:157" ht="12.95" customHeight="1">
      <c r="A663" s="22"/>
      <c r="B663" t="s">
        <v>316</v>
      </c>
      <c r="G663" s="1424" t="s">
        <v>2706</v>
      </c>
      <c r="H663" s="1424"/>
      <c r="I663" s="1424"/>
      <c r="J663" s="1424"/>
      <c r="K663" s="1424"/>
      <c r="L663" s="1424"/>
      <c r="O663" s="33" t="s">
        <v>206</v>
      </c>
      <c r="P663" s="1406"/>
      <c r="Q663" s="1406"/>
      <c r="R663" s="1406"/>
      <c r="T663" s="22"/>
      <c r="U663" t="s">
        <v>316</v>
      </c>
      <c r="Z663" s="1424"/>
      <c r="AA663" s="1424"/>
      <c r="AB663" s="1424"/>
      <c r="AC663" s="1424"/>
      <c r="AD663" s="1424"/>
      <c r="AE663" s="1424"/>
      <c r="AH663" s="33" t="s">
        <v>206</v>
      </c>
      <c r="AI663" s="1406"/>
      <c r="AJ663" s="1406"/>
      <c r="AK663" s="1406"/>
      <c r="AZ663" s="34"/>
      <c r="BA663" s="34"/>
      <c r="BB663" s="34"/>
      <c r="BC663" s="34"/>
      <c r="BD663" s="34"/>
      <c r="BE663" s="34"/>
      <c r="BF663" s="34"/>
      <c r="BG663" s="34"/>
      <c r="BH663" s="34"/>
      <c r="BI663" s="34"/>
      <c r="BJ663" s="34"/>
      <c r="BK663" s="34"/>
      <c r="BL663" s="34"/>
      <c r="BM663" s="34"/>
      <c r="DX663" s="1502" t="e">
        <f t="shared" si="3"/>
        <v>#VALUE!</v>
      </c>
      <c r="DY663" s="1502"/>
      <c r="DZ663" s="1502"/>
      <c r="EA663" s="1502"/>
      <c r="EB663" s="1502"/>
      <c r="EC663" s="1502" t="e">
        <f t="shared" si="4"/>
        <v>#VALUE!</v>
      </c>
      <c r="ED663" s="1502"/>
      <c r="EE663" s="1502"/>
      <c r="EF663" s="1502"/>
      <c r="EG663" s="1502"/>
      <c r="EH663" s="1502" t="e">
        <f t="shared" si="5"/>
        <v>#VALUE!</v>
      </c>
      <c r="EI663" s="1502"/>
      <c r="EJ663" s="1502"/>
      <c r="EK663" s="1502"/>
      <c r="EL663" s="1502"/>
      <c r="EM663" s="1502" t="e">
        <f t="shared" si="6"/>
        <v>#VALUE!</v>
      </c>
      <c r="EN663" s="1502"/>
      <c r="EO663" s="1502"/>
      <c r="EP663" s="1502"/>
      <c r="EQ663" s="1502"/>
      <c r="ER663" s="1502" t="e">
        <f t="shared" si="7"/>
        <v>#VALUE!</v>
      </c>
      <c r="ES663" s="1502"/>
      <c r="ET663" s="1502"/>
      <c r="EU663" s="1502"/>
      <c r="EV663" s="1502"/>
      <c r="EW663" s="1502" t="e">
        <f t="shared" si="8"/>
        <v>#VALUE!</v>
      </c>
      <c r="EX663" s="1502"/>
      <c r="EY663" s="1502"/>
      <c r="EZ663" s="1502"/>
      <c r="FA663" s="1502"/>
    </row>
    <row r="664" spans="1:157" ht="12.95" customHeight="1">
      <c r="A664" s="22"/>
      <c r="B664" t="s">
        <v>18</v>
      </c>
      <c r="H664" s="1428" t="s">
        <v>2256</v>
      </c>
      <c r="I664" s="1428"/>
      <c r="J664" s="1428"/>
      <c r="K664" s="1428"/>
      <c r="L664" s="1428"/>
      <c r="M664" s="1428"/>
      <c r="N664" s="1428"/>
      <c r="O664" s="1428"/>
      <c r="P664" s="1428"/>
      <c r="Q664" s="1428"/>
      <c r="R664" s="1428"/>
      <c r="T664" s="22"/>
      <c r="U664" t="s">
        <v>18</v>
      </c>
      <c r="AA664" s="1428"/>
      <c r="AB664" s="1428"/>
      <c r="AC664" s="1428"/>
      <c r="AD664" s="1428"/>
      <c r="AE664" s="1428"/>
      <c r="AF664" s="1428"/>
      <c r="AG664" s="1428"/>
      <c r="AH664" s="1428"/>
      <c r="AI664" s="1428"/>
      <c r="AJ664" s="1428"/>
      <c r="AK664" s="1428"/>
      <c r="AZ664" s="34"/>
      <c r="BA664" s="34"/>
      <c r="BB664" s="34"/>
      <c r="BC664" s="34"/>
      <c r="BD664" s="34"/>
      <c r="BE664" s="34"/>
      <c r="BF664" s="34"/>
      <c r="BG664" s="34"/>
      <c r="BH664" s="34"/>
      <c r="BI664" s="34"/>
      <c r="BJ664" s="34"/>
      <c r="BK664" s="34"/>
      <c r="BL664" s="34"/>
      <c r="BM664" s="34"/>
      <c r="DX664" s="1502" t="e">
        <f t="shared" si="3"/>
        <v>#VALUE!</v>
      </c>
      <c r="DY664" s="1502"/>
      <c r="DZ664" s="1502"/>
      <c r="EA664" s="1502"/>
      <c r="EB664" s="1502"/>
      <c r="EC664" s="1502" t="e">
        <f t="shared" si="4"/>
        <v>#VALUE!</v>
      </c>
      <c r="ED664" s="1502"/>
      <c r="EE664" s="1502"/>
      <c r="EF664" s="1502"/>
      <c r="EG664" s="1502"/>
      <c r="EH664" s="1502" t="e">
        <f t="shared" si="5"/>
        <v>#VALUE!</v>
      </c>
      <c r="EI664" s="1502"/>
      <c r="EJ664" s="1502"/>
      <c r="EK664" s="1502"/>
      <c r="EL664" s="1502"/>
      <c r="EM664" s="1502" t="e">
        <f t="shared" si="6"/>
        <v>#VALUE!</v>
      </c>
      <c r="EN664" s="1502"/>
      <c r="EO664" s="1502"/>
      <c r="EP664" s="1502"/>
      <c r="EQ664" s="1502"/>
      <c r="ER664" s="1502" t="e">
        <f t="shared" si="7"/>
        <v>#VALUE!</v>
      </c>
      <c r="ES664" s="1502"/>
      <c r="ET664" s="1502"/>
      <c r="EU664" s="1502"/>
      <c r="EV664" s="1502"/>
      <c r="EW664" s="1502" t="e">
        <f t="shared" si="8"/>
        <v>#VALUE!</v>
      </c>
      <c r="EX664" s="1502"/>
      <c r="EY664" s="1502"/>
      <c r="EZ664" s="1502"/>
      <c r="FA664" s="1502"/>
    </row>
    <row r="665" spans="1:157" ht="12.95" customHeight="1">
      <c r="A665" s="22"/>
      <c r="B665" t="s">
        <v>20</v>
      </c>
      <c r="N665" s="1285" t="s">
        <v>545</v>
      </c>
      <c r="O665" s="1285"/>
      <c r="T665" s="22"/>
      <c r="U665" t="s">
        <v>20</v>
      </c>
      <c r="AG665" s="1285" t="s">
        <v>669</v>
      </c>
      <c r="AH665" s="1285"/>
      <c r="AZ665" s="34"/>
      <c r="BA665" s="34"/>
      <c r="BB665" s="34"/>
      <c r="BC665" s="34"/>
      <c r="BD665" s="34"/>
      <c r="BE665" s="34"/>
      <c r="BF665" s="34"/>
      <c r="BG665" s="34"/>
      <c r="BH665" s="34"/>
      <c r="BI665" s="34"/>
      <c r="BJ665" s="34"/>
      <c r="BK665" s="34"/>
      <c r="BL665" s="34"/>
      <c r="BM665" s="34"/>
      <c r="DX665" s="1502" t="e">
        <f t="shared" si="3"/>
        <v>#VALUE!</v>
      </c>
      <c r="DY665" s="1502"/>
      <c r="DZ665" s="1502"/>
      <c r="EA665" s="1502"/>
      <c r="EB665" s="1502"/>
      <c r="EC665" s="1502" t="e">
        <f t="shared" si="4"/>
        <v>#VALUE!</v>
      </c>
      <c r="ED665" s="1502"/>
      <c r="EE665" s="1502"/>
      <c r="EF665" s="1502"/>
      <c r="EG665" s="1502"/>
      <c r="EH665" s="1502" t="e">
        <f t="shared" si="5"/>
        <v>#VALUE!</v>
      </c>
      <c r="EI665" s="1502"/>
      <c r="EJ665" s="1502"/>
      <c r="EK665" s="1502"/>
      <c r="EL665" s="1502"/>
      <c r="EM665" s="1502" t="e">
        <f t="shared" si="6"/>
        <v>#VALUE!</v>
      </c>
      <c r="EN665" s="1502"/>
      <c r="EO665" s="1502"/>
      <c r="EP665" s="1502"/>
      <c r="EQ665" s="1502"/>
      <c r="ER665" s="1502" t="e">
        <f t="shared" si="7"/>
        <v>#VALUE!</v>
      </c>
      <c r="ES665" s="1502"/>
      <c r="ET665" s="1502"/>
      <c r="EU665" s="1502"/>
      <c r="EV665" s="1502"/>
      <c r="EW665" s="1502" t="e">
        <f t="shared" si="8"/>
        <v>#VALUE!</v>
      </c>
      <c r="EX665" s="1502"/>
      <c r="EY665" s="1502"/>
      <c r="EZ665" s="1502"/>
      <c r="FA665" s="1502"/>
    </row>
    <row r="666" spans="1:157" ht="12.95" customHeight="1">
      <c r="A666" s="22"/>
      <c r="T666" s="22"/>
      <c r="AZ666" s="34"/>
      <c r="BA666" s="34"/>
      <c r="BB666" s="34"/>
      <c r="BC666" s="34"/>
      <c r="BD666" s="34"/>
      <c r="BE666" s="34"/>
      <c r="BF666" s="34"/>
      <c r="BG666" s="34"/>
      <c r="BH666" s="34"/>
      <c r="BI666" s="34"/>
      <c r="BJ666" s="34"/>
      <c r="BK666" s="34"/>
      <c r="BL666" s="34"/>
      <c r="BM666" s="34"/>
      <c r="DX666" s="1502" t="e">
        <f t="shared" si="3"/>
        <v>#VALUE!</v>
      </c>
      <c r="DY666" s="1502"/>
      <c r="DZ666" s="1502"/>
      <c r="EA666" s="1502"/>
      <c r="EB666" s="1502"/>
      <c r="EC666" s="1502" t="e">
        <f t="shared" si="4"/>
        <v>#VALUE!</v>
      </c>
      <c r="ED666" s="1502"/>
      <c r="EE666" s="1502"/>
      <c r="EF666" s="1502"/>
      <c r="EG666" s="1502"/>
      <c r="EH666" s="1502" t="e">
        <f t="shared" si="5"/>
        <v>#VALUE!</v>
      </c>
      <c r="EI666" s="1502"/>
      <c r="EJ666" s="1502"/>
      <c r="EK666" s="1502"/>
      <c r="EL666" s="1502"/>
      <c r="EM666" s="1502" t="e">
        <f t="shared" si="6"/>
        <v>#VALUE!</v>
      </c>
      <c r="EN666" s="1502"/>
      <c r="EO666" s="1502"/>
      <c r="EP666" s="1502"/>
      <c r="EQ666" s="1502"/>
      <c r="ER666" s="1502" t="e">
        <f t="shared" si="7"/>
        <v>#VALUE!</v>
      </c>
      <c r="ES666" s="1502"/>
      <c r="ET666" s="1502"/>
      <c r="EU666" s="1502"/>
      <c r="EV666" s="1502"/>
      <c r="EW666" s="1502" t="e">
        <f t="shared" si="8"/>
        <v>#VALUE!</v>
      </c>
      <c r="EX666" s="1502"/>
      <c r="EY666" s="1502"/>
      <c r="EZ666" s="1502"/>
      <c r="FA666" s="1502"/>
    </row>
    <row r="667" spans="1:157" ht="12.95" customHeight="1">
      <c r="A667" s="55" t="s">
        <v>763</v>
      </c>
      <c r="B667" t="s">
        <v>463</v>
      </c>
      <c r="G667" s="1439">
        <f>C639</f>
        <v>0</v>
      </c>
      <c r="H667" s="1439"/>
      <c r="I667" s="1439"/>
      <c r="J667" s="1439"/>
      <c r="K667" s="1439"/>
      <c r="L667" s="1439"/>
      <c r="M667" s="1439"/>
      <c r="N667" s="1439"/>
      <c r="O667" s="1439"/>
      <c r="P667" s="1439"/>
      <c r="Q667" s="1439"/>
      <c r="R667" s="1439"/>
      <c r="T667" s="55" t="s">
        <v>584</v>
      </c>
      <c r="U667" t="s">
        <v>463</v>
      </c>
      <c r="Z667" s="1439">
        <f>C640</f>
        <v>0</v>
      </c>
      <c r="AA667" s="1439"/>
      <c r="AB667" s="1439"/>
      <c r="AC667" s="1439"/>
      <c r="AD667" s="1439"/>
      <c r="AE667" s="1439"/>
      <c r="AF667" s="1439"/>
      <c r="AG667" s="1439"/>
      <c r="AH667" s="1439"/>
      <c r="AI667" s="1439"/>
      <c r="AJ667" s="1439"/>
      <c r="AK667" s="1439"/>
      <c r="AZ667" s="34"/>
      <c r="BA667" s="34"/>
      <c r="BB667" s="34"/>
      <c r="BC667" s="34"/>
      <c r="BD667" s="34"/>
      <c r="BE667" s="34"/>
      <c r="BF667" s="34"/>
      <c r="BG667" s="34"/>
      <c r="BH667" s="34"/>
      <c r="BI667" s="34"/>
      <c r="BJ667" s="34"/>
      <c r="BK667" s="34"/>
      <c r="BL667" s="34"/>
      <c r="BM667" s="34"/>
      <c r="DX667" s="1502" t="e">
        <f t="shared" si="3"/>
        <v>#VALUE!</v>
      </c>
      <c r="DY667" s="1502"/>
      <c r="DZ667" s="1502"/>
      <c r="EA667" s="1502"/>
      <c r="EB667" s="1502"/>
      <c r="EC667" s="1502" t="e">
        <f t="shared" si="4"/>
        <v>#VALUE!</v>
      </c>
      <c r="ED667" s="1502"/>
      <c r="EE667" s="1502"/>
      <c r="EF667" s="1502"/>
      <c r="EG667" s="1502"/>
      <c r="EH667" s="1502" t="e">
        <f t="shared" si="5"/>
        <v>#VALUE!</v>
      </c>
      <c r="EI667" s="1502"/>
      <c r="EJ667" s="1502"/>
      <c r="EK667" s="1502"/>
      <c r="EL667" s="1502"/>
      <c r="EM667" s="1502" t="e">
        <f t="shared" si="6"/>
        <v>#VALUE!</v>
      </c>
      <c r="EN667" s="1502"/>
      <c r="EO667" s="1502"/>
      <c r="EP667" s="1502"/>
      <c r="EQ667" s="1502"/>
      <c r="ER667" s="1502" t="e">
        <f t="shared" si="7"/>
        <v>#VALUE!</v>
      </c>
      <c r="ES667" s="1502"/>
      <c r="ET667" s="1502"/>
      <c r="EU667" s="1502"/>
      <c r="EV667" s="1502"/>
      <c r="EW667" s="1502" t="e">
        <f t="shared" si="8"/>
        <v>#VALUE!</v>
      </c>
      <c r="EX667" s="1502"/>
      <c r="EY667" s="1502"/>
      <c r="EZ667" s="1502"/>
      <c r="FA667" s="1502"/>
    </row>
    <row r="668" spans="1:157" ht="12.95" customHeight="1">
      <c r="A668" s="22"/>
      <c r="B668" t="s">
        <v>85</v>
      </c>
      <c r="G668" s="1428"/>
      <c r="H668" s="1428"/>
      <c r="I668" s="1428"/>
      <c r="J668" s="1428"/>
      <c r="K668" s="1428"/>
      <c r="L668" s="1428"/>
      <c r="M668" s="1428"/>
      <c r="N668" s="1428"/>
      <c r="O668" s="1428"/>
      <c r="P668" s="1428"/>
      <c r="Q668" s="1428"/>
      <c r="R668" s="1428"/>
      <c r="T668" s="22"/>
      <c r="U668" t="s">
        <v>85</v>
      </c>
      <c r="Z668" s="1428"/>
      <c r="AA668" s="1428"/>
      <c r="AB668" s="1428"/>
      <c r="AC668" s="1428"/>
      <c r="AD668" s="1428"/>
      <c r="AE668" s="1428"/>
      <c r="AF668" s="1428"/>
      <c r="AG668" s="1428"/>
      <c r="AH668" s="1428"/>
      <c r="AI668" s="1428"/>
      <c r="AJ668" s="1428"/>
      <c r="AK668" s="1428"/>
      <c r="AZ668" s="34"/>
      <c r="BA668" s="34"/>
      <c r="BB668" s="34"/>
      <c r="BC668" s="34"/>
      <c r="BD668" s="34"/>
      <c r="BE668" s="34"/>
      <c r="BF668" s="34"/>
      <c r="BG668" s="34"/>
      <c r="BH668" s="34"/>
      <c r="BI668" s="34"/>
      <c r="BJ668" s="34"/>
      <c r="BK668" s="34"/>
      <c r="BL668" s="34"/>
      <c r="BM668" s="34"/>
      <c r="DX668" s="1502" t="e">
        <f t="shared" si="3"/>
        <v>#VALUE!</v>
      </c>
      <c r="DY668" s="1502"/>
      <c r="DZ668" s="1502"/>
      <c r="EA668" s="1502"/>
      <c r="EB668" s="1502"/>
      <c r="EC668" s="1502" t="e">
        <f t="shared" si="4"/>
        <v>#VALUE!</v>
      </c>
      <c r="ED668" s="1502"/>
      <c r="EE668" s="1502"/>
      <c r="EF668" s="1502"/>
      <c r="EG668" s="1502"/>
      <c r="EH668" s="1502" t="e">
        <f t="shared" si="5"/>
        <v>#VALUE!</v>
      </c>
      <c r="EI668" s="1502"/>
      <c r="EJ668" s="1502"/>
      <c r="EK668" s="1502"/>
      <c r="EL668" s="1502"/>
      <c r="EM668" s="1502" t="e">
        <f t="shared" si="6"/>
        <v>#VALUE!</v>
      </c>
      <c r="EN668" s="1502"/>
      <c r="EO668" s="1502"/>
      <c r="EP668" s="1502"/>
      <c r="EQ668" s="1502"/>
      <c r="ER668" s="1502" t="e">
        <f t="shared" si="7"/>
        <v>#VALUE!</v>
      </c>
      <c r="ES668" s="1502"/>
      <c r="ET668" s="1502"/>
      <c r="EU668" s="1502"/>
      <c r="EV668" s="1502"/>
      <c r="EW668" s="1502" t="e">
        <f t="shared" si="8"/>
        <v>#VALUE!</v>
      </c>
      <c r="EX668" s="1502"/>
      <c r="EY668" s="1502"/>
      <c r="EZ668" s="1502"/>
      <c r="FA668" s="1502"/>
    </row>
    <row r="669" spans="1:157" ht="12.95" customHeight="1">
      <c r="A669" s="22"/>
      <c r="B669" t="s">
        <v>580</v>
      </c>
      <c r="G669" s="1428"/>
      <c r="H669" s="1428"/>
      <c r="I669" s="1428"/>
      <c r="J669" s="1428"/>
      <c r="K669" s="1428"/>
      <c r="L669" s="1428"/>
      <c r="M669" s="1428"/>
      <c r="N669" s="1428"/>
      <c r="O669" s="1428"/>
      <c r="P669" s="1428"/>
      <c r="Q669" s="1428"/>
      <c r="R669" s="1428"/>
      <c r="T669" s="22"/>
      <c r="U669" t="s">
        <v>580</v>
      </c>
      <c r="Z669" s="1408"/>
      <c r="AA669" s="1408"/>
      <c r="AB669" s="1408"/>
      <c r="AC669" s="1408"/>
      <c r="AD669" s="1408"/>
      <c r="AE669" s="1408"/>
      <c r="AF669" s="1408"/>
      <c r="AG669" s="1408"/>
      <c r="AH669" s="1408"/>
      <c r="AI669" s="1408"/>
      <c r="AJ669" s="1408"/>
      <c r="AK669" s="1408"/>
      <c r="AZ669" s="34"/>
      <c r="BA669" s="34"/>
      <c r="BB669" s="34"/>
      <c r="BC669" s="34"/>
      <c r="BD669" s="34"/>
      <c r="BE669" s="34"/>
      <c r="BF669" s="34"/>
      <c r="BG669" s="34"/>
      <c r="BH669" s="34"/>
      <c r="BI669" s="34"/>
      <c r="BJ669" s="34"/>
      <c r="BK669" s="34"/>
      <c r="BL669" s="34"/>
      <c r="BM669" s="34"/>
      <c r="DX669" s="1502" t="e">
        <f t="shared" si="3"/>
        <v>#VALUE!</v>
      </c>
      <c r="DY669" s="1502"/>
      <c r="DZ669" s="1502"/>
      <c r="EA669" s="1502"/>
      <c r="EB669" s="1502"/>
      <c r="EC669" s="1502" t="e">
        <f t="shared" si="4"/>
        <v>#VALUE!</v>
      </c>
      <c r="ED669" s="1502"/>
      <c r="EE669" s="1502"/>
      <c r="EF669" s="1502"/>
      <c r="EG669" s="1502"/>
      <c r="EH669" s="1502" t="e">
        <f t="shared" si="5"/>
        <v>#VALUE!</v>
      </c>
      <c r="EI669" s="1502"/>
      <c r="EJ669" s="1502"/>
      <c r="EK669" s="1502"/>
      <c r="EL669" s="1502"/>
      <c r="EM669" s="1502" t="e">
        <f t="shared" si="6"/>
        <v>#VALUE!</v>
      </c>
      <c r="EN669" s="1502"/>
      <c r="EO669" s="1502"/>
      <c r="EP669" s="1502"/>
      <c r="EQ669" s="1502"/>
      <c r="ER669" s="1502" t="e">
        <f t="shared" si="7"/>
        <v>#VALUE!</v>
      </c>
      <c r="ES669" s="1502"/>
      <c r="ET669" s="1502"/>
      <c r="EU669" s="1502"/>
      <c r="EV669" s="1502"/>
      <c r="EW669" s="1502" t="e">
        <f t="shared" si="8"/>
        <v>#VALUE!</v>
      </c>
      <c r="EX669" s="1502"/>
      <c r="EY669" s="1502"/>
      <c r="EZ669" s="1502"/>
      <c r="FA669" s="1502"/>
    </row>
    <row r="670" spans="1:157" ht="12.95" customHeight="1">
      <c r="A670" s="22"/>
      <c r="B670" t="s">
        <v>17</v>
      </c>
      <c r="G670" s="1428"/>
      <c r="H670" s="1428"/>
      <c r="I670" s="1428"/>
      <c r="J670" s="1428"/>
      <c r="K670" s="1428"/>
      <c r="L670" s="1428"/>
      <c r="M670" s="1428"/>
      <c r="N670" s="1428"/>
      <c r="O670" s="1428"/>
      <c r="P670" s="1428"/>
      <c r="Q670" s="1428"/>
      <c r="R670" s="1428"/>
      <c r="T670" s="22"/>
      <c r="U670" t="s">
        <v>17</v>
      </c>
      <c r="Z670" s="1408"/>
      <c r="AA670" s="1408"/>
      <c r="AB670" s="1408"/>
      <c r="AC670" s="1408"/>
      <c r="AD670" s="1408"/>
      <c r="AE670" s="1408"/>
      <c r="AF670" s="1408"/>
      <c r="AG670" s="1408"/>
      <c r="AH670" s="1408"/>
      <c r="AI670" s="1408"/>
      <c r="AJ670" s="1408"/>
      <c r="AK670" s="1408"/>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02" t="e">
        <f t="shared" si="3"/>
        <v>#VALUE!</v>
      </c>
      <c r="DY670" s="1502"/>
      <c r="DZ670" s="1502"/>
      <c r="EA670" s="1502"/>
      <c r="EB670" s="1502"/>
      <c r="EC670" s="1502" t="e">
        <f t="shared" si="4"/>
        <v>#VALUE!</v>
      </c>
      <c r="ED670" s="1502"/>
      <c r="EE670" s="1502"/>
      <c r="EF670" s="1502"/>
      <c r="EG670" s="1502"/>
      <c r="EH670" s="1502" t="e">
        <f t="shared" si="5"/>
        <v>#VALUE!</v>
      </c>
      <c r="EI670" s="1502"/>
      <c r="EJ670" s="1502"/>
      <c r="EK670" s="1502"/>
      <c r="EL670" s="1502"/>
      <c r="EM670" s="1502" t="e">
        <f t="shared" si="6"/>
        <v>#VALUE!</v>
      </c>
      <c r="EN670" s="1502"/>
      <c r="EO670" s="1502"/>
      <c r="EP670" s="1502"/>
      <c r="EQ670" s="1502"/>
      <c r="ER670" s="1502" t="e">
        <f t="shared" si="7"/>
        <v>#VALUE!</v>
      </c>
      <c r="ES670" s="1502"/>
      <c r="ET670" s="1502"/>
      <c r="EU670" s="1502"/>
      <c r="EV670" s="1502"/>
      <c r="EW670" s="1502" t="e">
        <f t="shared" si="8"/>
        <v>#VALUE!</v>
      </c>
      <c r="EX670" s="1502"/>
      <c r="EY670" s="1502"/>
      <c r="EZ670" s="1502"/>
      <c r="FA670" s="1502"/>
    </row>
    <row r="671" spans="1:157" ht="12.95" customHeight="1">
      <c r="A671" s="22"/>
      <c r="B671" t="s">
        <v>316</v>
      </c>
      <c r="G671" s="1424"/>
      <c r="H671" s="1424"/>
      <c r="I671" s="1424"/>
      <c r="J671" s="1424"/>
      <c r="K671" s="1424"/>
      <c r="L671" s="1424"/>
      <c r="O671" s="33" t="s">
        <v>206</v>
      </c>
      <c r="P671" s="1406"/>
      <c r="Q671" s="1406"/>
      <c r="R671" s="1406"/>
      <c r="T671" s="22"/>
      <c r="U671" t="s">
        <v>316</v>
      </c>
      <c r="Z671" s="1424"/>
      <c r="AA671" s="1424"/>
      <c r="AB671" s="1424"/>
      <c r="AC671" s="1424"/>
      <c r="AD671" s="1424"/>
      <c r="AE671" s="1424"/>
      <c r="AH671" s="33" t="s">
        <v>206</v>
      </c>
      <c r="AI671" s="1406"/>
      <c r="AJ671" s="1406"/>
      <c r="AK671" s="140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02" t="e">
        <f t="shared" si="3"/>
        <v>#VALUE!</v>
      </c>
      <c r="DY671" s="1502"/>
      <c r="DZ671" s="1502"/>
      <c r="EA671" s="1502"/>
      <c r="EB671" s="1502"/>
      <c r="EC671" s="1502" t="e">
        <f t="shared" si="4"/>
        <v>#VALUE!</v>
      </c>
      <c r="ED671" s="1502"/>
      <c r="EE671" s="1502"/>
      <c r="EF671" s="1502"/>
      <c r="EG671" s="1502"/>
      <c r="EH671" s="1502" t="e">
        <f t="shared" si="5"/>
        <v>#VALUE!</v>
      </c>
      <c r="EI671" s="1502"/>
      <c r="EJ671" s="1502"/>
      <c r="EK671" s="1502"/>
      <c r="EL671" s="1502"/>
      <c r="EM671" s="1502" t="e">
        <f t="shared" si="6"/>
        <v>#VALUE!</v>
      </c>
      <c r="EN671" s="1502"/>
      <c r="EO671" s="1502"/>
      <c r="EP671" s="1502"/>
      <c r="EQ671" s="1502"/>
      <c r="ER671" s="1502" t="e">
        <f t="shared" si="7"/>
        <v>#VALUE!</v>
      </c>
      <c r="ES671" s="1502"/>
      <c r="ET671" s="1502"/>
      <c r="EU671" s="1502"/>
      <c r="EV671" s="1502"/>
      <c r="EW671" s="1502" t="e">
        <f t="shared" si="8"/>
        <v>#VALUE!</v>
      </c>
      <c r="EX671" s="1502"/>
      <c r="EY671" s="1502"/>
      <c r="EZ671" s="1502"/>
      <c r="FA671" s="1502"/>
    </row>
    <row r="672" spans="1:157" ht="12.95" customHeight="1">
      <c r="A672" s="22"/>
      <c r="B672" t="s">
        <v>18</v>
      </c>
      <c r="H672" s="1428"/>
      <c r="I672" s="1428"/>
      <c r="J672" s="1428"/>
      <c r="K672" s="1428"/>
      <c r="L672" s="1428"/>
      <c r="M672" s="1428"/>
      <c r="N672" s="1428"/>
      <c r="O672" s="1428"/>
      <c r="P672" s="1428"/>
      <c r="Q672" s="1428"/>
      <c r="R672" s="1428"/>
      <c r="T672" s="22"/>
      <c r="U672" t="s">
        <v>18</v>
      </c>
      <c r="AA672" s="1428"/>
      <c r="AB672" s="1428"/>
      <c r="AC672" s="1428"/>
      <c r="AD672" s="1428"/>
      <c r="AE672" s="1428"/>
      <c r="AF672" s="1428"/>
      <c r="AG672" s="1428"/>
      <c r="AH672" s="1428"/>
      <c r="AI672" s="1428"/>
      <c r="AJ672" s="1428"/>
      <c r="AK672" s="1428"/>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02" t="e">
        <f t="shared" si="3"/>
        <v>#VALUE!</v>
      </c>
      <c r="DY672" s="1502"/>
      <c r="DZ672" s="1502"/>
      <c r="EA672" s="1502"/>
      <c r="EB672" s="1502"/>
      <c r="EC672" s="1502" t="e">
        <f t="shared" si="4"/>
        <v>#VALUE!</v>
      </c>
      <c r="ED672" s="1502"/>
      <c r="EE672" s="1502"/>
      <c r="EF672" s="1502"/>
      <c r="EG672" s="1502"/>
      <c r="EH672" s="1502" t="e">
        <f t="shared" si="5"/>
        <v>#VALUE!</v>
      </c>
      <c r="EI672" s="1502"/>
      <c r="EJ672" s="1502"/>
      <c r="EK672" s="1502"/>
      <c r="EL672" s="1502"/>
      <c r="EM672" s="1502" t="e">
        <f t="shared" si="6"/>
        <v>#VALUE!</v>
      </c>
      <c r="EN672" s="1502"/>
      <c r="EO672" s="1502"/>
      <c r="EP672" s="1502"/>
      <c r="EQ672" s="1502"/>
      <c r="ER672" s="1502" t="e">
        <f t="shared" si="7"/>
        <v>#VALUE!</v>
      </c>
      <c r="ES672" s="1502"/>
      <c r="ET672" s="1502"/>
      <c r="EU672" s="1502"/>
      <c r="EV672" s="1502"/>
      <c r="EW672" s="1502" t="e">
        <f t="shared" si="8"/>
        <v>#VALUE!</v>
      </c>
      <c r="EX672" s="1502"/>
      <c r="EY672" s="1502"/>
      <c r="EZ672" s="1502"/>
      <c r="FA672" s="1502"/>
    </row>
    <row r="673" spans="1:157" ht="12.95" customHeight="1">
      <c r="A673" s="22"/>
      <c r="B673" t="s">
        <v>20</v>
      </c>
      <c r="N673" s="1285" t="s">
        <v>669</v>
      </c>
      <c r="O673" s="1285"/>
      <c r="T673" s="22"/>
      <c r="U673" t="s">
        <v>20</v>
      </c>
      <c r="AG673" s="1285" t="s">
        <v>669</v>
      </c>
      <c r="AH673" s="1285"/>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02" t="e">
        <f t="shared" si="3"/>
        <v>#VALUE!</v>
      </c>
      <c r="DY673" s="1502"/>
      <c r="DZ673" s="1502"/>
      <c r="EA673" s="1502"/>
      <c r="EB673" s="1502"/>
      <c r="EC673" s="1502" t="e">
        <f t="shared" si="4"/>
        <v>#VALUE!</v>
      </c>
      <c r="ED673" s="1502"/>
      <c r="EE673" s="1502"/>
      <c r="EF673" s="1502"/>
      <c r="EG673" s="1502"/>
      <c r="EH673" s="1502" t="e">
        <f t="shared" si="5"/>
        <v>#VALUE!</v>
      </c>
      <c r="EI673" s="1502"/>
      <c r="EJ673" s="1502"/>
      <c r="EK673" s="1502"/>
      <c r="EL673" s="1502"/>
      <c r="EM673" s="1502" t="e">
        <f t="shared" si="6"/>
        <v>#VALUE!</v>
      </c>
      <c r="EN673" s="1502"/>
      <c r="EO673" s="1502"/>
      <c r="EP673" s="1502"/>
      <c r="EQ673" s="1502"/>
      <c r="ER673" s="1502" t="e">
        <f t="shared" si="7"/>
        <v>#VALUE!</v>
      </c>
      <c r="ES673" s="1502"/>
      <c r="ET673" s="1502"/>
      <c r="EU673" s="1502"/>
      <c r="EV673" s="1502"/>
      <c r="EW673" s="1502" t="e">
        <f t="shared" si="8"/>
        <v>#VALUE!</v>
      </c>
      <c r="EX673" s="1502"/>
      <c r="EY673" s="1502"/>
      <c r="EZ673" s="1502"/>
      <c r="FA673" s="1502"/>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02" t="e">
        <f t="shared" si="3"/>
        <v>#VALUE!</v>
      </c>
      <c r="DY674" s="1502"/>
      <c r="DZ674" s="1502"/>
      <c r="EA674" s="1502"/>
      <c r="EB674" s="1502"/>
      <c r="EC674" s="1502" t="e">
        <f t="shared" si="4"/>
        <v>#VALUE!</v>
      </c>
      <c r="ED674" s="1502"/>
      <c r="EE674" s="1502"/>
      <c r="EF674" s="1502"/>
      <c r="EG674" s="1502"/>
      <c r="EH674" s="1502" t="e">
        <f t="shared" si="5"/>
        <v>#VALUE!</v>
      </c>
      <c r="EI674" s="1502"/>
      <c r="EJ674" s="1502"/>
      <c r="EK674" s="1502"/>
      <c r="EL674" s="1502"/>
      <c r="EM674" s="1502" t="e">
        <f t="shared" si="6"/>
        <v>#VALUE!</v>
      </c>
      <c r="EN674" s="1502"/>
      <c r="EO674" s="1502"/>
      <c r="EP674" s="1502"/>
      <c r="EQ674" s="1502"/>
      <c r="ER674" s="1502" t="e">
        <f t="shared" si="7"/>
        <v>#VALUE!</v>
      </c>
      <c r="ES674" s="1502"/>
      <c r="ET674" s="1502"/>
      <c r="EU674" s="1502"/>
      <c r="EV674" s="1502"/>
      <c r="EW674" s="1502" t="e">
        <f t="shared" si="8"/>
        <v>#VALUE!</v>
      </c>
      <c r="EX674" s="1502"/>
      <c r="EY674" s="1502"/>
      <c r="EZ674" s="1502"/>
      <c r="FA674" s="1502"/>
    </row>
    <row r="675" spans="1:157" ht="12.95" customHeight="1">
      <c r="A675" s="55" t="s">
        <v>455</v>
      </c>
      <c r="B675" t="s">
        <v>463</v>
      </c>
      <c r="G675" s="1439">
        <f>C641</f>
        <v>0</v>
      </c>
      <c r="H675" s="1439"/>
      <c r="I675" s="1439"/>
      <c r="J675" s="1439"/>
      <c r="K675" s="1439"/>
      <c r="L675" s="1439"/>
      <c r="M675" s="1439"/>
      <c r="N675" s="1439"/>
      <c r="O675" s="1439"/>
      <c r="P675" s="1439"/>
      <c r="Q675" s="1439"/>
      <c r="R675" s="1439"/>
      <c r="T675" s="55" t="s">
        <v>456</v>
      </c>
      <c r="U675" t="s">
        <v>463</v>
      </c>
      <c r="Z675" s="1439">
        <f>C642</f>
        <v>0</v>
      </c>
      <c r="AA675" s="1439"/>
      <c r="AB675" s="1439"/>
      <c r="AC675" s="1439"/>
      <c r="AD675" s="1439"/>
      <c r="AE675" s="1439"/>
      <c r="AF675" s="1439"/>
      <c r="AG675" s="1439"/>
      <c r="AH675" s="1439"/>
      <c r="AI675" s="1439"/>
      <c r="AJ675" s="1439"/>
      <c r="AK675" s="143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02" t="e">
        <f t="shared" si="3"/>
        <v>#VALUE!</v>
      </c>
      <c r="DY675" s="1502"/>
      <c r="DZ675" s="1502"/>
      <c r="EA675" s="1502"/>
      <c r="EB675" s="1502"/>
      <c r="EC675" s="1502" t="e">
        <f t="shared" si="4"/>
        <v>#VALUE!</v>
      </c>
      <c r="ED675" s="1502"/>
      <c r="EE675" s="1502"/>
      <c r="EF675" s="1502"/>
      <c r="EG675" s="1502"/>
      <c r="EH675" s="1502" t="e">
        <f t="shared" si="5"/>
        <v>#VALUE!</v>
      </c>
      <c r="EI675" s="1502"/>
      <c r="EJ675" s="1502"/>
      <c r="EK675" s="1502"/>
      <c r="EL675" s="1502"/>
      <c r="EM675" s="1502" t="e">
        <f t="shared" si="6"/>
        <v>#VALUE!</v>
      </c>
      <c r="EN675" s="1502"/>
      <c r="EO675" s="1502"/>
      <c r="EP675" s="1502"/>
      <c r="EQ675" s="1502"/>
      <c r="ER675" s="1502" t="e">
        <f t="shared" si="7"/>
        <v>#VALUE!</v>
      </c>
      <c r="ES675" s="1502"/>
      <c r="ET675" s="1502"/>
      <c r="EU675" s="1502"/>
      <c r="EV675" s="1502"/>
      <c r="EW675" s="1502" t="e">
        <f t="shared" si="8"/>
        <v>#VALUE!</v>
      </c>
      <c r="EX675" s="1502"/>
      <c r="EY675" s="1502"/>
      <c r="EZ675" s="1502"/>
      <c r="FA675" s="1502"/>
    </row>
    <row r="676" spans="1:157" ht="12.95" customHeight="1">
      <c r="A676" s="22"/>
      <c r="B676" t="s">
        <v>85</v>
      </c>
      <c r="G676" s="1428"/>
      <c r="H676" s="1428"/>
      <c r="I676" s="1428"/>
      <c r="J676" s="1428"/>
      <c r="K676" s="1428"/>
      <c r="L676" s="1428"/>
      <c r="M676" s="1428"/>
      <c r="N676" s="1428"/>
      <c r="O676" s="1428"/>
      <c r="P676" s="1428"/>
      <c r="Q676" s="1428"/>
      <c r="R676" s="1428"/>
      <c r="T676" s="22"/>
      <c r="U676" t="s">
        <v>85</v>
      </c>
      <c r="Z676" s="1428"/>
      <c r="AA676" s="1428"/>
      <c r="AB676" s="1428"/>
      <c r="AC676" s="1428"/>
      <c r="AD676" s="1428"/>
      <c r="AE676" s="1428"/>
      <c r="AF676" s="1428"/>
      <c r="AG676" s="1428"/>
      <c r="AH676" s="1428"/>
      <c r="AI676" s="1428"/>
      <c r="AJ676" s="1428"/>
      <c r="AK676" s="1428"/>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02" t="e">
        <f t="shared" si="3"/>
        <v>#VALUE!</v>
      </c>
      <c r="DY676" s="1502"/>
      <c r="DZ676" s="1502"/>
      <c r="EA676" s="1502"/>
      <c r="EB676" s="1502"/>
      <c r="EC676" s="1502" t="e">
        <f t="shared" si="4"/>
        <v>#VALUE!</v>
      </c>
      <c r="ED676" s="1502"/>
      <c r="EE676" s="1502"/>
      <c r="EF676" s="1502"/>
      <c r="EG676" s="1502"/>
      <c r="EH676" s="1502" t="e">
        <f t="shared" si="5"/>
        <v>#VALUE!</v>
      </c>
      <c r="EI676" s="1502"/>
      <c r="EJ676" s="1502"/>
      <c r="EK676" s="1502"/>
      <c r="EL676" s="1502"/>
      <c r="EM676" s="1502" t="e">
        <f t="shared" si="6"/>
        <v>#VALUE!</v>
      </c>
      <c r="EN676" s="1502"/>
      <c r="EO676" s="1502"/>
      <c r="EP676" s="1502"/>
      <c r="EQ676" s="1502"/>
      <c r="ER676" s="1502" t="e">
        <f t="shared" si="7"/>
        <v>#VALUE!</v>
      </c>
      <c r="ES676" s="1502"/>
      <c r="ET676" s="1502"/>
      <c r="EU676" s="1502"/>
      <c r="EV676" s="1502"/>
      <c r="EW676" s="1502" t="e">
        <f t="shared" si="8"/>
        <v>#VALUE!</v>
      </c>
      <c r="EX676" s="1502"/>
      <c r="EY676" s="1502"/>
      <c r="EZ676" s="1502"/>
      <c r="FA676" s="1502"/>
    </row>
    <row r="677" spans="1:157" ht="12.95" customHeight="1">
      <c r="A677" s="22"/>
      <c r="B677" t="s">
        <v>580</v>
      </c>
      <c r="G677" s="1428"/>
      <c r="H677" s="1428"/>
      <c r="I677" s="1428"/>
      <c r="J677" s="1428"/>
      <c r="K677" s="1428"/>
      <c r="L677" s="1428"/>
      <c r="M677" s="1428"/>
      <c r="N677" s="1428"/>
      <c r="O677" s="1428"/>
      <c r="P677" s="1428"/>
      <c r="Q677" s="1428"/>
      <c r="R677" s="1428"/>
      <c r="T677" s="22"/>
      <c r="U677" t="s">
        <v>580</v>
      </c>
      <c r="Z677" s="1408"/>
      <c r="AA677" s="1408"/>
      <c r="AB677" s="1408"/>
      <c r="AC677" s="1408"/>
      <c r="AD677" s="1408"/>
      <c r="AE677" s="1408"/>
      <c r="AF677" s="1408"/>
      <c r="AG677" s="1408"/>
      <c r="AH677" s="1408"/>
      <c r="AI677" s="1408"/>
      <c r="AJ677" s="1408"/>
      <c r="AK677" s="1408"/>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02" t="e">
        <f t="shared" si="3"/>
        <v>#VALUE!</v>
      </c>
      <c r="DY677" s="1502"/>
      <c r="DZ677" s="1502"/>
      <c r="EA677" s="1502"/>
      <c r="EB677" s="1502"/>
      <c r="EC677" s="1502" t="e">
        <f t="shared" si="4"/>
        <v>#VALUE!</v>
      </c>
      <c r="ED677" s="1502"/>
      <c r="EE677" s="1502"/>
      <c r="EF677" s="1502"/>
      <c r="EG677" s="1502"/>
      <c r="EH677" s="1502" t="e">
        <f t="shared" si="5"/>
        <v>#VALUE!</v>
      </c>
      <c r="EI677" s="1502"/>
      <c r="EJ677" s="1502"/>
      <c r="EK677" s="1502"/>
      <c r="EL677" s="1502"/>
      <c r="EM677" s="1502" t="e">
        <f t="shared" si="6"/>
        <v>#VALUE!</v>
      </c>
      <c r="EN677" s="1502"/>
      <c r="EO677" s="1502"/>
      <c r="EP677" s="1502"/>
      <c r="EQ677" s="1502"/>
      <c r="ER677" s="1502" t="e">
        <f t="shared" si="7"/>
        <v>#VALUE!</v>
      </c>
      <c r="ES677" s="1502"/>
      <c r="ET677" s="1502"/>
      <c r="EU677" s="1502"/>
      <c r="EV677" s="1502"/>
      <c r="EW677" s="1502" t="e">
        <f t="shared" si="8"/>
        <v>#VALUE!</v>
      </c>
      <c r="EX677" s="1502"/>
      <c r="EY677" s="1502"/>
      <c r="EZ677" s="1502"/>
      <c r="FA677" s="1502"/>
    </row>
    <row r="678" spans="1:157" ht="12.95" customHeight="1">
      <c r="A678" s="22"/>
      <c r="B678" t="s">
        <v>17</v>
      </c>
      <c r="G678" s="1428"/>
      <c r="H678" s="1428"/>
      <c r="I678" s="1428"/>
      <c r="J678" s="1428"/>
      <c r="K678" s="1428"/>
      <c r="L678" s="1428"/>
      <c r="M678" s="1428"/>
      <c r="N678" s="1428"/>
      <c r="O678" s="1428"/>
      <c r="P678" s="1428"/>
      <c r="Q678" s="1428"/>
      <c r="R678" s="1428"/>
      <c r="T678" s="22"/>
      <c r="U678" t="s">
        <v>17</v>
      </c>
      <c r="Z678" s="1408"/>
      <c r="AA678" s="1408"/>
      <c r="AB678" s="1408"/>
      <c r="AC678" s="1408"/>
      <c r="AD678" s="1408"/>
      <c r="AE678" s="1408"/>
      <c r="AF678" s="1408"/>
      <c r="AG678" s="1408"/>
      <c r="AH678" s="1408"/>
      <c r="AI678" s="1408"/>
      <c r="AJ678" s="1408"/>
      <c r="AK678" s="1408"/>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02">
        <f>SUMIF(DX643:EB677,"&gt;0")</f>
        <v>1703.2307692307693</v>
      </c>
      <c r="DY678" s="1502"/>
      <c r="DZ678" s="1502"/>
      <c r="EA678" s="1502"/>
      <c r="EB678" s="1502"/>
      <c r="EC678" s="1502">
        <f>SUMIF(EC643:EG677,"&gt;0")</f>
        <v>1802.1692307692308</v>
      </c>
      <c r="ED678" s="1502"/>
      <c r="EE678" s="1502"/>
      <c r="EF678" s="1502"/>
      <c r="EG678" s="1502"/>
      <c r="EH678" s="1502">
        <f>SUMIF(EH643:EL677,"&gt;0")</f>
        <v>2530.7586206896549</v>
      </c>
      <c r="EI678" s="1502"/>
      <c r="EJ678" s="1502"/>
      <c r="EK678" s="1502"/>
      <c r="EL678" s="1502"/>
      <c r="EM678" s="1502">
        <f>SUMIF(EM643:EQ677,"&gt;0")</f>
        <v>0</v>
      </c>
      <c r="EN678" s="1502"/>
      <c r="EO678" s="1502"/>
      <c r="EP678" s="1502"/>
      <c r="EQ678" s="1502"/>
      <c r="ER678" s="1502">
        <f>SUMIF(ER643:EV677,"&gt;0")</f>
        <v>0</v>
      </c>
      <c r="ES678" s="1502"/>
      <c r="ET678" s="1502"/>
      <c r="EU678" s="1502"/>
      <c r="EV678" s="1502"/>
      <c r="EW678" s="1502">
        <f>SUMIF(EW643:FA677,"&gt;0")</f>
        <v>0</v>
      </c>
      <c r="EX678" s="1502"/>
      <c r="EY678" s="1502"/>
      <c r="EZ678" s="1502"/>
      <c r="FA678" s="1502"/>
    </row>
    <row r="679" spans="1:157" ht="12.95" customHeight="1">
      <c r="A679" s="22"/>
      <c r="B679" t="s">
        <v>316</v>
      </c>
      <c r="G679" s="1424"/>
      <c r="H679" s="1424"/>
      <c r="I679" s="1424"/>
      <c r="J679" s="1424"/>
      <c r="K679" s="1424"/>
      <c r="L679" s="1424"/>
      <c r="O679" s="33" t="s">
        <v>206</v>
      </c>
      <c r="P679" s="1406"/>
      <c r="Q679" s="1406"/>
      <c r="R679" s="1406"/>
      <c r="T679" s="22"/>
      <c r="U679" t="s">
        <v>316</v>
      </c>
      <c r="Z679" s="1424"/>
      <c r="AA679" s="1424"/>
      <c r="AB679" s="1424"/>
      <c r="AC679" s="1424"/>
      <c r="AD679" s="1424"/>
      <c r="AE679" s="1424"/>
      <c r="AH679" s="33" t="s">
        <v>206</v>
      </c>
      <c r="AI679" s="1406"/>
      <c r="AJ679" s="1406"/>
      <c r="AK679" s="140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28"/>
      <c r="I680" s="1428"/>
      <c r="J680" s="1428"/>
      <c r="K680" s="1428"/>
      <c r="L680" s="1428"/>
      <c r="M680" s="1428"/>
      <c r="N680" s="1428"/>
      <c r="O680" s="1428"/>
      <c r="P680" s="1428"/>
      <c r="Q680" s="1428"/>
      <c r="R680" s="1428"/>
      <c r="T680" s="22"/>
      <c r="U680" t="s">
        <v>18</v>
      </c>
      <c r="AA680" s="1428"/>
      <c r="AB680" s="1428"/>
      <c r="AC680" s="1428"/>
      <c r="AD680" s="1428"/>
      <c r="AE680" s="1428"/>
      <c r="AF680" s="1428"/>
      <c r="AG680" s="1428"/>
      <c r="AH680" s="1428"/>
      <c r="AI680" s="1428"/>
      <c r="AJ680" s="1428"/>
      <c r="AK680" s="1428"/>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285" t="s">
        <v>669</v>
      </c>
      <c r="O681" s="1285"/>
      <c r="T681" s="22"/>
      <c r="U681" t="s">
        <v>20</v>
      </c>
      <c r="AG681" s="1285" t="s">
        <v>669</v>
      </c>
      <c r="AH681" s="1285"/>
      <c r="AZ681" s="3"/>
    </row>
    <row r="682" spans="1:157" ht="12.95" customHeight="1">
      <c r="A682" s="22"/>
      <c r="T682" s="22"/>
      <c r="AZ682" s="3"/>
    </row>
    <row r="683" spans="1:157" ht="12.95" customHeight="1">
      <c r="A683" s="55" t="s">
        <v>461</v>
      </c>
      <c r="B683" t="s">
        <v>463</v>
      </c>
      <c r="G683" s="1439">
        <f>C643</f>
        <v>0</v>
      </c>
      <c r="H683" s="1439"/>
      <c r="I683" s="1439"/>
      <c r="J683" s="1439"/>
      <c r="K683" s="1439"/>
      <c r="L683" s="1439"/>
      <c r="M683" s="1439"/>
      <c r="N683" s="1439"/>
      <c r="O683" s="1439"/>
      <c r="P683" s="1439"/>
      <c r="Q683" s="1439"/>
      <c r="R683" s="1439"/>
      <c r="T683" s="55" t="s">
        <v>646</v>
      </c>
      <c r="U683" t="s">
        <v>463</v>
      </c>
      <c r="Z683" s="1439">
        <f>C644</f>
        <v>0</v>
      </c>
      <c r="AA683" s="1439"/>
      <c r="AB683" s="1439"/>
      <c r="AC683" s="1439"/>
      <c r="AD683" s="1439"/>
      <c r="AE683" s="1439"/>
      <c r="AF683" s="1439"/>
      <c r="AG683" s="1439"/>
      <c r="AH683" s="1439"/>
      <c r="AI683" s="1439"/>
      <c r="AJ683" s="1439"/>
      <c r="AK683" s="1439"/>
      <c r="AZ683" s="3"/>
    </row>
    <row r="684" spans="1:157" ht="12.95" customHeight="1">
      <c r="A684" s="22"/>
      <c r="B684" t="s">
        <v>85</v>
      </c>
      <c r="G684" s="1428"/>
      <c r="H684" s="1428"/>
      <c r="I684" s="1428"/>
      <c r="J684" s="1428"/>
      <c r="K684" s="1428"/>
      <c r="L684" s="1428"/>
      <c r="M684" s="1428"/>
      <c r="N684" s="1428"/>
      <c r="O684" s="1428"/>
      <c r="P684" s="1428"/>
      <c r="Q684" s="1428"/>
      <c r="R684" s="1428"/>
      <c r="T684" s="22"/>
      <c r="U684" t="s">
        <v>85</v>
      </c>
      <c r="Z684" s="1428"/>
      <c r="AA684" s="1428"/>
      <c r="AB684" s="1428"/>
      <c r="AC684" s="1428"/>
      <c r="AD684" s="1428"/>
      <c r="AE684" s="1428"/>
      <c r="AF684" s="1428"/>
      <c r="AG684" s="1428"/>
      <c r="AH684" s="1428"/>
      <c r="AI684" s="1428"/>
      <c r="AJ684" s="1428"/>
      <c r="AK684" s="1428"/>
      <c r="AZ684" s="3"/>
    </row>
    <row r="685" spans="1:157" ht="12.95" customHeight="1">
      <c r="A685" s="22"/>
      <c r="B685" t="s">
        <v>580</v>
      </c>
      <c r="G685" s="1428"/>
      <c r="H685" s="1428"/>
      <c r="I685" s="1428"/>
      <c r="J685" s="1428"/>
      <c r="K685" s="1428"/>
      <c r="L685" s="1428"/>
      <c r="M685" s="1428"/>
      <c r="N685" s="1428"/>
      <c r="O685" s="1428"/>
      <c r="P685" s="1428"/>
      <c r="Q685" s="1428"/>
      <c r="R685" s="1428"/>
      <c r="T685" s="22"/>
      <c r="U685" t="s">
        <v>580</v>
      </c>
      <c r="Z685" s="1408"/>
      <c r="AA685" s="1408"/>
      <c r="AB685" s="1408"/>
      <c r="AC685" s="1408"/>
      <c r="AD685" s="1408"/>
      <c r="AE685" s="1408"/>
      <c r="AF685" s="1408"/>
      <c r="AG685" s="1408"/>
      <c r="AH685" s="1408"/>
      <c r="AI685" s="1408"/>
      <c r="AJ685" s="1408"/>
      <c r="AK685" s="1408"/>
      <c r="AZ685" s="3"/>
    </row>
    <row r="686" spans="1:157" ht="12.95" customHeight="1">
      <c r="A686" s="22"/>
      <c r="B686" t="s">
        <v>17</v>
      </c>
      <c r="G686" s="1428"/>
      <c r="H686" s="1428"/>
      <c r="I686" s="1428"/>
      <c r="J686" s="1428"/>
      <c r="K686" s="1428"/>
      <c r="L686" s="1428"/>
      <c r="M686" s="1428"/>
      <c r="N686" s="1428"/>
      <c r="O686" s="1428"/>
      <c r="P686" s="1428"/>
      <c r="Q686" s="1428"/>
      <c r="R686" s="1428"/>
      <c r="T686" s="22"/>
      <c r="U686" t="s">
        <v>17</v>
      </c>
      <c r="Z686" s="1408"/>
      <c r="AA686" s="1408"/>
      <c r="AB686" s="1408"/>
      <c r="AC686" s="1408"/>
      <c r="AD686" s="1408"/>
      <c r="AE686" s="1408"/>
      <c r="AF686" s="1408"/>
      <c r="AG686" s="1408"/>
      <c r="AH686" s="1408"/>
      <c r="AI686" s="1408"/>
      <c r="AJ686" s="1408"/>
      <c r="AK686" s="1408"/>
      <c r="AZ686" s="3"/>
    </row>
    <row r="687" spans="1:157" ht="12.95" customHeight="1">
      <c r="A687" s="22"/>
      <c r="B687" t="s">
        <v>316</v>
      </c>
      <c r="G687" s="1424"/>
      <c r="H687" s="1424"/>
      <c r="I687" s="1424"/>
      <c r="J687" s="1424"/>
      <c r="K687" s="1424"/>
      <c r="L687" s="1424"/>
      <c r="O687" s="33" t="s">
        <v>206</v>
      </c>
      <c r="P687" s="1406"/>
      <c r="Q687" s="1406"/>
      <c r="R687" s="1406"/>
      <c r="T687" s="22"/>
      <c r="U687" t="s">
        <v>316</v>
      </c>
      <c r="Z687" s="1424"/>
      <c r="AA687" s="1424"/>
      <c r="AB687" s="1424"/>
      <c r="AC687" s="1424"/>
      <c r="AD687" s="1424"/>
      <c r="AE687" s="1424"/>
      <c r="AH687" s="33" t="s">
        <v>206</v>
      </c>
      <c r="AI687" s="1406"/>
      <c r="AJ687" s="1406"/>
      <c r="AK687" s="1406"/>
      <c r="AZ687" s="3"/>
    </row>
    <row r="688" spans="1:157" ht="12.95" customHeight="1">
      <c r="A688" s="22"/>
      <c r="B688" t="s">
        <v>18</v>
      </c>
      <c r="H688" s="1428"/>
      <c r="I688" s="1428"/>
      <c r="J688" s="1428"/>
      <c r="K688" s="1428"/>
      <c r="L688" s="1428"/>
      <c r="M688" s="1428"/>
      <c r="N688" s="1428"/>
      <c r="O688" s="1428"/>
      <c r="P688" s="1428"/>
      <c r="Q688" s="1428"/>
      <c r="R688" s="1428"/>
      <c r="T688" s="22"/>
      <c r="U688" t="s">
        <v>18</v>
      </c>
      <c r="AA688" s="1428"/>
      <c r="AB688" s="1428"/>
      <c r="AC688" s="1428"/>
      <c r="AD688" s="1428"/>
      <c r="AE688" s="1428"/>
      <c r="AF688" s="1428"/>
      <c r="AG688" s="1428"/>
      <c r="AH688" s="1428"/>
      <c r="AI688" s="1428"/>
      <c r="AJ688" s="1428"/>
      <c r="AK688" s="1428"/>
      <c r="AZ688" s="3"/>
    </row>
    <row r="689" spans="1:52" ht="12.95" customHeight="1">
      <c r="A689" s="22"/>
      <c r="B689" t="s">
        <v>20</v>
      </c>
      <c r="N689" s="1285" t="s">
        <v>669</v>
      </c>
      <c r="O689" s="1285"/>
      <c r="T689" s="22"/>
      <c r="U689" t="s">
        <v>20</v>
      </c>
      <c r="AG689" s="1285" t="s">
        <v>669</v>
      </c>
      <c r="AH689" s="1285"/>
      <c r="AZ689" s="3"/>
    </row>
    <row r="690" spans="1:52" ht="12.95" customHeight="1">
      <c r="A690" s="22"/>
      <c r="T690" s="22"/>
      <c r="AZ690" s="3"/>
    </row>
    <row r="691" spans="1:52" ht="12.95" customHeight="1">
      <c r="A691" s="55" t="s">
        <v>362</v>
      </c>
      <c r="B691" t="s">
        <v>463</v>
      </c>
      <c r="G691" s="1439">
        <f>C645</f>
        <v>0</v>
      </c>
      <c r="H691" s="1439"/>
      <c r="I691" s="1439"/>
      <c r="J691" s="1439"/>
      <c r="K691" s="1439"/>
      <c r="L691" s="1439"/>
      <c r="M691" s="1439"/>
      <c r="N691" s="1439"/>
      <c r="O691" s="1439"/>
      <c r="P691" s="1439"/>
      <c r="Q691" s="1439"/>
      <c r="R691" s="1439"/>
      <c r="T691" s="55" t="s">
        <v>363</v>
      </c>
      <c r="U691" t="s">
        <v>463</v>
      </c>
      <c r="Z691" s="1439">
        <f>C646</f>
        <v>0</v>
      </c>
      <c r="AA691" s="1439"/>
      <c r="AB691" s="1439"/>
      <c r="AC691" s="1439"/>
      <c r="AD691" s="1439"/>
      <c r="AE691" s="1439"/>
      <c r="AF691" s="1439"/>
      <c r="AG691" s="1439"/>
      <c r="AH691" s="1439"/>
      <c r="AI691" s="1439"/>
      <c r="AJ691" s="1439"/>
      <c r="AK691" s="1439"/>
      <c r="AZ691" s="3"/>
    </row>
    <row r="692" spans="1:52" ht="12.95" customHeight="1">
      <c r="B692" t="s">
        <v>85</v>
      </c>
      <c r="G692" s="1428"/>
      <c r="H692" s="1428"/>
      <c r="I692" s="1428"/>
      <c r="J692" s="1428"/>
      <c r="K692" s="1428"/>
      <c r="L692" s="1428"/>
      <c r="M692" s="1428"/>
      <c r="N692" s="1428"/>
      <c r="O692" s="1428"/>
      <c r="P692" s="1428"/>
      <c r="Q692" s="1428"/>
      <c r="R692" s="1428"/>
      <c r="T692" s="22"/>
      <c r="U692" t="s">
        <v>85</v>
      </c>
      <c r="Z692" s="1428"/>
      <c r="AA692" s="1428"/>
      <c r="AB692" s="1428"/>
      <c r="AC692" s="1428"/>
      <c r="AD692" s="1428"/>
      <c r="AE692" s="1428"/>
      <c r="AF692" s="1428"/>
      <c r="AG692" s="1428"/>
      <c r="AH692" s="1428"/>
      <c r="AI692" s="1428"/>
      <c r="AJ692" s="1428"/>
      <c r="AK692" s="1428"/>
      <c r="AZ692" s="3"/>
    </row>
    <row r="693" spans="1:52" ht="12.95" customHeight="1">
      <c r="B693" t="s">
        <v>580</v>
      </c>
      <c r="G693" s="1428"/>
      <c r="H693" s="1428"/>
      <c r="I693" s="1428"/>
      <c r="J693" s="1428"/>
      <c r="K693" s="1428"/>
      <c r="L693" s="1428"/>
      <c r="M693" s="1428"/>
      <c r="N693" s="1428"/>
      <c r="O693" s="1428"/>
      <c r="P693" s="1428"/>
      <c r="Q693" s="1428"/>
      <c r="R693" s="1428"/>
      <c r="U693" t="s">
        <v>580</v>
      </c>
      <c r="Z693" s="1408"/>
      <c r="AA693" s="1408"/>
      <c r="AB693" s="1408"/>
      <c r="AC693" s="1408"/>
      <c r="AD693" s="1408"/>
      <c r="AE693" s="1408"/>
      <c r="AF693" s="1408"/>
      <c r="AG693" s="1408"/>
      <c r="AH693" s="1408"/>
      <c r="AI693" s="1408"/>
      <c r="AJ693" s="1408"/>
      <c r="AK693" s="1408"/>
      <c r="AZ693" s="3"/>
    </row>
    <row r="694" spans="1:52" ht="12.95" customHeight="1">
      <c r="B694" t="s">
        <v>17</v>
      </c>
      <c r="G694" s="1428"/>
      <c r="H694" s="1428"/>
      <c r="I694" s="1428"/>
      <c r="J694" s="1428"/>
      <c r="K694" s="1428"/>
      <c r="L694" s="1428"/>
      <c r="M694" s="1428"/>
      <c r="N694" s="1428"/>
      <c r="O694" s="1428"/>
      <c r="P694" s="1428"/>
      <c r="Q694" s="1428"/>
      <c r="R694" s="1428"/>
      <c r="U694" t="s">
        <v>17</v>
      </c>
      <c r="Z694" s="1408"/>
      <c r="AA694" s="1408"/>
      <c r="AB694" s="1408"/>
      <c r="AC694" s="1408"/>
      <c r="AD694" s="1408"/>
      <c r="AE694" s="1408"/>
      <c r="AF694" s="1408"/>
      <c r="AG694" s="1408"/>
      <c r="AH694" s="1408"/>
      <c r="AI694" s="1408"/>
      <c r="AJ694" s="1408"/>
      <c r="AK694" s="1408"/>
      <c r="AZ694" s="3"/>
    </row>
    <row r="695" spans="1:52" ht="12.95" customHeight="1">
      <c r="B695" t="s">
        <v>316</v>
      </c>
      <c r="G695" s="1424"/>
      <c r="H695" s="1424"/>
      <c r="I695" s="1424"/>
      <c r="J695" s="1424"/>
      <c r="K695" s="1424"/>
      <c r="L695" s="1424"/>
      <c r="O695" s="33" t="s">
        <v>206</v>
      </c>
      <c r="P695" s="1406"/>
      <c r="Q695" s="1406"/>
      <c r="R695" s="1406"/>
      <c r="U695" t="s">
        <v>316</v>
      </c>
      <c r="Z695" s="1424"/>
      <c r="AA695" s="1424"/>
      <c r="AB695" s="1424"/>
      <c r="AC695" s="1424"/>
      <c r="AD695" s="1424"/>
      <c r="AE695" s="1424"/>
      <c r="AH695" s="33" t="s">
        <v>206</v>
      </c>
      <c r="AI695" s="1406"/>
      <c r="AJ695" s="1406"/>
      <c r="AK695" s="1406"/>
      <c r="AZ695" s="3"/>
    </row>
    <row r="696" spans="1:52" ht="12.95" customHeight="1">
      <c r="B696" t="s">
        <v>18</v>
      </c>
      <c r="H696" s="1428"/>
      <c r="I696" s="1428"/>
      <c r="J696" s="1428"/>
      <c r="K696" s="1428"/>
      <c r="L696" s="1428"/>
      <c r="M696" s="1428"/>
      <c r="N696" s="1428"/>
      <c r="O696" s="1428"/>
      <c r="P696" s="1428"/>
      <c r="Q696" s="1428"/>
      <c r="R696" s="1428"/>
      <c r="U696" t="s">
        <v>18</v>
      </c>
      <c r="AA696" s="1428"/>
      <c r="AB696" s="1428"/>
      <c r="AC696" s="1428"/>
      <c r="AD696" s="1428"/>
      <c r="AE696" s="1428"/>
      <c r="AF696" s="1428"/>
      <c r="AG696" s="1428"/>
      <c r="AH696" s="1428"/>
      <c r="AI696" s="1428"/>
      <c r="AJ696" s="1428"/>
      <c r="AK696" s="1428"/>
      <c r="AZ696" s="3"/>
    </row>
    <row r="697" spans="1:52" ht="12.95" customHeight="1">
      <c r="B697" t="s">
        <v>20</v>
      </c>
      <c r="N697" s="1285" t="s">
        <v>669</v>
      </c>
      <c r="O697" s="1285"/>
      <c r="U697" t="s">
        <v>20</v>
      </c>
      <c r="AG697" s="1285" t="s">
        <v>669</v>
      </c>
      <c r="AH697" s="1285"/>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285" t="s">
        <v>545</v>
      </c>
      <c r="AF701" s="1285"/>
      <c r="AZ701" s="3"/>
    </row>
    <row r="702" spans="1:52" ht="12.95" customHeight="1">
      <c r="B702" s="135"/>
      <c r="C702" s="135"/>
      <c r="D702" s="136" t="s">
        <v>437</v>
      </c>
      <c r="E702" s="135"/>
      <c r="F702" s="135"/>
      <c r="G702" s="135"/>
      <c r="H702" s="135"/>
      <c r="AE702" s="1285" t="s">
        <v>669</v>
      </c>
      <c r="AF702" s="1285"/>
      <c r="AZ702" s="3"/>
    </row>
    <row r="703" spans="1:52" ht="12.95" customHeight="1">
      <c r="B703" s="135"/>
      <c r="C703" s="135"/>
      <c r="D703" s="136" t="s">
        <v>920</v>
      </c>
      <c r="E703" s="135"/>
      <c r="F703" s="135"/>
      <c r="G703" s="135"/>
      <c r="H703" s="135"/>
      <c r="AE703" s="1644">
        <v>46273</v>
      </c>
      <c r="AF703" s="1644"/>
      <c r="AG703" s="1644"/>
      <c r="AH703" s="1644"/>
      <c r="AI703" s="1644"/>
    </row>
    <row r="704" spans="1:52" ht="12.95" customHeight="1">
      <c r="B704" s="135"/>
      <c r="C704" s="135"/>
      <c r="D704" s="314" t="s">
        <v>983</v>
      </c>
      <c r="E704" s="135"/>
      <c r="F704" s="135"/>
      <c r="G704" s="135"/>
      <c r="H704" s="135"/>
      <c r="AE704" s="1696">
        <v>46365</v>
      </c>
      <c r="AF704" s="1696"/>
      <c r="AG704" s="1696"/>
      <c r="AH704" s="1696"/>
      <c r="AI704" s="1696"/>
    </row>
    <row r="705" spans="1:110" ht="12.95" customHeight="1">
      <c r="B705" s="135"/>
      <c r="C705" s="135"/>
    </row>
    <row r="706" spans="1:110" ht="12.95" customHeight="1">
      <c r="B706" s="135"/>
      <c r="C706" s="135"/>
      <c r="D706" s="136" t="s">
        <v>816</v>
      </c>
      <c r="E706" s="135"/>
      <c r="F706" s="135"/>
      <c r="G706" s="135"/>
      <c r="H706" s="135"/>
      <c r="AE706" s="1644">
        <v>46539</v>
      </c>
      <c r="AF706" s="1644"/>
      <c r="AG706" s="1644"/>
      <c r="AH706" s="1644"/>
      <c r="AI706" s="1644"/>
    </row>
    <row r="707" spans="1:110" ht="12.95" customHeight="1">
      <c r="B707" s="135"/>
      <c r="C707" s="135"/>
      <c r="D707" s="136" t="s">
        <v>435</v>
      </c>
      <c r="E707" s="135"/>
      <c r="F707" s="135"/>
      <c r="G707" s="135"/>
      <c r="H707" s="135"/>
      <c r="AE707" s="1426">
        <v>0.27410000000000001</v>
      </c>
      <c r="AF707" s="1426"/>
      <c r="AG707" s="1426"/>
      <c r="AH707" s="1426"/>
      <c r="AI707" s="1426"/>
    </row>
    <row r="708" spans="1:110" ht="12.95" customHeight="1">
      <c r="B708" s="135"/>
      <c r="C708" s="135"/>
      <c r="D708" s="136" t="s">
        <v>436</v>
      </c>
      <c r="E708" s="135"/>
      <c r="F708" s="135"/>
      <c r="G708" s="135"/>
      <c r="H708" s="135"/>
      <c r="W708" s="1439" t="str">
        <f>H344</f>
        <v>California Municipal Finance Authority</v>
      </c>
      <c r="X708" s="1439"/>
      <c r="Y708" s="1439"/>
      <c r="Z708" s="1439"/>
      <c r="AA708" s="1439"/>
      <c r="AB708" s="1439"/>
      <c r="AC708" s="1439"/>
      <c r="AD708" s="1439"/>
      <c r="AE708" s="1439"/>
      <c r="AF708" s="1439"/>
      <c r="AG708" s="1439"/>
      <c r="AH708" s="1439"/>
      <c r="AI708" s="1439"/>
      <c r="AJ708" s="1439"/>
      <c r="AK708" s="1439"/>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285" t="s">
        <v>669</v>
      </c>
      <c r="AF710" s="1285"/>
    </row>
    <row r="711" spans="1:110" ht="12.95" customHeight="1">
      <c r="B711" s="135"/>
      <c r="C711" s="135"/>
      <c r="D711" s="136" t="s">
        <v>442</v>
      </c>
      <c r="E711" s="135"/>
      <c r="F711" s="135"/>
      <c r="G711" s="135"/>
      <c r="H711" s="135"/>
      <c r="W711" s="1428" t="s">
        <v>591</v>
      </c>
      <c r="X711" s="1428"/>
      <c r="Y711" s="1428"/>
      <c r="Z711" s="1428"/>
      <c r="AA711" s="1428"/>
      <c r="AB711" s="1428"/>
      <c r="AC711" s="1428"/>
      <c r="AD711" s="1428"/>
      <c r="AE711" s="1428"/>
      <c r="AF711" s="1428"/>
      <c r="AG711" s="1428"/>
      <c r="AH711" s="1428"/>
      <c r="AI711" s="1428"/>
      <c r="AJ711" s="1428"/>
      <c r="AK711" s="1428"/>
    </row>
    <row r="712" spans="1:110" ht="12.95" customHeight="1">
      <c r="B712" s="135"/>
      <c r="C712" s="135"/>
      <c r="D712" s="136" t="s">
        <v>87</v>
      </c>
      <c r="E712" s="135"/>
      <c r="F712" s="135"/>
      <c r="G712" s="135"/>
      <c r="H712" s="135"/>
      <c r="J712" s="1428"/>
      <c r="K712" s="1428"/>
      <c r="L712" s="1428"/>
      <c r="M712" s="1428"/>
      <c r="N712" s="1428"/>
      <c r="O712" s="1428"/>
      <c r="P712" s="1428"/>
      <c r="Q712" s="1428"/>
      <c r="R712" s="1428"/>
      <c r="S712" s="1428"/>
      <c r="T712" s="1428"/>
      <c r="U712" s="1428"/>
      <c r="V712" s="1428"/>
      <c r="W712" s="1428"/>
      <c r="X712" s="1428"/>
      <c r="BB712" s="34"/>
      <c r="BC712" s="34"/>
      <c r="BD712" s="34"/>
      <c r="BE712" s="3"/>
      <c r="BF712" s="3"/>
      <c r="BJ712" s="3"/>
      <c r="BK712" s="3"/>
      <c r="BL712" s="3"/>
      <c r="BM712" s="3"/>
      <c r="BN712" s="34"/>
      <c r="BO712" s="34"/>
    </row>
    <row r="713" spans="1:110" ht="12.95" customHeight="1">
      <c r="B713" s="135"/>
      <c r="C713" s="135"/>
      <c r="D713" s="136" t="s">
        <v>88</v>
      </c>
      <c r="J713" s="1424"/>
      <c r="K713" s="1424"/>
      <c r="L713" s="1424"/>
      <c r="M713" s="1424"/>
      <c r="N713" s="1424"/>
      <c r="O713" s="1424"/>
      <c r="P713" s="4" t="s">
        <v>206</v>
      </c>
      <c r="Q713" s="4"/>
      <c r="R713" s="1406"/>
      <c r="S713" s="1406"/>
      <c r="T713" s="140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428" t="s">
        <v>307</v>
      </c>
      <c r="X714" s="1428"/>
      <c r="Y714" s="1428"/>
      <c r="Z714" s="1428"/>
      <c r="AA714" s="1428"/>
      <c r="AB714" s="1428"/>
      <c r="AC714" s="1428"/>
      <c r="AD714" s="1428"/>
      <c r="AE714" s="1428"/>
      <c r="AF714" s="1428"/>
      <c r="AG714" s="1428"/>
      <c r="AH714" s="1428"/>
      <c r="AI714" s="1428"/>
      <c r="AJ714" s="1428"/>
      <c r="AK714" s="1428"/>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28" t="s">
        <v>334</v>
      </c>
      <c r="F715" s="1428"/>
      <c r="G715" s="1428"/>
      <c r="H715" s="1428"/>
      <c r="I715" s="1428"/>
      <c r="J715" s="1428"/>
      <c r="K715" s="1428"/>
      <c r="L715" s="1428"/>
      <c r="M715" s="1428"/>
      <c r="N715" s="1428"/>
      <c r="O715" s="1428"/>
      <c r="P715" s="1428"/>
      <c r="Q715" s="1428"/>
      <c r="R715" s="1428"/>
      <c r="S715" s="1428"/>
      <c r="T715" s="1428"/>
      <c r="U715" s="1428"/>
      <c r="V715" s="1428"/>
      <c r="W715" s="1428"/>
      <c r="X715" s="1428"/>
      <c r="Y715" s="1428"/>
      <c r="Z715" s="1428"/>
      <c r="AA715" s="1428"/>
      <c r="AB715" s="1428"/>
      <c r="AC715" s="1428"/>
      <c r="AD715" s="1428"/>
      <c r="AE715" s="1428"/>
      <c r="AF715" s="1428"/>
      <c r="AG715" s="1428"/>
      <c r="AH715" s="1428"/>
      <c r="AI715" s="1428"/>
      <c r="AJ715" s="1428"/>
      <c r="AK715" s="1428"/>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485" t="s">
        <v>95</v>
      </c>
      <c r="B717" s="1485"/>
      <c r="C717" s="1485"/>
      <c r="D717" s="1485"/>
      <c r="E717" s="1485"/>
      <c r="F717" s="1485"/>
      <c r="G717" s="1485"/>
      <c r="H717" s="1485"/>
      <c r="I717" s="1485"/>
      <c r="J717" s="1485"/>
      <c r="K717" s="1485"/>
      <c r="L717" s="1485"/>
      <c r="M717" s="1485"/>
      <c r="N717" s="1485"/>
      <c r="O717" s="1485"/>
      <c r="P717" s="1485"/>
      <c r="Q717" s="1485"/>
      <c r="R717" s="1485"/>
      <c r="S717" s="1485"/>
      <c r="T717" s="1485"/>
      <c r="U717" s="1485"/>
      <c r="V717" s="1485"/>
      <c r="W717" s="1485"/>
      <c r="X717" s="1485"/>
      <c r="Y717" s="1485"/>
      <c r="Z717" s="1485"/>
      <c r="AA717" s="1485"/>
      <c r="AB717" s="1485"/>
      <c r="AC717" s="1485"/>
      <c r="AD717" s="1485"/>
      <c r="AE717" s="1485"/>
      <c r="AF717" s="1485"/>
      <c r="AG717" s="1485"/>
      <c r="AH717" s="1485"/>
      <c r="AI717" s="1485"/>
      <c r="AJ717" s="1485"/>
      <c r="AK717" s="1485"/>
      <c r="AL717" s="1485"/>
      <c r="AM717" s="1485"/>
      <c r="AN717" s="1485"/>
      <c r="AO717" s="1485"/>
      <c r="AP717" s="1485"/>
      <c r="AQ717" s="1485"/>
      <c r="AR717" s="1485"/>
      <c r="AS717" s="1485"/>
      <c r="AT717" s="1485"/>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485"/>
      <c r="B718" s="1485"/>
      <c r="C718" s="1485"/>
      <c r="D718" s="1485"/>
      <c r="E718" s="1485"/>
      <c r="F718" s="1485"/>
      <c r="G718" s="1485"/>
      <c r="H718" s="1485"/>
      <c r="I718" s="1485"/>
      <c r="J718" s="1485"/>
      <c r="K718" s="1485"/>
      <c r="L718" s="1485"/>
      <c r="M718" s="1485"/>
      <c r="N718" s="1485"/>
      <c r="O718" s="1485"/>
      <c r="P718" s="1485"/>
      <c r="Q718" s="1485"/>
      <c r="R718" s="1485"/>
      <c r="S718" s="1485"/>
      <c r="T718" s="1485"/>
      <c r="U718" s="1485"/>
      <c r="V718" s="1485"/>
      <c r="W718" s="1485"/>
      <c r="X718" s="1485"/>
      <c r="Y718" s="1485"/>
      <c r="Z718" s="1485"/>
      <c r="AA718" s="1485"/>
      <c r="AB718" s="1485"/>
      <c r="AC718" s="1485"/>
      <c r="AD718" s="1485"/>
      <c r="AE718" s="1485"/>
      <c r="AF718" s="1485"/>
      <c r="AG718" s="1485"/>
      <c r="AH718" s="1485"/>
      <c r="AI718" s="1485"/>
      <c r="AJ718" s="1485"/>
      <c r="AK718" s="1485"/>
      <c r="AL718" s="1485"/>
      <c r="AM718" s="1485"/>
      <c r="AN718" s="1485"/>
      <c r="AO718" s="1485"/>
      <c r="AP718" s="1485"/>
      <c r="AQ718" s="1485"/>
      <c r="AR718" s="1485"/>
      <c r="AS718" s="1485"/>
      <c r="AT718" s="1485"/>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485"/>
      <c r="B719" s="1485"/>
      <c r="C719" s="1485"/>
      <c r="D719" s="1485"/>
      <c r="E719" s="1485"/>
      <c r="F719" s="1485"/>
      <c r="G719" s="1485"/>
      <c r="H719" s="1485"/>
      <c r="I719" s="1485"/>
      <c r="J719" s="1485"/>
      <c r="K719" s="1485"/>
      <c r="L719" s="1485"/>
      <c r="M719" s="1485"/>
      <c r="N719" s="1485"/>
      <c r="O719" s="1485"/>
      <c r="P719" s="1485"/>
      <c r="Q719" s="1485"/>
      <c r="R719" s="1485"/>
      <c r="S719" s="1485"/>
      <c r="T719" s="1485"/>
      <c r="U719" s="1485"/>
      <c r="V719" s="1485"/>
      <c r="W719" s="1485"/>
      <c r="X719" s="1485"/>
      <c r="Y719" s="1485"/>
      <c r="Z719" s="1485"/>
      <c r="AA719" s="1485"/>
      <c r="AB719" s="1485"/>
      <c r="AC719" s="1485"/>
      <c r="AD719" s="1485"/>
      <c r="AE719" s="1485"/>
      <c r="AF719" s="1485"/>
      <c r="AG719" s="1485"/>
      <c r="AH719" s="1485"/>
      <c r="AI719" s="1485"/>
      <c r="AJ719" s="1485"/>
      <c r="AK719" s="1485"/>
      <c r="AL719" s="1485"/>
      <c r="AM719" s="1485"/>
      <c r="AN719" s="1485"/>
      <c r="AO719" s="1485"/>
      <c r="AP719" s="1485"/>
      <c r="AQ719" s="1485"/>
      <c r="AR719" s="1485"/>
      <c r="AS719" s="1485"/>
      <c r="AT719" s="1485"/>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394" t="s">
        <v>389</v>
      </c>
      <c r="C722" s="1395"/>
      <c r="D722" s="1395"/>
      <c r="E722" s="1395"/>
      <c r="F722" s="1396"/>
      <c r="G722" s="1394" t="s">
        <v>285</v>
      </c>
      <c r="H722" s="1395"/>
      <c r="I722" s="1395"/>
      <c r="J722" s="1396"/>
      <c r="K722" s="1660" t="s">
        <v>1667</v>
      </c>
      <c r="L722" s="1661"/>
      <c r="M722" s="1661"/>
      <c r="N722" s="1662"/>
      <c r="O722" s="1394" t="s">
        <v>447</v>
      </c>
      <c r="P722" s="1395"/>
      <c r="Q722" s="1395"/>
      <c r="R722" s="1395"/>
      <c r="S722" s="1396"/>
      <c r="T722" s="1450" t="s">
        <v>1917</v>
      </c>
      <c r="U722" s="1395"/>
      <c r="V722" s="1395"/>
      <c r="W722" s="1396"/>
      <c r="X722" s="1450" t="s">
        <v>1919</v>
      </c>
      <c r="Y722" s="1395"/>
      <c r="Z722" s="1395"/>
      <c r="AA722" s="1395"/>
      <c r="AB722" s="1396"/>
      <c r="AC722" s="1450" t="s">
        <v>1918</v>
      </c>
      <c r="AD722" s="1395"/>
      <c r="AE722" s="1395"/>
      <c r="AF722" s="1395"/>
      <c r="AG722" s="1396"/>
      <c r="AH722" s="1450" t="s">
        <v>1920</v>
      </c>
      <c r="AI722" s="1395"/>
      <c r="AJ722" s="1396"/>
      <c r="AK722" s="1450" t="s">
        <v>1947</v>
      </c>
      <c r="AL722" s="1395"/>
      <c r="AM722" s="1395"/>
      <c r="AN722" s="1395"/>
      <c r="AO722" s="1396"/>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97"/>
      <c r="C723" s="1398"/>
      <c r="D723" s="1398"/>
      <c r="E723" s="1398"/>
      <c r="F723" s="1399"/>
      <c r="G723" s="1397"/>
      <c r="H723" s="1398"/>
      <c r="I723" s="1398"/>
      <c r="J723" s="1399"/>
      <c r="K723" s="1663"/>
      <c r="L723" s="1664"/>
      <c r="M723" s="1664"/>
      <c r="N723" s="1665"/>
      <c r="O723" s="1397"/>
      <c r="P723" s="1398"/>
      <c r="Q723" s="1398"/>
      <c r="R723" s="1398"/>
      <c r="S723" s="1399"/>
      <c r="T723" s="1397"/>
      <c r="U723" s="1398"/>
      <c r="V723" s="1398"/>
      <c r="W723" s="1399"/>
      <c r="X723" s="1397"/>
      <c r="Y723" s="1398"/>
      <c r="Z723" s="1398"/>
      <c r="AA723" s="1398"/>
      <c r="AB723" s="1399"/>
      <c r="AC723" s="1397"/>
      <c r="AD723" s="1398"/>
      <c r="AE723" s="1398"/>
      <c r="AF723" s="1398"/>
      <c r="AG723" s="1399"/>
      <c r="AH723" s="1397"/>
      <c r="AI723" s="1398"/>
      <c r="AJ723" s="1399"/>
      <c r="AK723" s="1397"/>
      <c r="AL723" s="1398"/>
      <c r="AM723" s="1398"/>
      <c r="AN723" s="1398"/>
      <c r="AO723" s="139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97"/>
      <c r="C724" s="1398"/>
      <c r="D724" s="1398"/>
      <c r="E724" s="1398"/>
      <c r="F724" s="1399"/>
      <c r="G724" s="1397"/>
      <c r="H724" s="1398"/>
      <c r="I724" s="1398"/>
      <c r="J724" s="1399"/>
      <c r="K724" s="1663"/>
      <c r="L724" s="1664"/>
      <c r="M724" s="1664"/>
      <c r="N724" s="1665"/>
      <c r="O724" s="1397"/>
      <c r="P724" s="1398"/>
      <c r="Q724" s="1398"/>
      <c r="R724" s="1398"/>
      <c r="S724" s="1399"/>
      <c r="T724" s="1397"/>
      <c r="U724" s="1398"/>
      <c r="V724" s="1398"/>
      <c r="W724" s="1399"/>
      <c r="X724" s="1397"/>
      <c r="Y724" s="1398"/>
      <c r="Z724" s="1398"/>
      <c r="AA724" s="1398"/>
      <c r="AB724" s="1399"/>
      <c r="AC724" s="1397"/>
      <c r="AD724" s="1398"/>
      <c r="AE724" s="1398"/>
      <c r="AF724" s="1398"/>
      <c r="AG724" s="1399"/>
      <c r="AH724" s="1397"/>
      <c r="AI724" s="1398"/>
      <c r="AJ724" s="1399"/>
      <c r="AK724" s="1397"/>
      <c r="AL724" s="1398"/>
      <c r="AM724" s="1398"/>
      <c r="AN724" s="1398"/>
      <c r="AO724" s="1399"/>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00"/>
      <c r="C725" s="1401"/>
      <c r="D725" s="1401"/>
      <c r="E725" s="1401"/>
      <c r="F725" s="1402"/>
      <c r="G725" s="1400"/>
      <c r="H725" s="1401"/>
      <c r="I725" s="1401"/>
      <c r="J725" s="1402"/>
      <c r="K725" s="1663"/>
      <c r="L725" s="1664"/>
      <c r="M725" s="1664"/>
      <c r="N725" s="1665"/>
      <c r="O725" s="1400"/>
      <c r="P725" s="1401"/>
      <c r="Q725" s="1401"/>
      <c r="R725" s="1401"/>
      <c r="S725" s="1402"/>
      <c r="T725" s="1400"/>
      <c r="U725" s="1401"/>
      <c r="V725" s="1401"/>
      <c r="W725" s="1402"/>
      <c r="X725" s="1400"/>
      <c r="Y725" s="1401"/>
      <c r="Z725" s="1401"/>
      <c r="AA725" s="1401"/>
      <c r="AB725" s="1402"/>
      <c r="AC725" s="1400"/>
      <c r="AD725" s="1401"/>
      <c r="AE725" s="1401"/>
      <c r="AF725" s="1401"/>
      <c r="AG725" s="1402"/>
      <c r="AH725" s="1400"/>
      <c r="AI725" s="1401"/>
      <c r="AJ725" s="1402"/>
      <c r="AK725" s="1400"/>
      <c r="AL725" s="1401"/>
      <c r="AM725" s="1401"/>
      <c r="AN725" s="1401"/>
      <c r="AO725" s="1402"/>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512"/>
      <c r="CJ725" s="1513"/>
      <c r="CK725" s="121" t="s">
        <v>475</v>
      </c>
      <c r="CL725" s="122"/>
      <c r="CM725" s="1512"/>
      <c r="CN725" s="1513"/>
      <c r="CO725" s="3"/>
      <c r="CP725" s="1345" t="s">
        <v>633</v>
      </c>
      <c r="CQ725" s="1346"/>
      <c r="CR725" s="1346"/>
      <c r="CS725" s="1346"/>
      <c r="CT725" s="1347"/>
      <c r="CU725" s="1505" t="s">
        <v>325</v>
      </c>
      <c r="CV725" s="1505"/>
      <c r="CW725" s="1505"/>
      <c r="CX725" s="1505"/>
      <c r="CY725" s="1505"/>
      <c r="CZ725" s="1505" t="s">
        <v>163</v>
      </c>
      <c r="DA725" s="1505"/>
      <c r="DB725" s="1505"/>
      <c r="DC725" s="1505"/>
      <c r="DD725" s="1505"/>
      <c r="DE725" s="1505" t="s">
        <v>164</v>
      </c>
      <c r="DF725" s="1505"/>
      <c r="DG725" s="1505"/>
      <c r="DH725" s="1505"/>
      <c r="DI725" s="1505"/>
      <c r="DJ725" s="1505" t="s">
        <v>460</v>
      </c>
      <c r="DK725" s="1505"/>
      <c r="DL725" s="1505"/>
      <c r="DM725" s="1505"/>
      <c r="DN725" s="1505"/>
      <c r="DO725" s="1505" t="s">
        <v>30</v>
      </c>
      <c r="DP725" s="1505"/>
      <c r="DQ725" s="1505"/>
      <c r="DR725" s="1505"/>
      <c r="DS725" s="1505"/>
      <c r="DT725" s="89"/>
      <c r="DU725" s="1505" t="s">
        <v>633</v>
      </c>
      <c r="DV725" s="1505"/>
      <c r="DW725" s="1505"/>
      <c r="DX725" s="1505"/>
      <c r="DY725" s="1505"/>
      <c r="DZ725" s="1505" t="s">
        <v>325</v>
      </c>
      <c r="EA725" s="1505"/>
      <c r="EB725" s="1505"/>
      <c r="EC725" s="1505"/>
      <c r="ED725" s="1505"/>
      <c r="EE725" s="1505" t="s">
        <v>163</v>
      </c>
      <c r="EF725" s="1505"/>
      <c r="EG725" s="1505"/>
      <c r="EH725" s="1505"/>
      <c r="EI725" s="1505"/>
      <c r="EJ725" s="1505" t="s">
        <v>164</v>
      </c>
      <c r="EK725" s="1505"/>
      <c r="EL725" s="1505"/>
      <c r="EM725" s="1505"/>
      <c r="EN725" s="1505"/>
      <c r="EO725" s="1505" t="s">
        <v>460</v>
      </c>
      <c r="EP725" s="1505"/>
      <c r="EQ725" s="1505"/>
      <c r="ER725" s="1505"/>
      <c r="ES725" s="1505"/>
      <c r="ET725" s="1505" t="s">
        <v>30</v>
      </c>
      <c r="EU725" s="1505"/>
      <c r="EV725" s="1505"/>
      <c r="EW725" s="1505"/>
      <c r="EX725" s="1505"/>
      <c r="EY725" s="4"/>
      <c r="EZ725" s="1505" t="s">
        <v>633</v>
      </c>
      <c r="FA725" s="1505"/>
      <c r="FB725" s="1505"/>
      <c r="FC725" s="1505"/>
      <c r="FD725" s="1505"/>
      <c r="FE725" s="1505" t="s">
        <v>325</v>
      </c>
      <c r="FF725" s="1505"/>
      <c r="FG725" s="1505"/>
      <c r="FH725" s="1505"/>
      <c r="FI725" s="1505"/>
      <c r="FJ725" s="1505" t="s">
        <v>163</v>
      </c>
      <c r="FK725" s="1505"/>
      <c r="FL725" s="1505"/>
      <c r="FM725" s="1505"/>
      <c r="FN725" s="1505"/>
      <c r="FO725" s="1505" t="s">
        <v>164</v>
      </c>
      <c r="FP725" s="1505"/>
      <c r="FQ725" s="1505"/>
      <c r="FR725" s="1505"/>
      <c r="FS725" s="1505"/>
      <c r="FT725" s="1505" t="s">
        <v>460</v>
      </c>
      <c r="FU725" s="1505"/>
      <c r="FV725" s="1505"/>
      <c r="FW725" s="1505"/>
      <c r="FX725" s="1505"/>
      <c r="FY725" s="1505" t="s">
        <v>30</v>
      </c>
      <c r="FZ725" s="1505"/>
      <c r="GA725" s="1505"/>
      <c r="GB725" s="1505"/>
      <c r="GC725" s="1505"/>
    </row>
    <row r="726" spans="1:185" ht="12.95" customHeight="1">
      <c r="A726" s="4"/>
      <c r="B726" s="1328" t="s">
        <v>324</v>
      </c>
      <c r="C726" s="1329"/>
      <c r="D726" s="1329"/>
      <c r="E726" s="1329"/>
      <c r="F726" s="1330"/>
      <c r="G726" s="1379">
        <v>2</v>
      </c>
      <c r="H726" s="1380"/>
      <c r="I726" s="1380"/>
      <c r="J726" s="1381"/>
      <c r="K726" s="1382">
        <v>444</v>
      </c>
      <c r="L726" s="1383"/>
      <c r="M726" s="1383"/>
      <c r="N726" s="1384"/>
      <c r="O726" s="1374">
        <v>855</v>
      </c>
      <c r="P726" s="1375"/>
      <c r="Q726" s="1375"/>
      <c r="R726" s="1375"/>
      <c r="S726" s="1376"/>
      <c r="T726" s="1374">
        <v>63</v>
      </c>
      <c r="U726" s="1375"/>
      <c r="V726" s="1375"/>
      <c r="W726" s="1376"/>
      <c r="X726" s="1377">
        <f t="shared" ref="X726:X749" si="9">O726+T726</f>
        <v>918</v>
      </c>
      <c r="Y726" s="1373"/>
      <c r="Z726" s="1373"/>
      <c r="AA726" s="1373"/>
      <c r="AB726" s="1378"/>
      <c r="AC726" s="1385">
        <v>0.3</v>
      </c>
      <c r="AD726" s="1386"/>
      <c r="AE726" s="1386"/>
      <c r="AF726" s="1386"/>
      <c r="AG726" s="1387"/>
      <c r="AH726" s="1403">
        <f>IF($AC726&gt;0,($X726/$AZ726), "")</f>
        <v>0.29980404964075769</v>
      </c>
      <c r="AI726" s="1404"/>
      <c r="AJ726" s="1405"/>
      <c r="AK726" s="1328" t="s">
        <v>591</v>
      </c>
      <c r="AL726" s="1329"/>
      <c r="AM726" s="1329"/>
      <c r="AN726" s="1329"/>
      <c r="AO726" s="1330"/>
      <c r="AP726" s="3"/>
      <c r="AQ726" s="3"/>
      <c r="AR726" s="3"/>
      <c r="AS726" s="3"/>
      <c r="AZ726" s="118">
        <f t="shared" ref="AZ726:AZ760" si="10">IF($G726=0,"N/A",VLOOKUP($T$189,TC_Rent,(MATCH($B726,bedrooms,FALSE)),FALSE))</f>
        <v>3062</v>
      </c>
      <c r="BA726" s="3"/>
      <c r="BB726" s="3"/>
      <c r="BC726" s="3"/>
      <c r="BD726" s="3"/>
      <c r="BE726" s="204"/>
      <c r="BF726" s="293">
        <f t="shared" ref="BF726:BF760" si="11">G726</f>
        <v>2</v>
      </c>
      <c r="BG726" s="297">
        <f t="shared" ref="BG726:BG760" si="12">IF($BF$761=0,0,BF726/$BF$761)</f>
        <v>1.8691588785046728E-2</v>
      </c>
      <c r="BH726" s="298">
        <f t="shared" ref="BH726:BH760" si="13">IF(BG726=0,"",BG726*AC726)</f>
        <v>5.6074766355140183E-3</v>
      </c>
      <c r="BI726" s="3"/>
      <c r="BJ726" s="3"/>
      <c r="BK726" s="3"/>
      <c r="BL726" s="3"/>
      <c r="BM726" s="3"/>
      <c r="BN726" s="3"/>
      <c r="BS726" s="293">
        <f t="shared" ref="BS726:BS760" si="14">G726</f>
        <v>2</v>
      </c>
      <c r="BT726" s="297">
        <f t="shared" ref="BT726:BT760" si="15">IF($BS$761=0,0,BS726/$BS$761)</f>
        <v>1.8691588785046728E-2</v>
      </c>
      <c r="BU726" s="298">
        <f t="shared" ref="BU726:BU760" si="16">IF(BT726=0,"",BT726*AH726)</f>
        <v>5.6038140119767784E-3</v>
      </c>
      <c r="CC726" s="3"/>
      <c r="CD726" s="3"/>
      <c r="CE726" s="3"/>
      <c r="CF726" s="3"/>
      <c r="CG726" s="1506">
        <f>IF(AND(AC726&lt;=0.5,AC726&gt;=0.36),1,0)</f>
        <v>0</v>
      </c>
      <c r="CH726" s="1507"/>
      <c r="CI726" s="1512">
        <f>IF(CG726=1,G726,0)</f>
        <v>0</v>
      </c>
      <c r="CJ726" s="1513"/>
      <c r="CK726" s="1506">
        <f t="shared" ref="CK726:CK760" si="17">IF(AND(AC726&lt;=0.35,AC726&gt;0),1,0)</f>
        <v>1</v>
      </c>
      <c r="CL726" s="1507"/>
      <c r="CM726" s="1512">
        <f t="shared" ref="CM726:CM760" si="18">IF(CK726=1,G726,0)</f>
        <v>2</v>
      </c>
      <c r="CN726" s="1513"/>
      <c r="CO726" s="3"/>
      <c r="CP726" s="1508">
        <f t="shared" ref="CP726:CP760" si="19">IF(B726="SRO/Studio",G726,0)</f>
        <v>2</v>
      </c>
      <c r="CQ726" s="1509"/>
      <c r="CR726" s="1509"/>
      <c r="CS726" s="1509"/>
      <c r="CT726" s="1510"/>
      <c r="CU726" s="1504">
        <f t="shared" ref="CU726:CU760" si="20">IF(B726="1 Bedroom",G726,0)</f>
        <v>0</v>
      </c>
      <c r="CV726" s="1504"/>
      <c r="CW726" s="1504"/>
      <c r="CX726" s="1504"/>
      <c r="CY726" s="1504"/>
      <c r="CZ726" s="1504">
        <f t="shared" ref="CZ726:CZ760" si="21">IF(B726="2 Bedrooms",G726,0)</f>
        <v>0</v>
      </c>
      <c r="DA726" s="1504"/>
      <c r="DB726" s="1504"/>
      <c r="DC726" s="1504"/>
      <c r="DD726" s="1504"/>
      <c r="DE726" s="1504">
        <f t="shared" ref="DE726:DE760" si="22">IF(B726="3 Bedrooms",G726,0)</f>
        <v>0</v>
      </c>
      <c r="DF726" s="1504"/>
      <c r="DG726" s="1504"/>
      <c r="DH726" s="1504"/>
      <c r="DI726" s="1504"/>
      <c r="DJ726" s="1504">
        <f t="shared" ref="DJ726:DJ760" si="23">IF(B726="4 Bedrooms",G726,0)</f>
        <v>0</v>
      </c>
      <c r="DK726" s="1504"/>
      <c r="DL726" s="1504"/>
      <c r="DM726" s="1504"/>
      <c r="DN726" s="1504"/>
      <c r="DO726" s="1504">
        <f t="shared" ref="DO726:DO760" si="24">IF(B726="5 Bedrooms",G726,0)</f>
        <v>0</v>
      </c>
      <c r="DP726" s="1504"/>
      <c r="DQ726" s="1504"/>
      <c r="DR726" s="1504"/>
      <c r="DS726" s="1504"/>
      <c r="DT726" s="6"/>
      <c r="DU726" s="1503">
        <f t="shared" ref="DU726:DU760" si="25">IF(AND(B726="SRO/Studio",AC726&lt;=0.3),G726,0)</f>
        <v>2</v>
      </c>
      <c r="DV726" s="1503"/>
      <c r="DW726" s="1503"/>
      <c r="DX726" s="1503"/>
      <c r="DY726" s="1503"/>
      <c r="DZ726" s="1503">
        <f t="shared" ref="DZ726:DZ760" si="26">IF(AND(B726="1 Bedroom",AC726&lt;=0.3),G726,0)</f>
        <v>0</v>
      </c>
      <c r="EA726" s="1503"/>
      <c r="EB726" s="1503"/>
      <c r="EC726" s="1503"/>
      <c r="ED726" s="1503"/>
      <c r="EE726" s="1503">
        <f t="shared" ref="EE726:EE760" si="27">IF(AND(B726="2 Bedrooms",AC726&lt;=0.3),G726,0)</f>
        <v>0</v>
      </c>
      <c r="EF726" s="1503"/>
      <c r="EG726" s="1503"/>
      <c r="EH726" s="1503"/>
      <c r="EI726" s="1503"/>
      <c r="EJ726" s="1503">
        <f t="shared" ref="EJ726:EJ760" si="28">IF(AND(B726="3 Bedrooms",AC726&lt;=0.3),G726,0)</f>
        <v>0</v>
      </c>
      <c r="EK726" s="1503"/>
      <c r="EL726" s="1503"/>
      <c r="EM726" s="1503"/>
      <c r="EN726" s="1503"/>
      <c r="EO726" s="1503">
        <f t="shared" ref="EO726:EO760" si="29">IF(AND(B726="4 Bedrooms",AC726&lt;=0.3),G726,0)</f>
        <v>0</v>
      </c>
      <c r="EP726" s="1503"/>
      <c r="EQ726" s="1503"/>
      <c r="ER726" s="1503"/>
      <c r="ES726" s="1503"/>
      <c r="ET726" s="1503">
        <f t="shared" ref="ET726:ET760" si="30">IF(AND(B726="5 Bedrooms",AC726&lt;=0.3),G726,0)</f>
        <v>0</v>
      </c>
      <c r="EU726" s="1503"/>
      <c r="EV726" s="1503"/>
      <c r="EW726" s="1503"/>
      <c r="EX726" s="1503"/>
      <c r="EY726" s="4"/>
      <c r="EZ726" s="1506">
        <f t="shared" ref="EZ726:EZ760" si="31">IF(CP726&gt;0,O726,"")</f>
        <v>855</v>
      </c>
      <c r="FA726" s="1517"/>
      <c r="FB726" s="1517"/>
      <c r="FC726" s="1517"/>
      <c r="FD726" s="1507"/>
      <c r="FE726" s="1506" t="str">
        <f t="shared" ref="FE726:FE760" si="32">IF(CU726&gt;0,O726,"")</f>
        <v/>
      </c>
      <c r="FF726" s="1517"/>
      <c r="FG726" s="1517"/>
      <c r="FH726" s="1517"/>
      <c r="FI726" s="1507"/>
      <c r="FJ726" s="1506" t="str">
        <f t="shared" ref="FJ726:FJ760" si="33">IF(CZ726&gt;0,O726,"")</f>
        <v/>
      </c>
      <c r="FK726" s="1517"/>
      <c r="FL726" s="1517"/>
      <c r="FM726" s="1517"/>
      <c r="FN726" s="1507"/>
      <c r="FO726" s="1506" t="str">
        <f t="shared" ref="FO726:FO760" si="34">IF(DE726&gt;0,O726,"")</f>
        <v/>
      </c>
      <c r="FP726" s="1517"/>
      <c r="FQ726" s="1517"/>
      <c r="FR726" s="1517"/>
      <c r="FS726" s="1507"/>
      <c r="FT726" s="1506" t="str">
        <f t="shared" ref="FT726:FT760" si="35">IF(DJ726&gt;0,O726,"")</f>
        <v/>
      </c>
      <c r="FU726" s="1517"/>
      <c r="FV726" s="1517"/>
      <c r="FW726" s="1517"/>
      <c r="FX726" s="1507"/>
      <c r="FY726" s="1506" t="str">
        <f t="shared" ref="FY726:FY760" si="36">IF(DO726&gt;0,O726,"")</f>
        <v/>
      </c>
      <c r="FZ726" s="1517"/>
      <c r="GA726" s="1517"/>
      <c r="GB726" s="1517"/>
      <c r="GC726" s="1507"/>
    </row>
    <row r="727" spans="1:185" ht="12.95" customHeight="1">
      <c r="A727" s="4"/>
      <c r="B727" s="1328" t="s">
        <v>324</v>
      </c>
      <c r="C727" s="1329"/>
      <c r="D727" s="1329"/>
      <c r="E727" s="1329"/>
      <c r="F727" s="1330"/>
      <c r="G727" s="1379">
        <v>2</v>
      </c>
      <c r="H727" s="1380"/>
      <c r="I727" s="1380"/>
      <c r="J727" s="1381"/>
      <c r="K727" s="1382">
        <v>444</v>
      </c>
      <c r="L727" s="1383"/>
      <c r="M727" s="1383"/>
      <c r="N727" s="1384"/>
      <c r="O727" s="1374">
        <v>1468</v>
      </c>
      <c r="P727" s="1375"/>
      <c r="Q727" s="1375"/>
      <c r="R727" s="1375"/>
      <c r="S727" s="1376"/>
      <c r="T727" s="1374">
        <v>63</v>
      </c>
      <c r="U727" s="1375"/>
      <c r="V727" s="1375"/>
      <c r="W727" s="1376"/>
      <c r="X727" s="1377">
        <f t="shared" si="9"/>
        <v>1531</v>
      </c>
      <c r="Y727" s="1373"/>
      <c r="Z727" s="1373"/>
      <c r="AA727" s="1373"/>
      <c r="AB727" s="1378"/>
      <c r="AC727" s="1385">
        <v>0.5</v>
      </c>
      <c r="AD727" s="1386"/>
      <c r="AE727" s="1386"/>
      <c r="AF727" s="1386"/>
      <c r="AG727" s="1387"/>
      <c r="AH727" s="1403">
        <f t="shared" ref="AH727:AH760" si="37">IF($AC727&gt;0,($X727/$AZ727), "")</f>
        <v>0.5</v>
      </c>
      <c r="AI727" s="1404"/>
      <c r="AJ727" s="1405"/>
      <c r="AK727" s="1328" t="s">
        <v>591</v>
      </c>
      <c r="AL727" s="1329"/>
      <c r="AM727" s="1329"/>
      <c r="AN727" s="1329"/>
      <c r="AO727" s="1330"/>
      <c r="AP727" s="3"/>
      <c r="AQ727" s="3"/>
      <c r="AR727" s="3"/>
      <c r="AS727" s="3"/>
      <c r="AZ727" s="118">
        <f t="shared" si="10"/>
        <v>3062</v>
      </c>
      <c r="BA727" s="3"/>
      <c r="BB727" s="3"/>
      <c r="BC727" s="3"/>
      <c r="BD727" s="3"/>
      <c r="BE727" s="204"/>
      <c r="BF727" s="294">
        <f t="shared" si="11"/>
        <v>2</v>
      </c>
      <c r="BG727" s="297">
        <f t="shared" si="12"/>
        <v>1.8691588785046728E-2</v>
      </c>
      <c r="BH727" s="298">
        <f t="shared" si="13"/>
        <v>9.3457943925233638E-3</v>
      </c>
      <c r="BI727" s="3"/>
      <c r="BJ727" s="3"/>
      <c r="BK727" s="3"/>
      <c r="BL727" s="3"/>
      <c r="BM727" s="3"/>
      <c r="BN727" s="3"/>
      <c r="BS727" s="294">
        <f t="shared" si="14"/>
        <v>2</v>
      </c>
      <c r="BT727" s="297">
        <f t="shared" si="15"/>
        <v>1.8691588785046728E-2</v>
      </c>
      <c r="BU727" s="298">
        <f t="shared" si="16"/>
        <v>9.3457943925233638E-3</v>
      </c>
      <c r="CC727" s="3"/>
      <c r="CD727" s="3"/>
      <c r="CE727" s="3"/>
      <c r="CF727" s="3"/>
      <c r="CG727" s="1506">
        <f t="shared" ref="CG727:CG760" si="38">IF(AND(AC727&lt;=0.5,AC727&gt;=0.36),1,0)</f>
        <v>1</v>
      </c>
      <c r="CH727" s="1507"/>
      <c r="CI727" s="1512">
        <f t="shared" ref="CI727:CI760" si="39">IF(CG727=1,G727,0)</f>
        <v>2</v>
      </c>
      <c r="CJ727" s="1513"/>
      <c r="CK727" s="1506">
        <f t="shared" si="17"/>
        <v>0</v>
      </c>
      <c r="CL727" s="1507"/>
      <c r="CM727" s="1512">
        <f t="shared" si="18"/>
        <v>0</v>
      </c>
      <c r="CN727" s="1513"/>
      <c r="CO727" s="3"/>
      <c r="CP727" s="1508">
        <f t="shared" si="19"/>
        <v>2</v>
      </c>
      <c r="CQ727" s="1509"/>
      <c r="CR727" s="1509"/>
      <c r="CS727" s="1509"/>
      <c r="CT727" s="1510"/>
      <c r="CU727" s="1504">
        <f t="shared" si="20"/>
        <v>0</v>
      </c>
      <c r="CV727" s="1504"/>
      <c r="CW727" s="1504"/>
      <c r="CX727" s="1504"/>
      <c r="CY727" s="1504"/>
      <c r="CZ727" s="1504">
        <f t="shared" si="21"/>
        <v>0</v>
      </c>
      <c r="DA727" s="1504"/>
      <c r="DB727" s="1504"/>
      <c r="DC727" s="1504"/>
      <c r="DD727" s="1504"/>
      <c r="DE727" s="1504">
        <f t="shared" si="22"/>
        <v>0</v>
      </c>
      <c r="DF727" s="1504"/>
      <c r="DG727" s="1504"/>
      <c r="DH727" s="1504"/>
      <c r="DI727" s="1504"/>
      <c r="DJ727" s="1504">
        <f t="shared" si="23"/>
        <v>0</v>
      </c>
      <c r="DK727" s="1504"/>
      <c r="DL727" s="1504"/>
      <c r="DM727" s="1504"/>
      <c r="DN727" s="1504"/>
      <c r="DO727" s="1504">
        <f t="shared" si="24"/>
        <v>0</v>
      </c>
      <c r="DP727" s="1504"/>
      <c r="DQ727" s="1504"/>
      <c r="DR727" s="1504"/>
      <c r="DS727" s="1504"/>
      <c r="DT727" s="6"/>
      <c r="DU727" s="1503">
        <f t="shared" si="25"/>
        <v>0</v>
      </c>
      <c r="DV727" s="1503"/>
      <c r="DW727" s="1503"/>
      <c r="DX727" s="1503"/>
      <c r="DY727" s="1503"/>
      <c r="DZ727" s="1503">
        <f t="shared" si="26"/>
        <v>0</v>
      </c>
      <c r="EA727" s="1503"/>
      <c r="EB727" s="1503"/>
      <c r="EC727" s="1503"/>
      <c r="ED727" s="1503"/>
      <c r="EE727" s="1503">
        <f t="shared" si="27"/>
        <v>0</v>
      </c>
      <c r="EF727" s="1503"/>
      <c r="EG727" s="1503"/>
      <c r="EH727" s="1503"/>
      <c r="EI727" s="1503"/>
      <c r="EJ727" s="1503">
        <f t="shared" si="28"/>
        <v>0</v>
      </c>
      <c r="EK727" s="1503"/>
      <c r="EL727" s="1503"/>
      <c r="EM727" s="1503"/>
      <c r="EN727" s="1503"/>
      <c r="EO727" s="1503">
        <f t="shared" si="29"/>
        <v>0</v>
      </c>
      <c r="EP727" s="1503"/>
      <c r="EQ727" s="1503"/>
      <c r="ER727" s="1503"/>
      <c r="ES727" s="1503"/>
      <c r="ET727" s="1503">
        <f t="shared" si="30"/>
        <v>0</v>
      </c>
      <c r="EU727" s="1503"/>
      <c r="EV727" s="1503"/>
      <c r="EW727" s="1503"/>
      <c r="EX727" s="1503"/>
      <c r="EY727" s="4"/>
      <c r="EZ727" s="1506">
        <f t="shared" si="31"/>
        <v>1468</v>
      </c>
      <c r="FA727" s="1517"/>
      <c r="FB727" s="1517"/>
      <c r="FC727" s="1517"/>
      <c r="FD727" s="1507"/>
      <c r="FE727" s="1506" t="str">
        <f t="shared" si="32"/>
        <v/>
      </c>
      <c r="FF727" s="1517"/>
      <c r="FG727" s="1517"/>
      <c r="FH727" s="1517"/>
      <c r="FI727" s="1507"/>
      <c r="FJ727" s="1506" t="str">
        <f t="shared" si="33"/>
        <v/>
      </c>
      <c r="FK727" s="1517"/>
      <c r="FL727" s="1517"/>
      <c r="FM727" s="1517"/>
      <c r="FN727" s="1507"/>
      <c r="FO727" s="1506" t="str">
        <f t="shared" si="34"/>
        <v/>
      </c>
      <c r="FP727" s="1517"/>
      <c r="FQ727" s="1517"/>
      <c r="FR727" s="1517"/>
      <c r="FS727" s="1507"/>
      <c r="FT727" s="1506" t="str">
        <f t="shared" si="35"/>
        <v/>
      </c>
      <c r="FU727" s="1517"/>
      <c r="FV727" s="1517"/>
      <c r="FW727" s="1517"/>
      <c r="FX727" s="1507"/>
      <c r="FY727" s="1506" t="str">
        <f t="shared" si="36"/>
        <v/>
      </c>
      <c r="FZ727" s="1517"/>
      <c r="GA727" s="1517"/>
      <c r="GB727" s="1517"/>
      <c r="GC727" s="1507"/>
    </row>
    <row r="728" spans="1:185" ht="12.95" customHeight="1">
      <c r="A728" s="4"/>
      <c r="B728" s="1328" t="s">
        <v>324</v>
      </c>
      <c r="C728" s="1329"/>
      <c r="D728" s="1329"/>
      <c r="E728" s="1329"/>
      <c r="F728" s="1330"/>
      <c r="G728" s="1379">
        <v>4</v>
      </c>
      <c r="H728" s="1380"/>
      <c r="I728" s="1380"/>
      <c r="J728" s="1381"/>
      <c r="K728" s="1382">
        <v>444</v>
      </c>
      <c r="L728" s="1383"/>
      <c r="M728" s="1383"/>
      <c r="N728" s="1384"/>
      <c r="O728" s="1374">
        <v>1774</v>
      </c>
      <c r="P728" s="1375"/>
      <c r="Q728" s="1375"/>
      <c r="R728" s="1375"/>
      <c r="S728" s="1376"/>
      <c r="T728" s="1374">
        <v>63</v>
      </c>
      <c r="U728" s="1375"/>
      <c r="V728" s="1375"/>
      <c r="W728" s="1376"/>
      <c r="X728" s="1377">
        <f t="shared" si="9"/>
        <v>1837</v>
      </c>
      <c r="Y728" s="1373"/>
      <c r="Z728" s="1373"/>
      <c r="AA728" s="1373"/>
      <c r="AB728" s="1378"/>
      <c r="AC728" s="1385">
        <v>0.6</v>
      </c>
      <c r="AD728" s="1386"/>
      <c r="AE728" s="1386"/>
      <c r="AF728" s="1386"/>
      <c r="AG728" s="1387"/>
      <c r="AH728" s="1403">
        <f t="shared" si="37"/>
        <v>0.5999346832135859</v>
      </c>
      <c r="AI728" s="1404"/>
      <c r="AJ728" s="1405"/>
      <c r="AK728" s="1328" t="s">
        <v>591</v>
      </c>
      <c r="AL728" s="1329"/>
      <c r="AM728" s="1329"/>
      <c r="AN728" s="1329"/>
      <c r="AO728" s="1330"/>
      <c r="AP728" s="3"/>
      <c r="AQ728" s="3"/>
      <c r="AR728" s="3"/>
      <c r="AS728" s="3"/>
      <c r="AZ728" s="118">
        <f t="shared" si="10"/>
        <v>3062</v>
      </c>
      <c r="BA728" s="3"/>
      <c r="BB728" s="3"/>
      <c r="BC728" s="3"/>
      <c r="BD728" s="3"/>
      <c r="BE728" s="204"/>
      <c r="BF728" s="294">
        <f t="shared" si="11"/>
        <v>4</v>
      </c>
      <c r="BG728" s="297">
        <f t="shared" si="12"/>
        <v>3.7383177570093455E-2</v>
      </c>
      <c r="BH728" s="298">
        <f t="shared" si="13"/>
        <v>2.2429906542056073E-2</v>
      </c>
      <c r="BI728" s="3"/>
      <c r="BJ728" s="3"/>
      <c r="BK728" s="3"/>
      <c r="BL728" s="3"/>
      <c r="BM728" s="3"/>
      <c r="BN728" s="3"/>
      <c r="BS728" s="294">
        <f t="shared" si="14"/>
        <v>4</v>
      </c>
      <c r="BT728" s="297">
        <f t="shared" si="15"/>
        <v>3.7383177570093455E-2</v>
      </c>
      <c r="BU728" s="298">
        <f t="shared" si="16"/>
        <v>2.2427464793031246E-2</v>
      </c>
      <c r="CC728" s="3"/>
      <c r="CD728" s="3"/>
      <c r="CE728" s="3"/>
      <c r="CF728" s="3"/>
      <c r="CG728" s="1506">
        <f t="shared" si="38"/>
        <v>0</v>
      </c>
      <c r="CH728" s="1507"/>
      <c r="CI728" s="1512">
        <f t="shared" si="39"/>
        <v>0</v>
      </c>
      <c r="CJ728" s="1513"/>
      <c r="CK728" s="1506">
        <f t="shared" si="17"/>
        <v>0</v>
      </c>
      <c r="CL728" s="1507"/>
      <c r="CM728" s="1512">
        <f t="shared" si="18"/>
        <v>0</v>
      </c>
      <c r="CN728" s="1513"/>
      <c r="CO728" s="3"/>
      <c r="CP728" s="1508">
        <f t="shared" si="19"/>
        <v>4</v>
      </c>
      <c r="CQ728" s="1509"/>
      <c r="CR728" s="1509"/>
      <c r="CS728" s="1509"/>
      <c r="CT728" s="1510"/>
      <c r="CU728" s="1504">
        <f t="shared" si="20"/>
        <v>0</v>
      </c>
      <c r="CV728" s="1504"/>
      <c r="CW728" s="1504"/>
      <c r="CX728" s="1504"/>
      <c r="CY728" s="1504"/>
      <c r="CZ728" s="1504">
        <f t="shared" si="21"/>
        <v>0</v>
      </c>
      <c r="DA728" s="1504"/>
      <c r="DB728" s="1504"/>
      <c r="DC728" s="1504"/>
      <c r="DD728" s="1504"/>
      <c r="DE728" s="1504">
        <f t="shared" si="22"/>
        <v>0</v>
      </c>
      <c r="DF728" s="1504"/>
      <c r="DG728" s="1504"/>
      <c r="DH728" s="1504"/>
      <c r="DI728" s="1504"/>
      <c r="DJ728" s="1504">
        <f t="shared" si="23"/>
        <v>0</v>
      </c>
      <c r="DK728" s="1504"/>
      <c r="DL728" s="1504"/>
      <c r="DM728" s="1504"/>
      <c r="DN728" s="1504"/>
      <c r="DO728" s="1504">
        <f t="shared" si="24"/>
        <v>0</v>
      </c>
      <c r="DP728" s="1504"/>
      <c r="DQ728" s="1504"/>
      <c r="DR728" s="1504"/>
      <c r="DS728" s="1504"/>
      <c r="DT728" s="6"/>
      <c r="DU728" s="1503">
        <f t="shared" si="25"/>
        <v>0</v>
      </c>
      <c r="DV728" s="1503"/>
      <c r="DW728" s="1503"/>
      <c r="DX728" s="1503"/>
      <c r="DY728" s="1503"/>
      <c r="DZ728" s="1503">
        <f t="shared" si="26"/>
        <v>0</v>
      </c>
      <c r="EA728" s="1503"/>
      <c r="EB728" s="1503"/>
      <c r="EC728" s="1503"/>
      <c r="ED728" s="1503"/>
      <c r="EE728" s="1503">
        <f t="shared" si="27"/>
        <v>0</v>
      </c>
      <c r="EF728" s="1503"/>
      <c r="EG728" s="1503"/>
      <c r="EH728" s="1503"/>
      <c r="EI728" s="1503"/>
      <c r="EJ728" s="1503">
        <f t="shared" si="28"/>
        <v>0</v>
      </c>
      <c r="EK728" s="1503"/>
      <c r="EL728" s="1503"/>
      <c r="EM728" s="1503"/>
      <c r="EN728" s="1503"/>
      <c r="EO728" s="1503">
        <f t="shared" si="29"/>
        <v>0</v>
      </c>
      <c r="EP728" s="1503"/>
      <c r="EQ728" s="1503"/>
      <c r="ER728" s="1503"/>
      <c r="ES728" s="1503"/>
      <c r="ET728" s="1503">
        <f t="shared" si="30"/>
        <v>0</v>
      </c>
      <c r="EU728" s="1503"/>
      <c r="EV728" s="1503"/>
      <c r="EW728" s="1503"/>
      <c r="EX728" s="1503"/>
      <c r="EZ728" s="1506">
        <f t="shared" si="31"/>
        <v>1774</v>
      </c>
      <c r="FA728" s="1517"/>
      <c r="FB728" s="1517"/>
      <c r="FC728" s="1517"/>
      <c r="FD728" s="1507"/>
      <c r="FE728" s="1506" t="str">
        <f t="shared" si="32"/>
        <v/>
      </c>
      <c r="FF728" s="1517"/>
      <c r="FG728" s="1517"/>
      <c r="FH728" s="1517"/>
      <c r="FI728" s="1507"/>
      <c r="FJ728" s="1506" t="str">
        <f t="shared" si="33"/>
        <v/>
      </c>
      <c r="FK728" s="1517"/>
      <c r="FL728" s="1517"/>
      <c r="FM728" s="1517"/>
      <c r="FN728" s="1507"/>
      <c r="FO728" s="1506" t="str">
        <f t="shared" si="34"/>
        <v/>
      </c>
      <c r="FP728" s="1517"/>
      <c r="FQ728" s="1517"/>
      <c r="FR728" s="1517"/>
      <c r="FS728" s="1507"/>
      <c r="FT728" s="1506" t="str">
        <f t="shared" si="35"/>
        <v/>
      </c>
      <c r="FU728" s="1517"/>
      <c r="FV728" s="1517"/>
      <c r="FW728" s="1517"/>
      <c r="FX728" s="1507"/>
      <c r="FY728" s="1506" t="str">
        <f t="shared" si="36"/>
        <v/>
      </c>
      <c r="FZ728" s="1517"/>
      <c r="GA728" s="1517"/>
      <c r="GB728" s="1517"/>
      <c r="GC728" s="1507"/>
    </row>
    <row r="729" spans="1:185" ht="12.95" customHeight="1">
      <c r="B729" s="1328" t="s">
        <v>324</v>
      </c>
      <c r="C729" s="1329"/>
      <c r="D729" s="1329"/>
      <c r="E729" s="1329"/>
      <c r="F729" s="1330"/>
      <c r="G729" s="1379">
        <v>5</v>
      </c>
      <c r="H729" s="1380"/>
      <c r="I729" s="1380"/>
      <c r="J729" s="1381"/>
      <c r="K729" s="1382">
        <v>444</v>
      </c>
      <c r="L729" s="1383"/>
      <c r="M729" s="1383"/>
      <c r="N729" s="1384"/>
      <c r="O729" s="1374">
        <v>2080</v>
      </c>
      <c r="P729" s="1375"/>
      <c r="Q729" s="1375"/>
      <c r="R729" s="1375"/>
      <c r="S729" s="1376"/>
      <c r="T729" s="1374">
        <v>63</v>
      </c>
      <c r="U729" s="1375"/>
      <c r="V729" s="1375"/>
      <c r="W729" s="1376"/>
      <c r="X729" s="1377">
        <f t="shared" si="9"/>
        <v>2143</v>
      </c>
      <c r="Y729" s="1373"/>
      <c r="Z729" s="1373"/>
      <c r="AA729" s="1373"/>
      <c r="AB729" s="1378"/>
      <c r="AC729" s="1385">
        <v>0.7</v>
      </c>
      <c r="AD729" s="1386"/>
      <c r="AE729" s="1386"/>
      <c r="AF729" s="1386"/>
      <c r="AG729" s="1387"/>
      <c r="AH729" s="1403">
        <f t="shared" si="37"/>
        <v>0.69986936642717179</v>
      </c>
      <c r="AI729" s="1404"/>
      <c r="AJ729" s="1405"/>
      <c r="AK729" s="1328" t="s">
        <v>591</v>
      </c>
      <c r="AL729" s="1329"/>
      <c r="AM729" s="1329"/>
      <c r="AN729" s="1329"/>
      <c r="AO729" s="1330"/>
      <c r="AP729" s="3"/>
      <c r="AQ729" s="3"/>
      <c r="AR729" s="3"/>
      <c r="AS729" s="3"/>
      <c r="AY729" s="116"/>
      <c r="AZ729" s="118">
        <f t="shared" si="10"/>
        <v>3062</v>
      </c>
      <c r="BA729" s="3"/>
      <c r="BB729" s="3"/>
      <c r="BC729" s="3"/>
      <c r="BD729" s="3"/>
      <c r="BE729" s="204"/>
      <c r="BF729" s="294">
        <f t="shared" si="11"/>
        <v>5</v>
      </c>
      <c r="BG729" s="297">
        <f t="shared" si="12"/>
        <v>4.6728971962616821E-2</v>
      </c>
      <c r="BH729" s="298">
        <f t="shared" si="13"/>
        <v>3.2710280373831772E-2</v>
      </c>
      <c r="BI729" s="3"/>
      <c r="BJ729" s="3"/>
      <c r="BK729" s="3"/>
      <c r="BL729" s="3"/>
      <c r="BM729" s="3"/>
      <c r="BN729" s="3"/>
      <c r="BS729" s="294">
        <f t="shared" si="14"/>
        <v>5</v>
      </c>
      <c r="BT729" s="297">
        <f t="shared" si="15"/>
        <v>4.6728971962616821E-2</v>
      </c>
      <c r="BU729" s="298">
        <f t="shared" si="16"/>
        <v>3.2704176001269708E-2</v>
      </c>
      <c r="CC729" s="3"/>
      <c r="CD729" s="3"/>
      <c r="CE729" s="3"/>
      <c r="CF729" s="3"/>
      <c r="CG729" s="1506">
        <f t="shared" si="38"/>
        <v>0</v>
      </c>
      <c r="CH729" s="1507"/>
      <c r="CI729" s="1512">
        <f t="shared" si="39"/>
        <v>0</v>
      </c>
      <c r="CJ729" s="1513"/>
      <c r="CK729" s="1506">
        <f t="shared" si="17"/>
        <v>0</v>
      </c>
      <c r="CL729" s="1507"/>
      <c r="CM729" s="1512">
        <f t="shared" si="18"/>
        <v>0</v>
      </c>
      <c r="CN729" s="1513"/>
      <c r="CO729" s="3"/>
      <c r="CP729" s="1508">
        <f t="shared" si="19"/>
        <v>5</v>
      </c>
      <c r="CQ729" s="1509"/>
      <c r="CR729" s="1509"/>
      <c r="CS729" s="1509"/>
      <c r="CT729" s="1510"/>
      <c r="CU729" s="1504">
        <f t="shared" si="20"/>
        <v>0</v>
      </c>
      <c r="CV729" s="1504"/>
      <c r="CW729" s="1504"/>
      <c r="CX729" s="1504"/>
      <c r="CY729" s="1504"/>
      <c r="CZ729" s="1504">
        <f t="shared" si="21"/>
        <v>0</v>
      </c>
      <c r="DA729" s="1504"/>
      <c r="DB729" s="1504"/>
      <c r="DC729" s="1504"/>
      <c r="DD729" s="1504"/>
      <c r="DE729" s="1504">
        <f t="shared" si="22"/>
        <v>0</v>
      </c>
      <c r="DF729" s="1504"/>
      <c r="DG729" s="1504"/>
      <c r="DH729" s="1504"/>
      <c r="DI729" s="1504"/>
      <c r="DJ729" s="1504">
        <f t="shared" si="23"/>
        <v>0</v>
      </c>
      <c r="DK729" s="1504"/>
      <c r="DL729" s="1504"/>
      <c r="DM729" s="1504"/>
      <c r="DN729" s="1504"/>
      <c r="DO729" s="1504">
        <f t="shared" si="24"/>
        <v>0</v>
      </c>
      <c r="DP729" s="1504"/>
      <c r="DQ729" s="1504"/>
      <c r="DR729" s="1504"/>
      <c r="DS729" s="1504"/>
      <c r="DT729" s="6"/>
      <c r="DU729" s="1503">
        <f t="shared" si="25"/>
        <v>0</v>
      </c>
      <c r="DV729" s="1503"/>
      <c r="DW729" s="1503"/>
      <c r="DX729" s="1503"/>
      <c r="DY729" s="1503"/>
      <c r="DZ729" s="1503">
        <f t="shared" si="26"/>
        <v>0</v>
      </c>
      <c r="EA729" s="1503"/>
      <c r="EB729" s="1503"/>
      <c r="EC729" s="1503"/>
      <c r="ED729" s="1503"/>
      <c r="EE729" s="1503">
        <f t="shared" si="27"/>
        <v>0</v>
      </c>
      <c r="EF729" s="1503"/>
      <c r="EG729" s="1503"/>
      <c r="EH729" s="1503"/>
      <c r="EI729" s="1503"/>
      <c r="EJ729" s="1503">
        <f t="shared" si="28"/>
        <v>0</v>
      </c>
      <c r="EK729" s="1503"/>
      <c r="EL729" s="1503"/>
      <c r="EM729" s="1503"/>
      <c r="EN729" s="1503"/>
      <c r="EO729" s="1503">
        <f t="shared" si="29"/>
        <v>0</v>
      </c>
      <c r="EP729" s="1503"/>
      <c r="EQ729" s="1503"/>
      <c r="ER729" s="1503"/>
      <c r="ES729" s="1503"/>
      <c r="ET729" s="1503">
        <f t="shared" si="30"/>
        <v>0</v>
      </c>
      <c r="EU729" s="1503"/>
      <c r="EV729" s="1503"/>
      <c r="EW729" s="1503"/>
      <c r="EX729" s="1503"/>
      <c r="EZ729" s="1506">
        <f t="shared" si="31"/>
        <v>2080</v>
      </c>
      <c r="FA729" s="1517"/>
      <c r="FB729" s="1517"/>
      <c r="FC729" s="1517"/>
      <c r="FD729" s="1507"/>
      <c r="FE729" s="1506" t="str">
        <f t="shared" si="32"/>
        <v/>
      </c>
      <c r="FF729" s="1517"/>
      <c r="FG729" s="1517"/>
      <c r="FH729" s="1517"/>
      <c r="FI729" s="1507"/>
      <c r="FJ729" s="1506" t="str">
        <f t="shared" si="33"/>
        <v/>
      </c>
      <c r="FK729" s="1517"/>
      <c r="FL729" s="1517"/>
      <c r="FM729" s="1517"/>
      <c r="FN729" s="1507"/>
      <c r="FO729" s="1506" t="str">
        <f t="shared" si="34"/>
        <v/>
      </c>
      <c r="FP729" s="1517"/>
      <c r="FQ729" s="1517"/>
      <c r="FR729" s="1517"/>
      <c r="FS729" s="1507"/>
      <c r="FT729" s="1506" t="str">
        <f t="shared" si="35"/>
        <v/>
      </c>
      <c r="FU729" s="1517"/>
      <c r="FV729" s="1517"/>
      <c r="FW729" s="1517"/>
      <c r="FX729" s="1507"/>
      <c r="FY729" s="1506" t="str">
        <f t="shared" si="36"/>
        <v/>
      </c>
      <c r="FZ729" s="1517"/>
      <c r="GA729" s="1517"/>
      <c r="GB729" s="1517"/>
      <c r="GC729" s="1507"/>
    </row>
    <row r="730" spans="1:185" ht="12.95" customHeight="1">
      <c r="B730" s="1328" t="s">
        <v>325</v>
      </c>
      <c r="C730" s="1329"/>
      <c r="D730" s="1329"/>
      <c r="E730" s="1329"/>
      <c r="F730" s="1330"/>
      <c r="G730" s="1379">
        <v>8</v>
      </c>
      <c r="H730" s="1380"/>
      <c r="I730" s="1380"/>
      <c r="J730" s="1381"/>
      <c r="K730" s="1382">
        <v>620</v>
      </c>
      <c r="L730" s="1383"/>
      <c r="M730" s="1383"/>
      <c r="N730" s="1384"/>
      <c r="O730" s="1374">
        <v>909</v>
      </c>
      <c r="P730" s="1375"/>
      <c r="Q730" s="1375"/>
      <c r="R730" s="1375"/>
      <c r="S730" s="1376"/>
      <c r="T730" s="1374">
        <v>75</v>
      </c>
      <c r="U730" s="1375"/>
      <c r="V730" s="1375"/>
      <c r="W730" s="1376"/>
      <c r="X730" s="1377">
        <f t="shared" si="9"/>
        <v>984</v>
      </c>
      <c r="Y730" s="1373"/>
      <c r="Z730" s="1373"/>
      <c r="AA730" s="1373"/>
      <c r="AB730" s="1378"/>
      <c r="AC730" s="1385">
        <v>0.3</v>
      </c>
      <c r="AD730" s="1386"/>
      <c r="AE730" s="1386"/>
      <c r="AF730" s="1386"/>
      <c r="AG730" s="1387"/>
      <c r="AH730" s="1403">
        <f t="shared" si="37"/>
        <v>0.3</v>
      </c>
      <c r="AI730" s="1404"/>
      <c r="AJ730" s="1405"/>
      <c r="AK730" s="1328" t="s">
        <v>591</v>
      </c>
      <c r="AL730" s="1329"/>
      <c r="AM730" s="1329"/>
      <c r="AN730" s="1329"/>
      <c r="AO730" s="1330"/>
      <c r="AP730" s="3"/>
      <c r="AQ730" s="3"/>
      <c r="AR730" s="3"/>
      <c r="AS730" s="3"/>
      <c r="AY730" s="116"/>
      <c r="AZ730" s="118">
        <f t="shared" si="10"/>
        <v>3280</v>
      </c>
      <c r="BA730" s="3"/>
      <c r="BB730" s="3"/>
      <c r="BC730" s="3"/>
      <c r="BD730" s="3"/>
      <c r="BE730" s="204"/>
      <c r="BF730" s="294">
        <f t="shared" si="11"/>
        <v>8</v>
      </c>
      <c r="BG730" s="297">
        <f t="shared" si="12"/>
        <v>7.476635514018691E-2</v>
      </c>
      <c r="BH730" s="298">
        <f t="shared" si="13"/>
        <v>2.2429906542056073E-2</v>
      </c>
      <c r="BI730" s="3"/>
      <c r="BJ730" s="3"/>
      <c r="BK730" s="3"/>
      <c r="BL730" s="3"/>
      <c r="BM730" s="3"/>
      <c r="BN730" s="3"/>
      <c r="BS730" s="294">
        <f t="shared" si="14"/>
        <v>8</v>
      </c>
      <c r="BT730" s="297">
        <f t="shared" si="15"/>
        <v>7.476635514018691E-2</v>
      </c>
      <c r="BU730" s="298">
        <f t="shared" si="16"/>
        <v>2.2429906542056073E-2</v>
      </c>
      <c r="CC730" s="3"/>
      <c r="CD730" s="3"/>
      <c r="CE730" s="3"/>
      <c r="CF730" s="3"/>
      <c r="CG730" s="1506">
        <f t="shared" si="38"/>
        <v>0</v>
      </c>
      <c r="CH730" s="1507"/>
      <c r="CI730" s="1512">
        <f t="shared" si="39"/>
        <v>0</v>
      </c>
      <c r="CJ730" s="1513"/>
      <c r="CK730" s="1506">
        <f t="shared" si="17"/>
        <v>1</v>
      </c>
      <c r="CL730" s="1507"/>
      <c r="CM730" s="1512">
        <f t="shared" si="18"/>
        <v>8</v>
      </c>
      <c r="CN730" s="1513"/>
      <c r="CO730" s="3"/>
      <c r="CP730" s="1508">
        <f t="shared" si="19"/>
        <v>0</v>
      </c>
      <c r="CQ730" s="1509"/>
      <c r="CR730" s="1509"/>
      <c r="CS730" s="1509"/>
      <c r="CT730" s="1510"/>
      <c r="CU730" s="1504">
        <f t="shared" si="20"/>
        <v>8</v>
      </c>
      <c r="CV730" s="1504"/>
      <c r="CW730" s="1504"/>
      <c r="CX730" s="1504"/>
      <c r="CY730" s="1504"/>
      <c r="CZ730" s="1504">
        <f t="shared" si="21"/>
        <v>0</v>
      </c>
      <c r="DA730" s="1504"/>
      <c r="DB730" s="1504"/>
      <c r="DC730" s="1504"/>
      <c r="DD730" s="1504"/>
      <c r="DE730" s="1504">
        <f t="shared" si="22"/>
        <v>0</v>
      </c>
      <c r="DF730" s="1504"/>
      <c r="DG730" s="1504"/>
      <c r="DH730" s="1504"/>
      <c r="DI730" s="1504"/>
      <c r="DJ730" s="1504">
        <f t="shared" si="23"/>
        <v>0</v>
      </c>
      <c r="DK730" s="1504"/>
      <c r="DL730" s="1504"/>
      <c r="DM730" s="1504"/>
      <c r="DN730" s="1504"/>
      <c r="DO730" s="1504">
        <f t="shared" si="24"/>
        <v>0</v>
      </c>
      <c r="DP730" s="1504"/>
      <c r="DQ730" s="1504"/>
      <c r="DR730" s="1504"/>
      <c r="DS730" s="1504"/>
      <c r="DT730" s="6"/>
      <c r="DU730" s="1503">
        <f t="shared" si="25"/>
        <v>0</v>
      </c>
      <c r="DV730" s="1503"/>
      <c r="DW730" s="1503"/>
      <c r="DX730" s="1503"/>
      <c r="DY730" s="1503"/>
      <c r="DZ730" s="1503">
        <f t="shared" si="26"/>
        <v>8</v>
      </c>
      <c r="EA730" s="1503"/>
      <c r="EB730" s="1503"/>
      <c r="EC730" s="1503"/>
      <c r="ED730" s="1503"/>
      <c r="EE730" s="1503">
        <f t="shared" si="27"/>
        <v>0</v>
      </c>
      <c r="EF730" s="1503"/>
      <c r="EG730" s="1503"/>
      <c r="EH730" s="1503"/>
      <c r="EI730" s="1503"/>
      <c r="EJ730" s="1503">
        <f t="shared" si="28"/>
        <v>0</v>
      </c>
      <c r="EK730" s="1503"/>
      <c r="EL730" s="1503"/>
      <c r="EM730" s="1503"/>
      <c r="EN730" s="1503"/>
      <c r="EO730" s="1503">
        <f t="shared" si="29"/>
        <v>0</v>
      </c>
      <c r="EP730" s="1503"/>
      <c r="EQ730" s="1503"/>
      <c r="ER730" s="1503"/>
      <c r="ES730" s="1503"/>
      <c r="ET730" s="1503">
        <f t="shared" si="30"/>
        <v>0</v>
      </c>
      <c r="EU730" s="1503"/>
      <c r="EV730" s="1503"/>
      <c r="EW730" s="1503"/>
      <c r="EX730" s="1503"/>
      <c r="EZ730" s="1506" t="str">
        <f t="shared" si="31"/>
        <v/>
      </c>
      <c r="FA730" s="1517"/>
      <c r="FB730" s="1517"/>
      <c r="FC730" s="1517"/>
      <c r="FD730" s="1507"/>
      <c r="FE730" s="1506">
        <f t="shared" si="32"/>
        <v>909</v>
      </c>
      <c r="FF730" s="1517"/>
      <c r="FG730" s="1517"/>
      <c r="FH730" s="1517"/>
      <c r="FI730" s="1507"/>
      <c r="FJ730" s="1506" t="str">
        <f t="shared" si="33"/>
        <v/>
      </c>
      <c r="FK730" s="1517"/>
      <c r="FL730" s="1517"/>
      <c r="FM730" s="1517"/>
      <c r="FN730" s="1507"/>
      <c r="FO730" s="1506" t="str">
        <f t="shared" si="34"/>
        <v/>
      </c>
      <c r="FP730" s="1517"/>
      <c r="FQ730" s="1517"/>
      <c r="FR730" s="1517"/>
      <c r="FS730" s="1507"/>
      <c r="FT730" s="1506" t="str">
        <f t="shared" si="35"/>
        <v/>
      </c>
      <c r="FU730" s="1517"/>
      <c r="FV730" s="1517"/>
      <c r="FW730" s="1517"/>
      <c r="FX730" s="1507"/>
      <c r="FY730" s="1506" t="str">
        <f t="shared" si="36"/>
        <v/>
      </c>
      <c r="FZ730" s="1517"/>
      <c r="GA730" s="1517"/>
      <c r="GB730" s="1517"/>
      <c r="GC730" s="1507"/>
    </row>
    <row r="731" spans="1:185" ht="12.95" customHeight="1">
      <c r="B731" s="1328" t="s">
        <v>325</v>
      </c>
      <c r="C731" s="1329"/>
      <c r="D731" s="1329"/>
      <c r="E731" s="1329"/>
      <c r="F731" s="1330"/>
      <c r="G731" s="1379">
        <v>8</v>
      </c>
      <c r="H731" s="1380"/>
      <c r="I731" s="1380"/>
      <c r="J731" s="1381"/>
      <c r="K731" s="1382">
        <v>620</v>
      </c>
      <c r="L731" s="1383"/>
      <c r="M731" s="1383"/>
      <c r="N731" s="1384"/>
      <c r="O731" s="1374">
        <v>1565</v>
      </c>
      <c r="P731" s="1375"/>
      <c r="Q731" s="1375"/>
      <c r="R731" s="1375"/>
      <c r="S731" s="1376"/>
      <c r="T731" s="1374">
        <v>75</v>
      </c>
      <c r="U731" s="1375"/>
      <c r="V731" s="1375"/>
      <c r="W731" s="1376"/>
      <c r="X731" s="1377">
        <f t="shared" si="9"/>
        <v>1640</v>
      </c>
      <c r="Y731" s="1373"/>
      <c r="Z731" s="1373"/>
      <c r="AA731" s="1373"/>
      <c r="AB731" s="1378"/>
      <c r="AC731" s="1385">
        <v>0.5</v>
      </c>
      <c r="AD731" s="1386"/>
      <c r="AE731" s="1386"/>
      <c r="AF731" s="1386"/>
      <c r="AG731" s="1387"/>
      <c r="AH731" s="1403">
        <f t="shared" si="37"/>
        <v>0.5</v>
      </c>
      <c r="AI731" s="1404"/>
      <c r="AJ731" s="1405"/>
      <c r="AK731" s="1328" t="s">
        <v>591</v>
      </c>
      <c r="AL731" s="1329"/>
      <c r="AM731" s="1329"/>
      <c r="AN731" s="1329"/>
      <c r="AO731" s="1330"/>
      <c r="AP731" s="3"/>
      <c r="AQ731" s="3"/>
      <c r="AR731" s="3"/>
      <c r="AS731" s="3"/>
      <c r="AY731" s="116"/>
      <c r="AZ731" s="118">
        <f t="shared" si="10"/>
        <v>3280</v>
      </c>
      <c r="BA731" s="3"/>
      <c r="BB731" s="3"/>
      <c r="BC731" s="3"/>
      <c r="BD731" s="3"/>
      <c r="BE731" s="204"/>
      <c r="BF731" s="294">
        <f t="shared" si="11"/>
        <v>8</v>
      </c>
      <c r="BG731" s="297">
        <f t="shared" si="12"/>
        <v>7.476635514018691E-2</v>
      </c>
      <c r="BH731" s="298">
        <f t="shared" si="13"/>
        <v>3.7383177570093455E-2</v>
      </c>
      <c r="BI731" s="3"/>
      <c r="BJ731" s="3"/>
      <c r="BK731" s="3"/>
      <c r="BL731" s="3"/>
      <c r="BM731" s="3"/>
      <c r="BN731" s="3"/>
      <c r="BS731" s="294">
        <f t="shared" si="14"/>
        <v>8</v>
      </c>
      <c r="BT731" s="297">
        <f t="shared" si="15"/>
        <v>7.476635514018691E-2</v>
      </c>
      <c r="BU731" s="298">
        <f t="shared" si="16"/>
        <v>3.7383177570093455E-2</v>
      </c>
      <c r="CC731" s="3"/>
      <c r="CD731" s="3"/>
      <c r="CE731" s="3"/>
      <c r="CF731" s="3"/>
      <c r="CG731" s="1506">
        <f t="shared" si="38"/>
        <v>1</v>
      </c>
      <c r="CH731" s="1507"/>
      <c r="CI731" s="1512">
        <f t="shared" si="39"/>
        <v>8</v>
      </c>
      <c r="CJ731" s="1513"/>
      <c r="CK731" s="1506">
        <f t="shared" si="17"/>
        <v>0</v>
      </c>
      <c r="CL731" s="1507"/>
      <c r="CM731" s="1512">
        <f t="shared" si="18"/>
        <v>0</v>
      </c>
      <c r="CN731" s="1513"/>
      <c r="CO731" s="3"/>
      <c r="CP731" s="1508">
        <f t="shared" si="19"/>
        <v>0</v>
      </c>
      <c r="CQ731" s="1509"/>
      <c r="CR731" s="1509"/>
      <c r="CS731" s="1509"/>
      <c r="CT731" s="1510"/>
      <c r="CU731" s="1504">
        <f t="shared" si="20"/>
        <v>8</v>
      </c>
      <c r="CV731" s="1504"/>
      <c r="CW731" s="1504"/>
      <c r="CX731" s="1504"/>
      <c r="CY731" s="1504"/>
      <c r="CZ731" s="1504">
        <f t="shared" si="21"/>
        <v>0</v>
      </c>
      <c r="DA731" s="1504"/>
      <c r="DB731" s="1504"/>
      <c r="DC731" s="1504"/>
      <c r="DD731" s="1504"/>
      <c r="DE731" s="1504">
        <f t="shared" si="22"/>
        <v>0</v>
      </c>
      <c r="DF731" s="1504"/>
      <c r="DG731" s="1504"/>
      <c r="DH731" s="1504"/>
      <c r="DI731" s="1504"/>
      <c r="DJ731" s="1504">
        <f t="shared" si="23"/>
        <v>0</v>
      </c>
      <c r="DK731" s="1504"/>
      <c r="DL731" s="1504"/>
      <c r="DM731" s="1504"/>
      <c r="DN731" s="1504"/>
      <c r="DO731" s="1504">
        <f t="shared" si="24"/>
        <v>0</v>
      </c>
      <c r="DP731" s="1504"/>
      <c r="DQ731" s="1504"/>
      <c r="DR731" s="1504"/>
      <c r="DS731" s="1504"/>
      <c r="DT731" s="6"/>
      <c r="DU731" s="1503">
        <f t="shared" si="25"/>
        <v>0</v>
      </c>
      <c r="DV731" s="1503"/>
      <c r="DW731" s="1503"/>
      <c r="DX731" s="1503"/>
      <c r="DY731" s="1503"/>
      <c r="DZ731" s="1503">
        <f t="shared" si="26"/>
        <v>0</v>
      </c>
      <c r="EA731" s="1503"/>
      <c r="EB731" s="1503"/>
      <c r="EC731" s="1503"/>
      <c r="ED731" s="1503"/>
      <c r="EE731" s="1503">
        <f t="shared" si="27"/>
        <v>0</v>
      </c>
      <c r="EF731" s="1503"/>
      <c r="EG731" s="1503"/>
      <c r="EH731" s="1503"/>
      <c r="EI731" s="1503"/>
      <c r="EJ731" s="1503">
        <f t="shared" si="28"/>
        <v>0</v>
      </c>
      <c r="EK731" s="1503"/>
      <c r="EL731" s="1503"/>
      <c r="EM731" s="1503"/>
      <c r="EN731" s="1503"/>
      <c r="EO731" s="1503">
        <f t="shared" si="29"/>
        <v>0</v>
      </c>
      <c r="EP731" s="1503"/>
      <c r="EQ731" s="1503"/>
      <c r="ER731" s="1503"/>
      <c r="ES731" s="1503"/>
      <c r="ET731" s="1503">
        <f t="shared" si="30"/>
        <v>0</v>
      </c>
      <c r="EU731" s="1503"/>
      <c r="EV731" s="1503"/>
      <c r="EW731" s="1503"/>
      <c r="EX731" s="1503"/>
      <c r="EZ731" s="1506" t="str">
        <f t="shared" si="31"/>
        <v/>
      </c>
      <c r="FA731" s="1517"/>
      <c r="FB731" s="1517"/>
      <c r="FC731" s="1517"/>
      <c r="FD731" s="1507"/>
      <c r="FE731" s="1506">
        <f t="shared" si="32"/>
        <v>1565</v>
      </c>
      <c r="FF731" s="1517"/>
      <c r="FG731" s="1517"/>
      <c r="FH731" s="1517"/>
      <c r="FI731" s="1507"/>
      <c r="FJ731" s="1506" t="str">
        <f t="shared" si="33"/>
        <v/>
      </c>
      <c r="FK731" s="1517"/>
      <c r="FL731" s="1517"/>
      <c r="FM731" s="1517"/>
      <c r="FN731" s="1507"/>
      <c r="FO731" s="1506" t="str">
        <f t="shared" si="34"/>
        <v/>
      </c>
      <c r="FP731" s="1517"/>
      <c r="FQ731" s="1517"/>
      <c r="FR731" s="1517"/>
      <c r="FS731" s="1507"/>
      <c r="FT731" s="1506" t="str">
        <f t="shared" si="35"/>
        <v/>
      </c>
      <c r="FU731" s="1517"/>
      <c r="FV731" s="1517"/>
      <c r="FW731" s="1517"/>
      <c r="FX731" s="1507"/>
      <c r="FY731" s="1506" t="str">
        <f t="shared" si="36"/>
        <v/>
      </c>
      <c r="FZ731" s="1517"/>
      <c r="GA731" s="1517"/>
      <c r="GB731" s="1517"/>
      <c r="GC731" s="1507"/>
    </row>
    <row r="732" spans="1:185" ht="12.95" customHeight="1">
      <c r="B732" s="1328" t="s">
        <v>325</v>
      </c>
      <c r="C732" s="1329"/>
      <c r="D732" s="1329"/>
      <c r="E732" s="1329"/>
      <c r="F732" s="1330"/>
      <c r="G732" s="1379">
        <v>35</v>
      </c>
      <c r="H732" s="1380"/>
      <c r="I732" s="1380"/>
      <c r="J732" s="1381"/>
      <c r="K732" s="1382">
        <v>620</v>
      </c>
      <c r="L732" s="1383"/>
      <c r="M732" s="1383"/>
      <c r="N732" s="1384"/>
      <c r="O732" s="1374">
        <v>1893</v>
      </c>
      <c r="P732" s="1375"/>
      <c r="Q732" s="1375"/>
      <c r="R732" s="1375"/>
      <c r="S732" s="1376"/>
      <c r="T732" s="1374">
        <v>75</v>
      </c>
      <c r="U732" s="1375"/>
      <c r="V732" s="1375"/>
      <c r="W732" s="1376"/>
      <c r="X732" s="1377">
        <f t="shared" si="9"/>
        <v>1968</v>
      </c>
      <c r="Y732" s="1373"/>
      <c r="Z732" s="1373"/>
      <c r="AA732" s="1373"/>
      <c r="AB732" s="1378"/>
      <c r="AC732" s="1385">
        <v>0.6</v>
      </c>
      <c r="AD732" s="1386"/>
      <c r="AE732" s="1386"/>
      <c r="AF732" s="1386"/>
      <c r="AG732" s="1387"/>
      <c r="AH732" s="1403">
        <f t="shared" si="37"/>
        <v>0.6</v>
      </c>
      <c r="AI732" s="1404"/>
      <c r="AJ732" s="1405"/>
      <c r="AK732" s="1328" t="s">
        <v>591</v>
      </c>
      <c r="AL732" s="1329"/>
      <c r="AM732" s="1329"/>
      <c r="AN732" s="1329"/>
      <c r="AO732" s="1330"/>
      <c r="AP732" s="3"/>
      <c r="AQ732" s="3"/>
      <c r="AR732" s="3"/>
      <c r="AS732" s="3"/>
      <c r="AY732" s="116"/>
      <c r="AZ732" s="118">
        <f t="shared" si="10"/>
        <v>3280</v>
      </c>
      <c r="BA732" s="3"/>
      <c r="BB732" s="3"/>
      <c r="BC732" s="3"/>
      <c r="BD732" s="3"/>
      <c r="BE732" s="204"/>
      <c r="BF732" s="294">
        <f t="shared" si="11"/>
        <v>35</v>
      </c>
      <c r="BG732" s="297">
        <f t="shared" si="12"/>
        <v>0.32710280373831774</v>
      </c>
      <c r="BH732" s="298">
        <f t="shared" si="13"/>
        <v>0.19626168224299065</v>
      </c>
      <c r="BI732" s="3"/>
      <c r="BJ732" s="3"/>
      <c r="BK732" s="3"/>
      <c r="BL732" s="3"/>
      <c r="BM732" s="3"/>
      <c r="BN732" s="3"/>
      <c r="BS732" s="294">
        <f t="shared" si="14"/>
        <v>35</v>
      </c>
      <c r="BT732" s="297">
        <f t="shared" si="15"/>
        <v>0.32710280373831774</v>
      </c>
      <c r="BU732" s="298">
        <f t="shared" si="16"/>
        <v>0.19626168224299065</v>
      </c>
      <c r="CC732" s="3"/>
      <c r="CE732" s="3"/>
      <c r="CF732" s="3"/>
      <c r="CG732" s="1506">
        <f t="shared" si="38"/>
        <v>0</v>
      </c>
      <c r="CH732" s="1507"/>
      <c r="CI732" s="1512">
        <f t="shared" si="39"/>
        <v>0</v>
      </c>
      <c r="CJ732" s="1513"/>
      <c r="CK732" s="1506">
        <f t="shared" si="17"/>
        <v>0</v>
      </c>
      <c r="CL732" s="1507"/>
      <c r="CM732" s="1512">
        <f t="shared" si="18"/>
        <v>0</v>
      </c>
      <c r="CN732" s="1513"/>
      <c r="CO732" s="3"/>
      <c r="CP732" s="1508">
        <f t="shared" si="19"/>
        <v>0</v>
      </c>
      <c r="CQ732" s="1509"/>
      <c r="CR732" s="1509"/>
      <c r="CS732" s="1509"/>
      <c r="CT732" s="1510"/>
      <c r="CU732" s="1504">
        <f t="shared" si="20"/>
        <v>35</v>
      </c>
      <c r="CV732" s="1504"/>
      <c r="CW732" s="1504"/>
      <c r="CX732" s="1504"/>
      <c r="CY732" s="1504"/>
      <c r="CZ732" s="1504">
        <f t="shared" si="21"/>
        <v>0</v>
      </c>
      <c r="DA732" s="1504"/>
      <c r="DB732" s="1504"/>
      <c r="DC732" s="1504"/>
      <c r="DD732" s="1504"/>
      <c r="DE732" s="1504">
        <f t="shared" si="22"/>
        <v>0</v>
      </c>
      <c r="DF732" s="1504"/>
      <c r="DG732" s="1504"/>
      <c r="DH732" s="1504"/>
      <c r="DI732" s="1504"/>
      <c r="DJ732" s="1504">
        <f t="shared" si="23"/>
        <v>0</v>
      </c>
      <c r="DK732" s="1504"/>
      <c r="DL732" s="1504"/>
      <c r="DM732" s="1504"/>
      <c r="DN732" s="1504"/>
      <c r="DO732" s="1504">
        <f t="shared" si="24"/>
        <v>0</v>
      </c>
      <c r="DP732" s="1504"/>
      <c r="DQ732" s="1504"/>
      <c r="DR732" s="1504"/>
      <c r="DS732" s="1504"/>
      <c r="DT732" s="6"/>
      <c r="DU732" s="1503">
        <f t="shared" si="25"/>
        <v>0</v>
      </c>
      <c r="DV732" s="1503"/>
      <c r="DW732" s="1503"/>
      <c r="DX732" s="1503"/>
      <c r="DY732" s="1503"/>
      <c r="DZ732" s="1503">
        <f t="shared" si="26"/>
        <v>0</v>
      </c>
      <c r="EA732" s="1503"/>
      <c r="EB732" s="1503"/>
      <c r="EC732" s="1503"/>
      <c r="ED732" s="1503"/>
      <c r="EE732" s="1503">
        <f t="shared" si="27"/>
        <v>0</v>
      </c>
      <c r="EF732" s="1503"/>
      <c r="EG732" s="1503"/>
      <c r="EH732" s="1503"/>
      <c r="EI732" s="1503"/>
      <c r="EJ732" s="1503">
        <f t="shared" si="28"/>
        <v>0</v>
      </c>
      <c r="EK732" s="1503"/>
      <c r="EL732" s="1503"/>
      <c r="EM732" s="1503"/>
      <c r="EN732" s="1503"/>
      <c r="EO732" s="1503">
        <f t="shared" si="29"/>
        <v>0</v>
      </c>
      <c r="EP732" s="1503"/>
      <c r="EQ732" s="1503"/>
      <c r="ER732" s="1503"/>
      <c r="ES732" s="1503"/>
      <c r="ET732" s="1503">
        <f t="shared" si="30"/>
        <v>0</v>
      </c>
      <c r="EU732" s="1503"/>
      <c r="EV732" s="1503"/>
      <c r="EW732" s="1503"/>
      <c r="EX732" s="1503"/>
      <c r="EZ732" s="1506" t="str">
        <f t="shared" si="31"/>
        <v/>
      </c>
      <c r="FA732" s="1517"/>
      <c r="FB732" s="1517"/>
      <c r="FC732" s="1517"/>
      <c r="FD732" s="1507"/>
      <c r="FE732" s="1506">
        <f t="shared" si="32"/>
        <v>1893</v>
      </c>
      <c r="FF732" s="1517"/>
      <c r="FG732" s="1517"/>
      <c r="FH732" s="1517"/>
      <c r="FI732" s="1507"/>
      <c r="FJ732" s="1506" t="str">
        <f t="shared" si="33"/>
        <v/>
      </c>
      <c r="FK732" s="1517"/>
      <c r="FL732" s="1517"/>
      <c r="FM732" s="1517"/>
      <c r="FN732" s="1507"/>
      <c r="FO732" s="1506" t="str">
        <f t="shared" si="34"/>
        <v/>
      </c>
      <c r="FP732" s="1517"/>
      <c r="FQ732" s="1517"/>
      <c r="FR732" s="1517"/>
      <c r="FS732" s="1507"/>
      <c r="FT732" s="1506" t="str">
        <f t="shared" si="35"/>
        <v/>
      </c>
      <c r="FU732" s="1517"/>
      <c r="FV732" s="1517"/>
      <c r="FW732" s="1517"/>
      <c r="FX732" s="1507"/>
      <c r="FY732" s="1506" t="str">
        <f t="shared" si="36"/>
        <v/>
      </c>
      <c r="FZ732" s="1517"/>
      <c r="GA732" s="1517"/>
      <c r="GB732" s="1517"/>
      <c r="GC732" s="1507"/>
    </row>
    <row r="733" spans="1:185" ht="12.95" customHeight="1">
      <c r="B733" s="1328" t="s">
        <v>325</v>
      </c>
      <c r="C733" s="1329"/>
      <c r="D733" s="1329"/>
      <c r="E733" s="1329"/>
      <c r="F733" s="1330"/>
      <c r="G733" s="1379">
        <v>14</v>
      </c>
      <c r="H733" s="1380"/>
      <c r="I733" s="1380"/>
      <c r="J733" s="1381"/>
      <c r="K733" s="1382">
        <v>620</v>
      </c>
      <c r="L733" s="1383"/>
      <c r="M733" s="1383"/>
      <c r="N733" s="1384"/>
      <c r="O733" s="1374">
        <v>2221</v>
      </c>
      <c r="P733" s="1375"/>
      <c r="Q733" s="1375"/>
      <c r="R733" s="1375"/>
      <c r="S733" s="1376"/>
      <c r="T733" s="1374">
        <v>75</v>
      </c>
      <c r="U733" s="1375"/>
      <c r="V733" s="1375"/>
      <c r="W733" s="1376"/>
      <c r="X733" s="1377">
        <f t="shared" si="9"/>
        <v>2296</v>
      </c>
      <c r="Y733" s="1373"/>
      <c r="Z733" s="1373"/>
      <c r="AA733" s="1373"/>
      <c r="AB733" s="1378"/>
      <c r="AC733" s="1385">
        <v>0.7</v>
      </c>
      <c r="AD733" s="1386"/>
      <c r="AE733" s="1386"/>
      <c r="AF733" s="1386"/>
      <c r="AG733" s="1387"/>
      <c r="AH733" s="1403">
        <f t="shared" si="37"/>
        <v>0.7</v>
      </c>
      <c r="AI733" s="1404"/>
      <c r="AJ733" s="1405"/>
      <c r="AK733" s="1328" t="s">
        <v>591</v>
      </c>
      <c r="AL733" s="1329"/>
      <c r="AM733" s="1329"/>
      <c r="AN733" s="1329"/>
      <c r="AO733" s="1330"/>
      <c r="AP733" s="3"/>
      <c r="AQ733" s="3"/>
      <c r="AR733" s="3"/>
      <c r="AS733" s="3"/>
      <c r="AY733" s="1075"/>
      <c r="AZ733" s="118">
        <f t="shared" si="10"/>
        <v>3280</v>
      </c>
      <c r="BA733" s="3"/>
      <c r="BB733" s="3"/>
      <c r="BC733" s="3"/>
      <c r="BD733" s="3"/>
      <c r="BE733" s="204"/>
      <c r="BF733" s="294">
        <f t="shared" si="11"/>
        <v>14</v>
      </c>
      <c r="BG733" s="297">
        <f t="shared" si="12"/>
        <v>0.13084112149532709</v>
      </c>
      <c r="BH733" s="298">
        <f t="shared" si="13"/>
        <v>9.158878504672896E-2</v>
      </c>
      <c r="BI733" s="3"/>
      <c r="BJ733" s="3"/>
      <c r="BK733" s="3"/>
      <c r="BL733" s="3"/>
      <c r="BM733" s="3"/>
      <c r="BN733" s="3"/>
      <c r="BS733" s="294">
        <f t="shared" si="14"/>
        <v>14</v>
      </c>
      <c r="BT733" s="297">
        <f t="shared" si="15"/>
        <v>0.13084112149532709</v>
      </c>
      <c r="BU733" s="298">
        <f t="shared" si="16"/>
        <v>9.158878504672896E-2</v>
      </c>
      <c r="BV733" s="292"/>
      <c r="BW733" s="3"/>
      <c r="BX733" s="3"/>
      <c r="BY733" s="3"/>
      <c r="BZ733" s="3"/>
      <c r="CA733" s="3"/>
      <c r="CB733" s="3"/>
      <c r="CC733" s="3"/>
      <c r="CE733" s="3"/>
      <c r="CF733" s="3"/>
      <c r="CG733" s="1506">
        <f t="shared" si="38"/>
        <v>0</v>
      </c>
      <c r="CH733" s="1507"/>
      <c r="CI733" s="1512">
        <f t="shared" si="39"/>
        <v>0</v>
      </c>
      <c r="CJ733" s="1513"/>
      <c r="CK733" s="1506">
        <f t="shared" si="17"/>
        <v>0</v>
      </c>
      <c r="CL733" s="1507"/>
      <c r="CM733" s="1512">
        <f t="shared" si="18"/>
        <v>0</v>
      </c>
      <c r="CN733" s="1513"/>
      <c r="CO733" s="3"/>
      <c r="CP733" s="1508">
        <f t="shared" si="19"/>
        <v>0</v>
      </c>
      <c r="CQ733" s="1509"/>
      <c r="CR733" s="1509"/>
      <c r="CS733" s="1509"/>
      <c r="CT733" s="1510"/>
      <c r="CU733" s="1504">
        <f t="shared" si="20"/>
        <v>14</v>
      </c>
      <c r="CV733" s="1504"/>
      <c r="CW733" s="1504"/>
      <c r="CX733" s="1504"/>
      <c r="CY733" s="1504"/>
      <c r="CZ733" s="1504">
        <f t="shared" si="21"/>
        <v>0</v>
      </c>
      <c r="DA733" s="1504"/>
      <c r="DB733" s="1504"/>
      <c r="DC733" s="1504"/>
      <c r="DD733" s="1504"/>
      <c r="DE733" s="1504">
        <f t="shared" si="22"/>
        <v>0</v>
      </c>
      <c r="DF733" s="1504"/>
      <c r="DG733" s="1504"/>
      <c r="DH733" s="1504"/>
      <c r="DI733" s="1504"/>
      <c r="DJ733" s="1504">
        <f t="shared" si="23"/>
        <v>0</v>
      </c>
      <c r="DK733" s="1504"/>
      <c r="DL733" s="1504"/>
      <c r="DM733" s="1504"/>
      <c r="DN733" s="1504"/>
      <c r="DO733" s="1504">
        <f t="shared" si="24"/>
        <v>0</v>
      </c>
      <c r="DP733" s="1504"/>
      <c r="DQ733" s="1504"/>
      <c r="DR733" s="1504"/>
      <c r="DS733" s="1504"/>
      <c r="DT733" s="6"/>
      <c r="DU733" s="1503">
        <f t="shared" si="25"/>
        <v>0</v>
      </c>
      <c r="DV733" s="1503"/>
      <c r="DW733" s="1503"/>
      <c r="DX733" s="1503"/>
      <c r="DY733" s="1503"/>
      <c r="DZ733" s="1503">
        <f t="shared" si="26"/>
        <v>0</v>
      </c>
      <c r="EA733" s="1503"/>
      <c r="EB733" s="1503"/>
      <c r="EC733" s="1503"/>
      <c r="ED733" s="1503"/>
      <c r="EE733" s="1503">
        <f t="shared" si="27"/>
        <v>0</v>
      </c>
      <c r="EF733" s="1503"/>
      <c r="EG733" s="1503"/>
      <c r="EH733" s="1503"/>
      <c r="EI733" s="1503"/>
      <c r="EJ733" s="1503">
        <f t="shared" si="28"/>
        <v>0</v>
      </c>
      <c r="EK733" s="1503"/>
      <c r="EL733" s="1503"/>
      <c r="EM733" s="1503"/>
      <c r="EN733" s="1503"/>
      <c r="EO733" s="1503">
        <f t="shared" si="29"/>
        <v>0</v>
      </c>
      <c r="EP733" s="1503"/>
      <c r="EQ733" s="1503"/>
      <c r="ER733" s="1503"/>
      <c r="ES733" s="1503"/>
      <c r="ET733" s="1503">
        <f t="shared" si="30"/>
        <v>0</v>
      </c>
      <c r="EU733" s="1503"/>
      <c r="EV733" s="1503"/>
      <c r="EW733" s="1503"/>
      <c r="EX733" s="1503"/>
      <c r="EZ733" s="1506" t="str">
        <f t="shared" si="31"/>
        <v/>
      </c>
      <c r="FA733" s="1517"/>
      <c r="FB733" s="1517"/>
      <c r="FC733" s="1517"/>
      <c r="FD733" s="1507"/>
      <c r="FE733" s="1506">
        <f t="shared" si="32"/>
        <v>2221</v>
      </c>
      <c r="FF733" s="1517"/>
      <c r="FG733" s="1517"/>
      <c r="FH733" s="1517"/>
      <c r="FI733" s="1507"/>
      <c r="FJ733" s="1506" t="str">
        <f t="shared" si="33"/>
        <v/>
      </c>
      <c r="FK733" s="1517"/>
      <c r="FL733" s="1517"/>
      <c r="FM733" s="1517"/>
      <c r="FN733" s="1507"/>
      <c r="FO733" s="1506" t="str">
        <f t="shared" si="34"/>
        <v/>
      </c>
      <c r="FP733" s="1517"/>
      <c r="FQ733" s="1517"/>
      <c r="FR733" s="1517"/>
      <c r="FS733" s="1507"/>
      <c r="FT733" s="1506" t="str">
        <f t="shared" si="35"/>
        <v/>
      </c>
      <c r="FU733" s="1517"/>
      <c r="FV733" s="1517"/>
      <c r="FW733" s="1517"/>
      <c r="FX733" s="1507"/>
      <c r="FY733" s="1506" t="str">
        <f t="shared" si="36"/>
        <v/>
      </c>
      <c r="FZ733" s="1517"/>
      <c r="GA733" s="1517"/>
      <c r="GB733" s="1517"/>
      <c r="GC733" s="1507"/>
    </row>
    <row r="734" spans="1:185" ht="12.95" customHeight="1">
      <c r="B734" s="1328" t="s">
        <v>163</v>
      </c>
      <c r="C734" s="1329"/>
      <c r="D734" s="1329"/>
      <c r="E734" s="1329"/>
      <c r="F734" s="1330"/>
      <c r="G734" s="1379">
        <v>1</v>
      </c>
      <c r="H734" s="1380"/>
      <c r="I734" s="1380"/>
      <c r="J734" s="1381"/>
      <c r="K734" s="1382">
        <v>881</v>
      </c>
      <c r="L734" s="1383"/>
      <c r="M734" s="1383"/>
      <c r="N734" s="1384"/>
      <c r="O734" s="1374">
        <v>1078</v>
      </c>
      <c r="P734" s="1375"/>
      <c r="Q734" s="1375"/>
      <c r="R734" s="1375"/>
      <c r="S734" s="1376"/>
      <c r="T734" s="1374">
        <v>103</v>
      </c>
      <c r="U734" s="1375"/>
      <c r="V734" s="1375"/>
      <c r="W734" s="1376"/>
      <c r="X734" s="1377">
        <f t="shared" si="9"/>
        <v>1181</v>
      </c>
      <c r="Y734" s="1373"/>
      <c r="Z734" s="1373"/>
      <c r="AA734" s="1373"/>
      <c r="AB734" s="1378"/>
      <c r="AC734" s="1385">
        <v>0.3</v>
      </c>
      <c r="AD734" s="1386"/>
      <c r="AE734" s="1386"/>
      <c r="AF734" s="1386"/>
      <c r="AG734" s="1387"/>
      <c r="AH734" s="1403">
        <f t="shared" si="37"/>
        <v>0.30005081300813008</v>
      </c>
      <c r="AI734" s="1404"/>
      <c r="AJ734" s="1405"/>
      <c r="AK734" s="1328" t="s">
        <v>591</v>
      </c>
      <c r="AL734" s="1329"/>
      <c r="AM734" s="1329"/>
      <c r="AN734" s="1329"/>
      <c r="AO734" s="1330"/>
      <c r="AP734" s="3"/>
      <c r="AQ734" s="3"/>
      <c r="AR734" s="3"/>
      <c r="AS734" s="3"/>
      <c r="AY734" s="1075"/>
      <c r="AZ734" s="118">
        <f t="shared" si="10"/>
        <v>3936</v>
      </c>
      <c r="BA734" s="3"/>
      <c r="BB734" s="3"/>
      <c r="BC734" s="3"/>
      <c r="BD734" s="3"/>
      <c r="BE734" s="204"/>
      <c r="BF734" s="294">
        <f t="shared" si="11"/>
        <v>1</v>
      </c>
      <c r="BG734" s="297">
        <f t="shared" si="12"/>
        <v>9.3457943925233638E-3</v>
      </c>
      <c r="BH734" s="298">
        <f t="shared" si="13"/>
        <v>2.8037383177570091E-3</v>
      </c>
      <c r="BI734" s="3"/>
      <c r="BJ734" s="3"/>
      <c r="BK734" s="3"/>
      <c r="BL734" s="3"/>
      <c r="BM734" s="3"/>
      <c r="BN734" s="3"/>
      <c r="BS734" s="294">
        <f t="shared" si="14"/>
        <v>1</v>
      </c>
      <c r="BT734" s="297">
        <f t="shared" si="15"/>
        <v>9.3457943925233638E-3</v>
      </c>
      <c r="BU734" s="298">
        <f t="shared" si="16"/>
        <v>2.8042132056834584E-3</v>
      </c>
      <c r="BV734" s="3"/>
      <c r="BW734" s="3"/>
      <c r="BX734" s="3"/>
      <c r="BY734" s="3"/>
      <c r="BZ734" s="3"/>
      <c r="CA734" s="3"/>
      <c r="CB734" s="3"/>
      <c r="CC734" s="3"/>
      <c r="CE734" s="3"/>
      <c r="CF734" s="3"/>
      <c r="CG734" s="1506">
        <f t="shared" si="38"/>
        <v>0</v>
      </c>
      <c r="CH734" s="1507"/>
      <c r="CI734" s="1512">
        <f t="shared" si="39"/>
        <v>0</v>
      </c>
      <c r="CJ734" s="1513"/>
      <c r="CK734" s="1506">
        <f t="shared" si="17"/>
        <v>1</v>
      </c>
      <c r="CL734" s="1507"/>
      <c r="CM734" s="1512">
        <f t="shared" si="18"/>
        <v>1</v>
      </c>
      <c r="CN734" s="1513"/>
      <c r="CO734" s="3"/>
      <c r="CP734" s="1508">
        <f t="shared" si="19"/>
        <v>0</v>
      </c>
      <c r="CQ734" s="1509"/>
      <c r="CR734" s="1509"/>
      <c r="CS734" s="1509"/>
      <c r="CT734" s="1510"/>
      <c r="CU734" s="1504">
        <f t="shared" si="20"/>
        <v>0</v>
      </c>
      <c r="CV734" s="1504"/>
      <c r="CW734" s="1504"/>
      <c r="CX734" s="1504"/>
      <c r="CY734" s="1504"/>
      <c r="CZ734" s="1504">
        <f t="shared" si="21"/>
        <v>1</v>
      </c>
      <c r="DA734" s="1504"/>
      <c r="DB734" s="1504"/>
      <c r="DC734" s="1504"/>
      <c r="DD734" s="1504"/>
      <c r="DE734" s="1504">
        <f t="shared" si="22"/>
        <v>0</v>
      </c>
      <c r="DF734" s="1504"/>
      <c r="DG734" s="1504"/>
      <c r="DH734" s="1504"/>
      <c r="DI734" s="1504"/>
      <c r="DJ734" s="1504">
        <f t="shared" si="23"/>
        <v>0</v>
      </c>
      <c r="DK734" s="1504"/>
      <c r="DL734" s="1504"/>
      <c r="DM734" s="1504"/>
      <c r="DN734" s="1504"/>
      <c r="DO734" s="1504">
        <f t="shared" si="24"/>
        <v>0</v>
      </c>
      <c r="DP734" s="1504"/>
      <c r="DQ734" s="1504"/>
      <c r="DR734" s="1504"/>
      <c r="DS734" s="1504"/>
      <c r="DT734" s="6"/>
      <c r="DU734" s="1503">
        <f t="shared" si="25"/>
        <v>0</v>
      </c>
      <c r="DV734" s="1503"/>
      <c r="DW734" s="1503"/>
      <c r="DX734" s="1503"/>
      <c r="DY734" s="1503"/>
      <c r="DZ734" s="1503">
        <f t="shared" si="26"/>
        <v>0</v>
      </c>
      <c r="EA734" s="1503"/>
      <c r="EB734" s="1503"/>
      <c r="EC734" s="1503"/>
      <c r="ED734" s="1503"/>
      <c r="EE734" s="1503">
        <f t="shared" si="27"/>
        <v>1</v>
      </c>
      <c r="EF734" s="1503"/>
      <c r="EG734" s="1503"/>
      <c r="EH734" s="1503"/>
      <c r="EI734" s="1503"/>
      <c r="EJ734" s="1503">
        <f t="shared" si="28"/>
        <v>0</v>
      </c>
      <c r="EK734" s="1503"/>
      <c r="EL734" s="1503"/>
      <c r="EM734" s="1503"/>
      <c r="EN734" s="1503"/>
      <c r="EO734" s="1503">
        <f t="shared" si="29"/>
        <v>0</v>
      </c>
      <c r="EP734" s="1503"/>
      <c r="EQ734" s="1503"/>
      <c r="ER734" s="1503"/>
      <c r="ES734" s="1503"/>
      <c r="ET734" s="1503">
        <f t="shared" si="30"/>
        <v>0</v>
      </c>
      <c r="EU734" s="1503"/>
      <c r="EV734" s="1503"/>
      <c r="EW734" s="1503"/>
      <c r="EX734" s="1503"/>
      <c r="EY734" s="4"/>
      <c r="EZ734" s="1506" t="str">
        <f t="shared" si="31"/>
        <v/>
      </c>
      <c r="FA734" s="1517"/>
      <c r="FB734" s="1517"/>
      <c r="FC734" s="1517"/>
      <c r="FD734" s="1507"/>
      <c r="FE734" s="1506" t="str">
        <f t="shared" si="32"/>
        <v/>
      </c>
      <c r="FF734" s="1517"/>
      <c r="FG734" s="1517"/>
      <c r="FH734" s="1517"/>
      <c r="FI734" s="1507"/>
      <c r="FJ734" s="1506">
        <f t="shared" si="33"/>
        <v>1078</v>
      </c>
      <c r="FK734" s="1517"/>
      <c r="FL734" s="1517"/>
      <c r="FM734" s="1517"/>
      <c r="FN734" s="1507"/>
      <c r="FO734" s="1506" t="str">
        <f t="shared" si="34"/>
        <v/>
      </c>
      <c r="FP734" s="1517"/>
      <c r="FQ734" s="1517"/>
      <c r="FR734" s="1517"/>
      <c r="FS734" s="1507"/>
      <c r="FT734" s="1506" t="str">
        <f t="shared" si="35"/>
        <v/>
      </c>
      <c r="FU734" s="1517"/>
      <c r="FV734" s="1517"/>
      <c r="FW734" s="1517"/>
      <c r="FX734" s="1507"/>
      <c r="FY734" s="1506" t="str">
        <f t="shared" si="36"/>
        <v/>
      </c>
      <c r="FZ734" s="1517"/>
      <c r="GA734" s="1517"/>
      <c r="GB734" s="1517"/>
      <c r="GC734" s="1507"/>
    </row>
    <row r="735" spans="1:185" ht="12.95" customHeight="1">
      <c r="A735" s="4"/>
      <c r="B735" s="1328" t="s">
        <v>163</v>
      </c>
      <c r="C735" s="1329"/>
      <c r="D735" s="1329"/>
      <c r="E735" s="1329"/>
      <c r="F735" s="1330"/>
      <c r="G735" s="1379">
        <v>1</v>
      </c>
      <c r="H735" s="1380"/>
      <c r="I735" s="1380"/>
      <c r="J735" s="1381"/>
      <c r="K735" s="1382">
        <v>881</v>
      </c>
      <c r="L735" s="1383"/>
      <c r="M735" s="1383"/>
      <c r="N735" s="1384"/>
      <c r="O735" s="1374">
        <v>1865</v>
      </c>
      <c r="P735" s="1375"/>
      <c r="Q735" s="1375"/>
      <c r="R735" s="1375"/>
      <c r="S735" s="1376"/>
      <c r="T735" s="1374">
        <v>103</v>
      </c>
      <c r="U735" s="1375"/>
      <c r="V735" s="1375"/>
      <c r="W735" s="1376"/>
      <c r="X735" s="1377">
        <f t="shared" si="9"/>
        <v>1968</v>
      </c>
      <c r="Y735" s="1373"/>
      <c r="Z735" s="1373"/>
      <c r="AA735" s="1373"/>
      <c r="AB735" s="1378"/>
      <c r="AC735" s="1385">
        <v>0.5</v>
      </c>
      <c r="AD735" s="1386"/>
      <c r="AE735" s="1386"/>
      <c r="AF735" s="1386"/>
      <c r="AG735" s="1387"/>
      <c r="AH735" s="1403">
        <f t="shared" si="37"/>
        <v>0.5</v>
      </c>
      <c r="AI735" s="1404"/>
      <c r="AJ735" s="1405"/>
      <c r="AK735" s="1328" t="s">
        <v>591</v>
      </c>
      <c r="AL735" s="1329"/>
      <c r="AM735" s="1329"/>
      <c r="AN735" s="1329"/>
      <c r="AO735" s="1330"/>
      <c r="AP735" s="3"/>
      <c r="AQ735" s="3"/>
      <c r="AR735" s="3"/>
      <c r="AS735" s="3"/>
      <c r="AY735" s="1075"/>
      <c r="AZ735" s="118">
        <f t="shared" si="10"/>
        <v>3936</v>
      </c>
      <c r="BA735" s="3"/>
      <c r="BB735" s="3"/>
      <c r="BC735" s="3"/>
      <c r="BD735" s="3"/>
      <c r="BE735" s="204"/>
      <c r="BF735" s="294">
        <f t="shared" si="11"/>
        <v>1</v>
      </c>
      <c r="BG735" s="297">
        <f t="shared" si="12"/>
        <v>9.3457943925233638E-3</v>
      </c>
      <c r="BH735" s="298">
        <f t="shared" si="13"/>
        <v>4.6728971962616819E-3</v>
      </c>
      <c r="BI735" s="3"/>
      <c r="BJ735" s="3"/>
      <c r="BK735" s="3"/>
      <c r="BL735" s="3"/>
      <c r="BM735" s="3"/>
      <c r="BN735" s="3"/>
      <c r="BS735" s="294">
        <f t="shared" si="14"/>
        <v>1</v>
      </c>
      <c r="BT735" s="297">
        <f t="shared" si="15"/>
        <v>9.3457943925233638E-3</v>
      </c>
      <c r="BU735" s="298">
        <f t="shared" si="16"/>
        <v>4.6728971962616819E-3</v>
      </c>
      <c r="BV735" s="3"/>
      <c r="BW735" s="3"/>
      <c r="BX735" s="3"/>
      <c r="BY735" s="3"/>
      <c r="BZ735" s="3"/>
      <c r="CA735" s="3"/>
      <c r="CB735" s="3"/>
      <c r="CC735" s="3"/>
      <c r="CE735" s="3"/>
      <c r="CF735" s="3"/>
      <c r="CG735" s="1506">
        <f t="shared" si="38"/>
        <v>1</v>
      </c>
      <c r="CH735" s="1507"/>
      <c r="CI735" s="1512">
        <f t="shared" si="39"/>
        <v>1</v>
      </c>
      <c r="CJ735" s="1513"/>
      <c r="CK735" s="1506">
        <f t="shared" si="17"/>
        <v>0</v>
      </c>
      <c r="CL735" s="1507"/>
      <c r="CM735" s="1512">
        <f t="shared" si="18"/>
        <v>0</v>
      </c>
      <c r="CN735" s="1513"/>
      <c r="CO735" s="3"/>
      <c r="CP735" s="1508">
        <f t="shared" si="19"/>
        <v>0</v>
      </c>
      <c r="CQ735" s="1509"/>
      <c r="CR735" s="1509"/>
      <c r="CS735" s="1509"/>
      <c r="CT735" s="1510"/>
      <c r="CU735" s="1504">
        <f t="shared" si="20"/>
        <v>0</v>
      </c>
      <c r="CV735" s="1504"/>
      <c r="CW735" s="1504"/>
      <c r="CX735" s="1504"/>
      <c r="CY735" s="1504"/>
      <c r="CZ735" s="1504">
        <f t="shared" si="21"/>
        <v>1</v>
      </c>
      <c r="DA735" s="1504"/>
      <c r="DB735" s="1504"/>
      <c r="DC735" s="1504"/>
      <c r="DD735" s="1504"/>
      <c r="DE735" s="1504">
        <f t="shared" si="22"/>
        <v>0</v>
      </c>
      <c r="DF735" s="1504"/>
      <c r="DG735" s="1504"/>
      <c r="DH735" s="1504"/>
      <c r="DI735" s="1504"/>
      <c r="DJ735" s="1504">
        <f t="shared" si="23"/>
        <v>0</v>
      </c>
      <c r="DK735" s="1504"/>
      <c r="DL735" s="1504"/>
      <c r="DM735" s="1504"/>
      <c r="DN735" s="1504"/>
      <c r="DO735" s="1504">
        <f t="shared" si="24"/>
        <v>0</v>
      </c>
      <c r="DP735" s="1504"/>
      <c r="DQ735" s="1504"/>
      <c r="DR735" s="1504"/>
      <c r="DS735" s="1504"/>
      <c r="DT735" s="6"/>
      <c r="DU735" s="1503">
        <f t="shared" si="25"/>
        <v>0</v>
      </c>
      <c r="DV735" s="1503"/>
      <c r="DW735" s="1503"/>
      <c r="DX735" s="1503"/>
      <c r="DY735" s="1503"/>
      <c r="DZ735" s="1503">
        <f t="shared" si="26"/>
        <v>0</v>
      </c>
      <c r="EA735" s="1503"/>
      <c r="EB735" s="1503"/>
      <c r="EC735" s="1503"/>
      <c r="ED735" s="1503"/>
      <c r="EE735" s="1503">
        <f t="shared" si="27"/>
        <v>0</v>
      </c>
      <c r="EF735" s="1503"/>
      <c r="EG735" s="1503"/>
      <c r="EH735" s="1503"/>
      <c r="EI735" s="1503"/>
      <c r="EJ735" s="1503">
        <f t="shared" si="28"/>
        <v>0</v>
      </c>
      <c r="EK735" s="1503"/>
      <c r="EL735" s="1503"/>
      <c r="EM735" s="1503"/>
      <c r="EN735" s="1503"/>
      <c r="EO735" s="1503">
        <f t="shared" si="29"/>
        <v>0</v>
      </c>
      <c r="EP735" s="1503"/>
      <c r="EQ735" s="1503"/>
      <c r="ER735" s="1503"/>
      <c r="ES735" s="1503"/>
      <c r="ET735" s="1503">
        <f t="shared" si="30"/>
        <v>0</v>
      </c>
      <c r="EU735" s="1503"/>
      <c r="EV735" s="1503"/>
      <c r="EW735" s="1503"/>
      <c r="EX735" s="1503"/>
      <c r="EY735" s="4"/>
      <c r="EZ735" s="1506" t="str">
        <f t="shared" si="31"/>
        <v/>
      </c>
      <c r="FA735" s="1517"/>
      <c r="FB735" s="1517"/>
      <c r="FC735" s="1517"/>
      <c r="FD735" s="1507"/>
      <c r="FE735" s="1506" t="str">
        <f t="shared" si="32"/>
        <v/>
      </c>
      <c r="FF735" s="1517"/>
      <c r="FG735" s="1517"/>
      <c r="FH735" s="1517"/>
      <c r="FI735" s="1507"/>
      <c r="FJ735" s="1506">
        <f t="shared" si="33"/>
        <v>1865</v>
      </c>
      <c r="FK735" s="1517"/>
      <c r="FL735" s="1517"/>
      <c r="FM735" s="1517"/>
      <c r="FN735" s="1507"/>
      <c r="FO735" s="1506" t="str">
        <f t="shared" si="34"/>
        <v/>
      </c>
      <c r="FP735" s="1517"/>
      <c r="FQ735" s="1517"/>
      <c r="FR735" s="1517"/>
      <c r="FS735" s="1507"/>
      <c r="FT735" s="1506" t="str">
        <f t="shared" si="35"/>
        <v/>
      </c>
      <c r="FU735" s="1517"/>
      <c r="FV735" s="1517"/>
      <c r="FW735" s="1517"/>
      <c r="FX735" s="1507"/>
      <c r="FY735" s="1506" t="str">
        <f t="shared" si="36"/>
        <v/>
      </c>
      <c r="FZ735" s="1517"/>
      <c r="GA735" s="1517"/>
      <c r="GB735" s="1517"/>
      <c r="GC735" s="1507"/>
    </row>
    <row r="736" spans="1:185" ht="12.95" customHeight="1">
      <c r="A736" s="4"/>
      <c r="B736" s="1328" t="s">
        <v>163</v>
      </c>
      <c r="C736" s="1329"/>
      <c r="D736" s="1329"/>
      <c r="E736" s="1329"/>
      <c r="F736" s="1330"/>
      <c r="G736" s="1379">
        <v>3</v>
      </c>
      <c r="H736" s="1380"/>
      <c r="I736" s="1380"/>
      <c r="J736" s="1381"/>
      <c r="K736" s="1382">
        <v>881</v>
      </c>
      <c r="L736" s="1383"/>
      <c r="M736" s="1383"/>
      <c r="N736" s="1384"/>
      <c r="O736" s="1374">
        <v>2259</v>
      </c>
      <c r="P736" s="1375"/>
      <c r="Q736" s="1375"/>
      <c r="R736" s="1375"/>
      <c r="S736" s="1376"/>
      <c r="T736" s="1374">
        <v>103</v>
      </c>
      <c r="U736" s="1375"/>
      <c r="V736" s="1375"/>
      <c r="W736" s="1376"/>
      <c r="X736" s="1377">
        <f t="shared" si="9"/>
        <v>2362</v>
      </c>
      <c r="Y736" s="1373"/>
      <c r="Z736" s="1373"/>
      <c r="AA736" s="1373"/>
      <c r="AB736" s="1378"/>
      <c r="AC736" s="1385">
        <v>0.6</v>
      </c>
      <c r="AD736" s="1386"/>
      <c r="AE736" s="1386"/>
      <c r="AF736" s="1386"/>
      <c r="AG736" s="1387"/>
      <c r="AH736" s="1403">
        <f t="shared" si="37"/>
        <v>0.60010162601626016</v>
      </c>
      <c r="AI736" s="1404"/>
      <c r="AJ736" s="1405"/>
      <c r="AK736" s="1328" t="s">
        <v>591</v>
      </c>
      <c r="AL736" s="1329"/>
      <c r="AM736" s="1329"/>
      <c r="AN736" s="1329"/>
      <c r="AO736" s="1330"/>
      <c r="AP736" s="3"/>
      <c r="AQ736" s="3"/>
      <c r="AR736" s="3"/>
      <c r="AS736" s="3"/>
      <c r="AY736" s="1075"/>
      <c r="AZ736" s="118">
        <f t="shared" si="10"/>
        <v>3936</v>
      </c>
      <c r="BA736" s="3"/>
      <c r="BB736" s="3"/>
      <c r="BC736" s="3"/>
      <c r="BD736" s="3"/>
      <c r="BE736" s="204"/>
      <c r="BF736" s="294">
        <f t="shared" si="11"/>
        <v>3</v>
      </c>
      <c r="BG736" s="297">
        <f t="shared" si="12"/>
        <v>2.8037383177570093E-2</v>
      </c>
      <c r="BH736" s="298">
        <f t="shared" si="13"/>
        <v>1.6822429906542057E-2</v>
      </c>
      <c r="BI736" s="3"/>
      <c r="BJ736" s="3"/>
      <c r="BK736" s="3"/>
      <c r="BL736" s="3"/>
      <c r="BM736" s="3"/>
      <c r="BN736" s="3"/>
      <c r="BS736" s="294">
        <f t="shared" si="14"/>
        <v>3</v>
      </c>
      <c r="BT736" s="297">
        <f t="shared" si="15"/>
        <v>2.8037383177570093E-2</v>
      </c>
      <c r="BU736" s="298">
        <f t="shared" si="16"/>
        <v>1.6825279234100751E-2</v>
      </c>
      <c r="BV736" s="3"/>
      <c r="BW736" s="3"/>
      <c r="BX736" s="3"/>
      <c r="BY736" s="3"/>
      <c r="BZ736" s="3"/>
      <c r="CA736" s="3"/>
      <c r="CB736" s="3"/>
      <c r="CC736" s="3"/>
      <c r="CE736" s="3"/>
      <c r="CF736" s="3"/>
      <c r="CG736" s="1506">
        <f t="shared" si="38"/>
        <v>0</v>
      </c>
      <c r="CH736" s="1507"/>
      <c r="CI736" s="1512">
        <f t="shared" si="39"/>
        <v>0</v>
      </c>
      <c r="CJ736" s="1513"/>
      <c r="CK736" s="1506">
        <f t="shared" si="17"/>
        <v>0</v>
      </c>
      <c r="CL736" s="1507"/>
      <c r="CM736" s="1512">
        <f t="shared" si="18"/>
        <v>0</v>
      </c>
      <c r="CN736" s="1513"/>
      <c r="CO736" s="3"/>
      <c r="CP736" s="1508">
        <f t="shared" si="19"/>
        <v>0</v>
      </c>
      <c r="CQ736" s="1509"/>
      <c r="CR736" s="1509"/>
      <c r="CS736" s="1509"/>
      <c r="CT736" s="1510"/>
      <c r="CU736" s="1504">
        <f t="shared" si="20"/>
        <v>0</v>
      </c>
      <c r="CV736" s="1504"/>
      <c r="CW736" s="1504"/>
      <c r="CX736" s="1504"/>
      <c r="CY736" s="1504"/>
      <c r="CZ736" s="1504">
        <f t="shared" si="21"/>
        <v>3</v>
      </c>
      <c r="DA736" s="1504"/>
      <c r="DB736" s="1504"/>
      <c r="DC736" s="1504"/>
      <c r="DD736" s="1504"/>
      <c r="DE736" s="1504">
        <f t="shared" si="22"/>
        <v>0</v>
      </c>
      <c r="DF736" s="1504"/>
      <c r="DG736" s="1504"/>
      <c r="DH736" s="1504"/>
      <c r="DI736" s="1504"/>
      <c r="DJ736" s="1504">
        <f t="shared" si="23"/>
        <v>0</v>
      </c>
      <c r="DK736" s="1504"/>
      <c r="DL736" s="1504"/>
      <c r="DM736" s="1504"/>
      <c r="DN736" s="1504"/>
      <c r="DO736" s="1504">
        <f t="shared" si="24"/>
        <v>0</v>
      </c>
      <c r="DP736" s="1504"/>
      <c r="DQ736" s="1504"/>
      <c r="DR736" s="1504"/>
      <c r="DS736" s="1504"/>
      <c r="DT736" s="6"/>
      <c r="DU736" s="1503">
        <f t="shared" si="25"/>
        <v>0</v>
      </c>
      <c r="DV736" s="1503"/>
      <c r="DW736" s="1503"/>
      <c r="DX736" s="1503"/>
      <c r="DY736" s="1503"/>
      <c r="DZ736" s="1503">
        <f t="shared" si="26"/>
        <v>0</v>
      </c>
      <c r="EA736" s="1503"/>
      <c r="EB736" s="1503"/>
      <c r="EC736" s="1503"/>
      <c r="ED736" s="1503"/>
      <c r="EE736" s="1503">
        <f t="shared" si="27"/>
        <v>0</v>
      </c>
      <c r="EF736" s="1503"/>
      <c r="EG736" s="1503"/>
      <c r="EH736" s="1503"/>
      <c r="EI736" s="1503"/>
      <c r="EJ736" s="1503">
        <f t="shared" si="28"/>
        <v>0</v>
      </c>
      <c r="EK736" s="1503"/>
      <c r="EL736" s="1503"/>
      <c r="EM736" s="1503"/>
      <c r="EN736" s="1503"/>
      <c r="EO736" s="1503">
        <f t="shared" si="29"/>
        <v>0</v>
      </c>
      <c r="EP736" s="1503"/>
      <c r="EQ736" s="1503"/>
      <c r="ER736" s="1503"/>
      <c r="ES736" s="1503"/>
      <c r="ET736" s="1503">
        <f t="shared" si="30"/>
        <v>0</v>
      </c>
      <c r="EU736" s="1503"/>
      <c r="EV736" s="1503"/>
      <c r="EW736" s="1503"/>
      <c r="EX736" s="1503"/>
      <c r="EY736" s="4"/>
      <c r="EZ736" s="1506" t="str">
        <f t="shared" si="31"/>
        <v/>
      </c>
      <c r="FA736" s="1517"/>
      <c r="FB736" s="1517"/>
      <c r="FC736" s="1517"/>
      <c r="FD736" s="1507"/>
      <c r="FE736" s="1506" t="str">
        <f t="shared" si="32"/>
        <v/>
      </c>
      <c r="FF736" s="1517"/>
      <c r="FG736" s="1517"/>
      <c r="FH736" s="1517"/>
      <c r="FI736" s="1507"/>
      <c r="FJ736" s="1506">
        <f t="shared" si="33"/>
        <v>2259</v>
      </c>
      <c r="FK736" s="1517"/>
      <c r="FL736" s="1517"/>
      <c r="FM736" s="1517"/>
      <c r="FN736" s="1507"/>
      <c r="FO736" s="1506" t="str">
        <f t="shared" si="34"/>
        <v/>
      </c>
      <c r="FP736" s="1517"/>
      <c r="FQ736" s="1517"/>
      <c r="FR736" s="1517"/>
      <c r="FS736" s="1507"/>
      <c r="FT736" s="1506" t="str">
        <f t="shared" si="35"/>
        <v/>
      </c>
      <c r="FU736" s="1517"/>
      <c r="FV736" s="1517"/>
      <c r="FW736" s="1517"/>
      <c r="FX736" s="1507"/>
      <c r="FY736" s="1506" t="str">
        <f t="shared" si="36"/>
        <v/>
      </c>
      <c r="FZ736" s="1517"/>
      <c r="GA736" s="1517"/>
      <c r="GB736" s="1517"/>
      <c r="GC736" s="1507"/>
    </row>
    <row r="737" spans="1:185" ht="12.95" customHeight="1">
      <c r="A737" s="4"/>
      <c r="B737" s="1328" t="s">
        <v>163</v>
      </c>
      <c r="C737" s="1329"/>
      <c r="D737" s="1329"/>
      <c r="E737" s="1329"/>
      <c r="F737" s="1330"/>
      <c r="G737" s="1379">
        <v>24</v>
      </c>
      <c r="H737" s="1380"/>
      <c r="I737" s="1380"/>
      <c r="J737" s="1381"/>
      <c r="K737" s="1382">
        <v>881</v>
      </c>
      <c r="L737" s="1383"/>
      <c r="M737" s="1383"/>
      <c r="N737" s="1384"/>
      <c r="O737" s="1374">
        <v>2653</v>
      </c>
      <c r="P737" s="1375"/>
      <c r="Q737" s="1375"/>
      <c r="R737" s="1375"/>
      <c r="S737" s="1376"/>
      <c r="T737" s="1374">
        <v>103</v>
      </c>
      <c r="U737" s="1375"/>
      <c r="V737" s="1375"/>
      <c r="W737" s="1376"/>
      <c r="X737" s="1377">
        <f t="shared" si="9"/>
        <v>2756</v>
      </c>
      <c r="Y737" s="1373"/>
      <c r="Z737" s="1373"/>
      <c r="AA737" s="1373"/>
      <c r="AB737" s="1378"/>
      <c r="AC737" s="1385">
        <v>0.7</v>
      </c>
      <c r="AD737" s="1386"/>
      <c r="AE737" s="1386"/>
      <c r="AF737" s="1386"/>
      <c r="AG737" s="1387"/>
      <c r="AH737" s="1403">
        <f t="shared" si="37"/>
        <v>0.70020325203252032</v>
      </c>
      <c r="AI737" s="1404"/>
      <c r="AJ737" s="1405"/>
      <c r="AK737" s="1328" t="s">
        <v>591</v>
      </c>
      <c r="AL737" s="1329"/>
      <c r="AM737" s="1329"/>
      <c r="AN737" s="1329"/>
      <c r="AO737" s="1330"/>
      <c r="AP737" s="3"/>
      <c r="AQ737" s="3"/>
      <c r="AR737" s="3"/>
      <c r="AS737" s="3"/>
      <c r="AY737" s="1075"/>
      <c r="AZ737" s="118">
        <f t="shared" si="10"/>
        <v>3936</v>
      </c>
      <c r="BA737" s="3"/>
      <c r="BB737" s="3"/>
      <c r="BC737" s="3"/>
      <c r="BD737" s="3"/>
      <c r="BE737" s="204"/>
      <c r="BF737" s="294">
        <f t="shared" si="11"/>
        <v>24</v>
      </c>
      <c r="BG737" s="297">
        <f t="shared" si="12"/>
        <v>0.22429906542056074</v>
      </c>
      <c r="BH737" s="298">
        <f t="shared" si="13"/>
        <v>0.15700934579439252</v>
      </c>
      <c r="BI737" s="3"/>
      <c r="BJ737" s="3"/>
      <c r="BK737" s="3"/>
      <c r="BL737" s="3"/>
      <c r="BM737" s="3"/>
      <c r="BN737" s="3"/>
      <c r="BS737" s="294">
        <f t="shared" si="14"/>
        <v>24</v>
      </c>
      <c r="BT737" s="297">
        <f t="shared" si="15"/>
        <v>0.22429906542056074</v>
      </c>
      <c r="BU737" s="298">
        <f t="shared" si="16"/>
        <v>0.15705493503533166</v>
      </c>
      <c r="BV737" s="3"/>
      <c r="BW737" s="3"/>
      <c r="BX737" s="3"/>
      <c r="BY737" s="3"/>
      <c r="BZ737" s="3"/>
      <c r="CA737" s="3"/>
      <c r="CB737" s="3"/>
      <c r="CC737" s="3"/>
      <c r="CE737" s="3"/>
      <c r="CF737" s="3"/>
      <c r="CG737" s="1506">
        <f t="shared" si="38"/>
        <v>0</v>
      </c>
      <c r="CH737" s="1507"/>
      <c r="CI737" s="1512">
        <f t="shared" si="39"/>
        <v>0</v>
      </c>
      <c r="CJ737" s="1513"/>
      <c r="CK737" s="1506">
        <f t="shared" si="17"/>
        <v>0</v>
      </c>
      <c r="CL737" s="1507"/>
      <c r="CM737" s="1512">
        <f t="shared" si="18"/>
        <v>0</v>
      </c>
      <c r="CN737" s="1513"/>
      <c r="CO737" s="3"/>
      <c r="CP737" s="1508">
        <f t="shared" si="19"/>
        <v>0</v>
      </c>
      <c r="CQ737" s="1509"/>
      <c r="CR737" s="1509"/>
      <c r="CS737" s="1509"/>
      <c r="CT737" s="1510"/>
      <c r="CU737" s="1504">
        <f t="shared" si="20"/>
        <v>0</v>
      </c>
      <c r="CV737" s="1504"/>
      <c r="CW737" s="1504"/>
      <c r="CX737" s="1504"/>
      <c r="CY737" s="1504"/>
      <c r="CZ737" s="1504">
        <f t="shared" si="21"/>
        <v>24</v>
      </c>
      <c r="DA737" s="1504"/>
      <c r="DB737" s="1504"/>
      <c r="DC737" s="1504"/>
      <c r="DD737" s="1504"/>
      <c r="DE737" s="1504">
        <f t="shared" si="22"/>
        <v>0</v>
      </c>
      <c r="DF737" s="1504"/>
      <c r="DG737" s="1504"/>
      <c r="DH737" s="1504"/>
      <c r="DI737" s="1504"/>
      <c r="DJ737" s="1504">
        <f t="shared" si="23"/>
        <v>0</v>
      </c>
      <c r="DK737" s="1504"/>
      <c r="DL737" s="1504"/>
      <c r="DM737" s="1504"/>
      <c r="DN737" s="1504"/>
      <c r="DO737" s="1504">
        <f t="shared" si="24"/>
        <v>0</v>
      </c>
      <c r="DP737" s="1504"/>
      <c r="DQ737" s="1504"/>
      <c r="DR737" s="1504"/>
      <c r="DS737" s="1504"/>
      <c r="DT737" s="6"/>
      <c r="DU737" s="1503">
        <f t="shared" si="25"/>
        <v>0</v>
      </c>
      <c r="DV737" s="1503"/>
      <c r="DW737" s="1503"/>
      <c r="DX737" s="1503"/>
      <c r="DY737" s="1503"/>
      <c r="DZ737" s="1503">
        <f t="shared" si="26"/>
        <v>0</v>
      </c>
      <c r="EA737" s="1503"/>
      <c r="EB737" s="1503"/>
      <c r="EC737" s="1503"/>
      <c r="ED737" s="1503"/>
      <c r="EE737" s="1503">
        <f t="shared" si="27"/>
        <v>0</v>
      </c>
      <c r="EF737" s="1503"/>
      <c r="EG737" s="1503"/>
      <c r="EH737" s="1503"/>
      <c r="EI737" s="1503"/>
      <c r="EJ737" s="1503">
        <f t="shared" si="28"/>
        <v>0</v>
      </c>
      <c r="EK737" s="1503"/>
      <c r="EL737" s="1503"/>
      <c r="EM737" s="1503"/>
      <c r="EN737" s="1503"/>
      <c r="EO737" s="1503">
        <f t="shared" si="29"/>
        <v>0</v>
      </c>
      <c r="EP737" s="1503"/>
      <c r="EQ737" s="1503"/>
      <c r="ER737" s="1503"/>
      <c r="ES737" s="1503"/>
      <c r="ET737" s="1503">
        <f t="shared" si="30"/>
        <v>0</v>
      </c>
      <c r="EU737" s="1503"/>
      <c r="EV737" s="1503"/>
      <c r="EW737" s="1503"/>
      <c r="EX737" s="1503"/>
      <c r="EZ737" s="1506" t="str">
        <f t="shared" si="31"/>
        <v/>
      </c>
      <c r="FA737" s="1517"/>
      <c r="FB737" s="1517"/>
      <c r="FC737" s="1517"/>
      <c r="FD737" s="1507"/>
      <c r="FE737" s="1506" t="str">
        <f t="shared" si="32"/>
        <v/>
      </c>
      <c r="FF737" s="1517"/>
      <c r="FG737" s="1517"/>
      <c r="FH737" s="1517"/>
      <c r="FI737" s="1507"/>
      <c r="FJ737" s="1506">
        <f t="shared" si="33"/>
        <v>2653</v>
      </c>
      <c r="FK737" s="1517"/>
      <c r="FL737" s="1517"/>
      <c r="FM737" s="1517"/>
      <c r="FN737" s="1507"/>
      <c r="FO737" s="1506" t="str">
        <f t="shared" si="34"/>
        <v/>
      </c>
      <c r="FP737" s="1517"/>
      <c r="FQ737" s="1517"/>
      <c r="FR737" s="1517"/>
      <c r="FS737" s="1507"/>
      <c r="FT737" s="1506" t="str">
        <f t="shared" si="35"/>
        <v/>
      </c>
      <c r="FU737" s="1517"/>
      <c r="FV737" s="1517"/>
      <c r="FW737" s="1517"/>
      <c r="FX737" s="1507"/>
      <c r="FY737" s="1506" t="str">
        <f t="shared" si="36"/>
        <v/>
      </c>
      <c r="FZ737" s="1517"/>
      <c r="GA737" s="1517"/>
      <c r="GB737" s="1517"/>
      <c r="GC737" s="1507"/>
    </row>
    <row r="738" spans="1:185" ht="12.95" customHeight="1">
      <c r="B738" s="1328"/>
      <c r="C738" s="1329"/>
      <c r="D738" s="1329"/>
      <c r="E738" s="1329"/>
      <c r="F738" s="1330"/>
      <c r="G738" s="1379"/>
      <c r="H738" s="1380"/>
      <c r="I738" s="1380"/>
      <c r="J738" s="1381"/>
      <c r="K738" s="1382"/>
      <c r="L738" s="1383"/>
      <c r="M738" s="1383"/>
      <c r="N738" s="1384"/>
      <c r="O738" s="1374"/>
      <c r="P738" s="1375"/>
      <c r="Q738" s="1375"/>
      <c r="R738" s="1375"/>
      <c r="S738" s="1376"/>
      <c r="T738" s="1374"/>
      <c r="U738" s="1375"/>
      <c r="V738" s="1375"/>
      <c r="W738" s="1376"/>
      <c r="X738" s="1377">
        <f t="shared" si="9"/>
        <v>0</v>
      </c>
      <c r="Y738" s="1373"/>
      <c r="Z738" s="1373"/>
      <c r="AA738" s="1373"/>
      <c r="AB738" s="1378"/>
      <c r="AC738" s="1385"/>
      <c r="AD738" s="1386"/>
      <c r="AE738" s="1386"/>
      <c r="AF738" s="1386"/>
      <c r="AG738" s="1387"/>
      <c r="AH738" s="1403" t="str">
        <f t="shared" si="37"/>
        <v/>
      </c>
      <c r="AI738" s="1404"/>
      <c r="AJ738" s="1405"/>
      <c r="AK738" s="1328" t="s">
        <v>591</v>
      </c>
      <c r="AL738" s="1329"/>
      <c r="AM738" s="1329"/>
      <c r="AN738" s="1329"/>
      <c r="AO738" s="1330"/>
      <c r="AP738" s="3"/>
      <c r="AQ738" s="3"/>
      <c r="AR738" s="3"/>
      <c r="AS738" s="3"/>
      <c r="AY738" s="1075"/>
      <c r="AZ738" s="118" t="str">
        <f t="shared" si="10"/>
        <v>N/A</v>
      </c>
      <c r="BA738" s="3"/>
      <c r="BB738" s="3"/>
      <c r="BC738" s="3"/>
      <c r="BD738" s="3"/>
      <c r="BE738" s="204"/>
      <c r="BF738" s="294">
        <f t="shared" si="11"/>
        <v>0</v>
      </c>
      <c r="BG738" s="297">
        <f t="shared" si="12"/>
        <v>0</v>
      </c>
      <c r="BH738" s="298" t="str">
        <f t="shared" si="13"/>
        <v/>
      </c>
      <c r="BI738" s="3"/>
      <c r="BJ738" s="3"/>
      <c r="BK738" s="3"/>
      <c r="BL738" s="3"/>
      <c r="BM738" s="3"/>
      <c r="BN738" s="3"/>
      <c r="BS738" s="294">
        <f t="shared" si="14"/>
        <v>0</v>
      </c>
      <c r="BT738" s="297">
        <f t="shared" si="15"/>
        <v>0</v>
      </c>
      <c r="BU738" s="298" t="str">
        <f t="shared" si="16"/>
        <v/>
      </c>
      <c r="BV738" s="3"/>
      <c r="BW738" s="3"/>
      <c r="BX738" s="3"/>
      <c r="BY738" s="3"/>
      <c r="BZ738" s="3"/>
      <c r="CA738" s="3"/>
      <c r="CB738" s="3"/>
      <c r="CC738" s="3"/>
      <c r="CE738" s="3"/>
      <c r="CF738" s="3"/>
      <c r="CG738" s="1506">
        <f t="shared" si="38"/>
        <v>0</v>
      </c>
      <c r="CH738" s="1507"/>
      <c r="CI738" s="1512">
        <f t="shared" si="39"/>
        <v>0</v>
      </c>
      <c r="CJ738" s="1513"/>
      <c r="CK738" s="1506">
        <f t="shared" si="17"/>
        <v>0</v>
      </c>
      <c r="CL738" s="1507"/>
      <c r="CM738" s="1512">
        <f t="shared" si="18"/>
        <v>0</v>
      </c>
      <c r="CN738" s="1513"/>
      <c r="CO738" s="3"/>
      <c r="CP738" s="1508">
        <f t="shared" si="19"/>
        <v>0</v>
      </c>
      <c r="CQ738" s="1509"/>
      <c r="CR738" s="1509"/>
      <c r="CS738" s="1509"/>
      <c r="CT738" s="1510"/>
      <c r="CU738" s="1504">
        <f t="shared" si="20"/>
        <v>0</v>
      </c>
      <c r="CV738" s="1504"/>
      <c r="CW738" s="1504"/>
      <c r="CX738" s="1504"/>
      <c r="CY738" s="1504"/>
      <c r="CZ738" s="1504">
        <f t="shared" si="21"/>
        <v>0</v>
      </c>
      <c r="DA738" s="1504"/>
      <c r="DB738" s="1504"/>
      <c r="DC738" s="1504"/>
      <c r="DD738" s="1504"/>
      <c r="DE738" s="1504">
        <f t="shared" si="22"/>
        <v>0</v>
      </c>
      <c r="DF738" s="1504"/>
      <c r="DG738" s="1504"/>
      <c r="DH738" s="1504"/>
      <c r="DI738" s="1504"/>
      <c r="DJ738" s="1504">
        <f t="shared" si="23"/>
        <v>0</v>
      </c>
      <c r="DK738" s="1504"/>
      <c r="DL738" s="1504"/>
      <c r="DM738" s="1504"/>
      <c r="DN738" s="1504"/>
      <c r="DO738" s="1504">
        <f t="shared" si="24"/>
        <v>0</v>
      </c>
      <c r="DP738" s="1504"/>
      <c r="DQ738" s="1504"/>
      <c r="DR738" s="1504"/>
      <c r="DS738" s="1504"/>
      <c r="DT738" s="6"/>
      <c r="DU738" s="1503">
        <f t="shared" si="25"/>
        <v>0</v>
      </c>
      <c r="DV738" s="1503"/>
      <c r="DW738" s="1503"/>
      <c r="DX738" s="1503"/>
      <c r="DY738" s="1503"/>
      <c r="DZ738" s="1503">
        <f t="shared" si="26"/>
        <v>0</v>
      </c>
      <c r="EA738" s="1503"/>
      <c r="EB738" s="1503"/>
      <c r="EC738" s="1503"/>
      <c r="ED738" s="1503"/>
      <c r="EE738" s="1503">
        <f t="shared" si="27"/>
        <v>0</v>
      </c>
      <c r="EF738" s="1503"/>
      <c r="EG738" s="1503"/>
      <c r="EH738" s="1503"/>
      <c r="EI738" s="1503"/>
      <c r="EJ738" s="1503">
        <f t="shared" si="28"/>
        <v>0</v>
      </c>
      <c r="EK738" s="1503"/>
      <c r="EL738" s="1503"/>
      <c r="EM738" s="1503"/>
      <c r="EN738" s="1503"/>
      <c r="EO738" s="1503">
        <f t="shared" si="29"/>
        <v>0</v>
      </c>
      <c r="EP738" s="1503"/>
      <c r="EQ738" s="1503"/>
      <c r="ER738" s="1503"/>
      <c r="ES738" s="1503"/>
      <c r="ET738" s="1503">
        <f t="shared" si="30"/>
        <v>0</v>
      </c>
      <c r="EU738" s="1503"/>
      <c r="EV738" s="1503"/>
      <c r="EW738" s="1503"/>
      <c r="EX738" s="1503"/>
      <c r="EZ738" s="1506" t="str">
        <f t="shared" si="31"/>
        <v/>
      </c>
      <c r="FA738" s="1517"/>
      <c r="FB738" s="1517"/>
      <c r="FC738" s="1517"/>
      <c r="FD738" s="1507"/>
      <c r="FE738" s="1506" t="str">
        <f t="shared" si="32"/>
        <v/>
      </c>
      <c r="FF738" s="1517"/>
      <c r="FG738" s="1517"/>
      <c r="FH738" s="1517"/>
      <c r="FI738" s="1507"/>
      <c r="FJ738" s="1506" t="str">
        <f t="shared" si="33"/>
        <v/>
      </c>
      <c r="FK738" s="1517"/>
      <c r="FL738" s="1517"/>
      <c r="FM738" s="1517"/>
      <c r="FN738" s="1507"/>
      <c r="FO738" s="1506" t="str">
        <f t="shared" si="34"/>
        <v/>
      </c>
      <c r="FP738" s="1517"/>
      <c r="FQ738" s="1517"/>
      <c r="FR738" s="1517"/>
      <c r="FS738" s="1507"/>
      <c r="FT738" s="1506" t="str">
        <f t="shared" si="35"/>
        <v/>
      </c>
      <c r="FU738" s="1517"/>
      <c r="FV738" s="1517"/>
      <c r="FW738" s="1517"/>
      <c r="FX738" s="1507"/>
      <c r="FY738" s="1506" t="str">
        <f t="shared" si="36"/>
        <v/>
      </c>
      <c r="FZ738" s="1517"/>
      <c r="GA738" s="1517"/>
      <c r="GB738" s="1517"/>
      <c r="GC738" s="1507"/>
    </row>
    <row r="739" spans="1:185" ht="12.95" customHeight="1">
      <c r="B739" s="1328"/>
      <c r="C739" s="1329"/>
      <c r="D739" s="1329"/>
      <c r="E739" s="1329"/>
      <c r="F739" s="1330"/>
      <c r="G739" s="1379"/>
      <c r="H739" s="1380"/>
      <c r="I739" s="1380"/>
      <c r="J739" s="1381"/>
      <c r="K739" s="1382"/>
      <c r="L739" s="1383"/>
      <c r="M739" s="1383"/>
      <c r="N739" s="1384"/>
      <c r="O739" s="1374"/>
      <c r="P739" s="1375"/>
      <c r="Q739" s="1375"/>
      <c r="R739" s="1375"/>
      <c r="S739" s="1376"/>
      <c r="T739" s="1374"/>
      <c r="U739" s="1375"/>
      <c r="V739" s="1375"/>
      <c r="W739" s="1376"/>
      <c r="X739" s="1377">
        <f t="shared" si="9"/>
        <v>0</v>
      </c>
      <c r="Y739" s="1373"/>
      <c r="Z739" s="1373"/>
      <c r="AA739" s="1373"/>
      <c r="AB739" s="1378"/>
      <c r="AC739" s="1385"/>
      <c r="AD739" s="1386"/>
      <c r="AE739" s="1386"/>
      <c r="AF739" s="1386"/>
      <c r="AG739" s="1387"/>
      <c r="AH739" s="1403" t="str">
        <f t="shared" si="37"/>
        <v/>
      </c>
      <c r="AI739" s="1404"/>
      <c r="AJ739" s="1405"/>
      <c r="AK739" s="1328" t="s">
        <v>591</v>
      </c>
      <c r="AL739" s="1329"/>
      <c r="AM739" s="1329"/>
      <c r="AN739" s="1329"/>
      <c r="AO739" s="1330"/>
      <c r="AP739" s="3"/>
      <c r="AQ739" s="3"/>
      <c r="AR739" s="3"/>
      <c r="AS739" s="3"/>
      <c r="AY739" s="1075"/>
      <c r="AZ739" s="118" t="str">
        <f t="shared" si="10"/>
        <v>N/A</v>
      </c>
      <c r="BA739" s="3"/>
      <c r="BB739" s="3"/>
      <c r="BC739" s="3"/>
      <c r="BD739" s="3"/>
      <c r="BE739" s="204"/>
      <c r="BF739" s="294">
        <f t="shared" si="11"/>
        <v>0</v>
      </c>
      <c r="BG739" s="297">
        <f t="shared" si="12"/>
        <v>0</v>
      </c>
      <c r="BH739" s="298" t="str">
        <f t="shared" si="13"/>
        <v/>
      </c>
      <c r="BI739" s="3"/>
      <c r="BJ739" s="3"/>
      <c r="BK739" s="3"/>
      <c r="BL739" s="3"/>
      <c r="BM739" s="3"/>
      <c r="BN739" s="3"/>
      <c r="BS739" s="294">
        <f t="shared" si="14"/>
        <v>0</v>
      </c>
      <c r="BT739" s="297">
        <f t="shared" si="15"/>
        <v>0</v>
      </c>
      <c r="BU739" s="298" t="str">
        <f t="shared" si="16"/>
        <v/>
      </c>
      <c r="BV739" s="3"/>
      <c r="BW739" s="3"/>
      <c r="BX739" s="3"/>
      <c r="BY739" s="3"/>
      <c r="BZ739" s="3"/>
      <c r="CA739" s="3"/>
      <c r="CB739" s="3"/>
      <c r="CC739" s="3"/>
      <c r="CE739" s="3"/>
      <c r="CF739" s="3"/>
      <c r="CG739" s="1506">
        <f t="shared" si="38"/>
        <v>0</v>
      </c>
      <c r="CH739" s="1507"/>
      <c r="CI739" s="1512">
        <f t="shared" si="39"/>
        <v>0</v>
      </c>
      <c r="CJ739" s="1513"/>
      <c r="CK739" s="1506">
        <f t="shared" si="17"/>
        <v>0</v>
      </c>
      <c r="CL739" s="1507"/>
      <c r="CM739" s="1512">
        <f t="shared" si="18"/>
        <v>0</v>
      </c>
      <c r="CN739" s="1513"/>
      <c r="CO739" s="3"/>
      <c r="CP739" s="1508">
        <f t="shared" si="19"/>
        <v>0</v>
      </c>
      <c r="CQ739" s="1509"/>
      <c r="CR739" s="1509"/>
      <c r="CS739" s="1509"/>
      <c r="CT739" s="1510"/>
      <c r="CU739" s="1504">
        <f t="shared" si="20"/>
        <v>0</v>
      </c>
      <c r="CV739" s="1504"/>
      <c r="CW739" s="1504"/>
      <c r="CX739" s="1504"/>
      <c r="CY739" s="1504"/>
      <c r="CZ739" s="1504">
        <f t="shared" si="21"/>
        <v>0</v>
      </c>
      <c r="DA739" s="1504"/>
      <c r="DB739" s="1504"/>
      <c r="DC739" s="1504"/>
      <c r="DD739" s="1504"/>
      <c r="DE739" s="1504">
        <f t="shared" si="22"/>
        <v>0</v>
      </c>
      <c r="DF739" s="1504"/>
      <c r="DG739" s="1504"/>
      <c r="DH739" s="1504"/>
      <c r="DI739" s="1504"/>
      <c r="DJ739" s="1504">
        <f t="shared" si="23"/>
        <v>0</v>
      </c>
      <c r="DK739" s="1504"/>
      <c r="DL739" s="1504"/>
      <c r="DM739" s="1504"/>
      <c r="DN739" s="1504"/>
      <c r="DO739" s="1504">
        <f t="shared" si="24"/>
        <v>0</v>
      </c>
      <c r="DP739" s="1504"/>
      <c r="DQ739" s="1504"/>
      <c r="DR739" s="1504"/>
      <c r="DS739" s="1504"/>
      <c r="DT739" s="6"/>
      <c r="DU739" s="1503">
        <f t="shared" si="25"/>
        <v>0</v>
      </c>
      <c r="DV739" s="1503"/>
      <c r="DW739" s="1503"/>
      <c r="DX739" s="1503"/>
      <c r="DY739" s="1503"/>
      <c r="DZ739" s="1503">
        <f t="shared" si="26"/>
        <v>0</v>
      </c>
      <c r="EA739" s="1503"/>
      <c r="EB739" s="1503"/>
      <c r="EC739" s="1503"/>
      <c r="ED739" s="1503"/>
      <c r="EE739" s="1503">
        <f t="shared" si="27"/>
        <v>0</v>
      </c>
      <c r="EF739" s="1503"/>
      <c r="EG739" s="1503"/>
      <c r="EH739" s="1503"/>
      <c r="EI739" s="1503"/>
      <c r="EJ739" s="1503">
        <f t="shared" si="28"/>
        <v>0</v>
      </c>
      <c r="EK739" s="1503"/>
      <c r="EL739" s="1503"/>
      <c r="EM739" s="1503"/>
      <c r="EN739" s="1503"/>
      <c r="EO739" s="1503">
        <f t="shared" si="29"/>
        <v>0</v>
      </c>
      <c r="EP739" s="1503"/>
      <c r="EQ739" s="1503"/>
      <c r="ER739" s="1503"/>
      <c r="ES739" s="1503"/>
      <c r="ET739" s="1503">
        <f t="shared" si="30"/>
        <v>0</v>
      </c>
      <c r="EU739" s="1503"/>
      <c r="EV739" s="1503"/>
      <c r="EW739" s="1503"/>
      <c r="EX739" s="1503"/>
      <c r="EZ739" s="1506" t="str">
        <f t="shared" si="31"/>
        <v/>
      </c>
      <c r="FA739" s="1517"/>
      <c r="FB739" s="1517"/>
      <c r="FC739" s="1517"/>
      <c r="FD739" s="1507"/>
      <c r="FE739" s="1506" t="str">
        <f t="shared" si="32"/>
        <v/>
      </c>
      <c r="FF739" s="1517"/>
      <c r="FG739" s="1517"/>
      <c r="FH739" s="1517"/>
      <c r="FI739" s="1507"/>
      <c r="FJ739" s="1506" t="str">
        <f t="shared" si="33"/>
        <v/>
      </c>
      <c r="FK739" s="1517"/>
      <c r="FL739" s="1517"/>
      <c r="FM739" s="1517"/>
      <c r="FN739" s="1507"/>
      <c r="FO739" s="1506" t="str">
        <f t="shared" si="34"/>
        <v/>
      </c>
      <c r="FP739" s="1517"/>
      <c r="FQ739" s="1517"/>
      <c r="FR739" s="1517"/>
      <c r="FS739" s="1507"/>
      <c r="FT739" s="1506" t="str">
        <f t="shared" si="35"/>
        <v/>
      </c>
      <c r="FU739" s="1517"/>
      <c r="FV739" s="1517"/>
      <c r="FW739" s="1517"/>
      <c r="FX739" s="1507"/>
      <c r="FY739" s="1506" t="str">
        <f t="shared" si="36"/>
        <v/>
      </c>
      <c r="FZ739" s="1517"/>
      <c r="GA739" s="1517"/>
      <c r="GB739" s="1517"/>
      <c r="GC739" s="1507"/>
    </row>
    <row r="740" spans="1:185" ht="12.95" customHeight="1">
      <c r="B740" s="1328"/>
      <c r="C740" s="1329"/>
      <c r="D740" s="1329"/>
      <c r="E740" s="1329"/>
      <c r="F740" s="1330"/>
      <c r="G740" s="1379"/>
      <c r="H740" s="1380"/>
      <c r="I740" s="1380"/>
      <c r="J740" s="1381"/>
      <c r="K740" s="1382"/>
      <c r="L740" s="1383"/>
      <c r="M740" s="1383"/>
      <c r="N740" s="1384"/>
      <c r="O740" s="1374"/>
      <c r="P740" s="1375"/>
      <c r="Q740" s="1375"/>
      <c r="R740" s="1375"/>
      <c r="S740" s="1376"/>
      <c r="T740" s="1374"/>
      <c r="U740" s="1375"/>
      <c r="V740" s="1375"/>
      <c r="W740" s="1376"/>
      <c r="X740" s="1377">
        <f t="shared" si="9"/>
        <v>0</v>
      </c>
      <c r="Y740" s="1373"/>
      <c r="Z740" s="1373"/>
      <c r="AA740" s="1373"/>
      <c r="AB740" s="1378"/>
      <c r="AC740" s="1385"/>
      <c r="AD740" s="1386"/>
      <c r="AE740" s="1386"/>
      <c r="AF740" s="1386"/>
      <c r="AG740" s="1387"/>
      <c r="AH740" s="1403" t="str">
        <f t="shared" si="37"/>
        <v/>
      </c>
      <c r="AI740" s="1404"/>
      <c r="AJ740" s="1405"/>
      <c r="AK740" s="1328" t="s">
        <v>591</v>
      </c>
      <c r="AL740" s="1329"/>
      <c r="AM740" s="1329"/>
      <c r="AN740" s="1329"/>
      <c r="AO740" s="1330"/>
      <c r="AP740" s="3"/>
      <c r="AQ740" s="3"/>
      <c r="AR740" s="3"/>
      <c r="AS740" s="3"/>
      <c r="AY740" s="1075"/>
      <c r="AZ740" s="118" t="str">
        <f t="shared" si="10"/>
        <v>N/A</v>
      </c>
      <c r="BA740" s="3"/>
      <c r="BB740" s="3"/>
      <c r="BC740" s="3"/>
      <c r="BD740" s="3"/>
      <c r="BE740" s="204"/>
      <c r="BF740" s="294">
        <f t="shared" si="11"/>
        <v>0</v>
      </c>
      <c r="BG740" s="297">
        <f t="shared" si="12"/>
        <v>0</v>
      </c>
      <c r="BH740" s="298" t="str">
        <f t="shared" si="13"/>
        <v/>
      </c>
      <c r="BI740" s="3"/>
      <c r="BJ740" s="3"/>
      <c r="BK740" s="3"/>
      <c r="BL740" s="3"/>
      <c r="BM740" s="3"/>
      <c r="BN740" s="3"/>
      <c r="BS740" s="294">
        <f t="shared" si="14"/>
        <v>0</v>
      </c>
      <c r="BT740" s="297">
        <f t="shared" si="15"/>
        <v>0</v>
      </c>
      <c r="BU740" s="298" t="str">
        <f t="shared" si="16"/>
        <v/>
      </c>
      <c r="BV740" s="3"/>
      <c r="BW740" s="3"/>
      <c r="BX740" s="3"/>
      <c r="BY740" s="3"/>
      <c r="BZ740" s="3"/>
      <c r="CA740" s="3"/>
      <c r="CB740" s="3"/>
      <c r="CC740" s="3"/>
      <c r="CE740" s="3"/>
      <c r="CF740" s="3"/>
      <c r="CG740" s="1506">
        <f t="shared" si="38"/>
        <v>0</v>
      </c>
      <c r="CH740" s="1507"/>
      <c r="CI740" s="1512">
        <f t="shared" si="39"/>
        <v>0</v>
      </c>
      <c r="CJ740" s="1513"/>
      <c r="CK740" s="1506">
        <f t="shared" si="17"/>
        <v>0</v>
      </c>
      <c r="CL740" s="1507"/>
      <c r="CM740" s="1512">
        <f t="shared" si="18"/>
        <v>0</v>
      </c>
      <c r="CN740" s="1513"/>
      <c r="CO740" s="3"/>
      <c r="CP740" s="1508">
        <f t="shared" si="19"/>
        <v>0</v>
      </c>
      <c r="CQ740" s="1509"/>
      <c r="CR740" s="1509"/>
      <c r="CS740" s="1509"/>
      <c r="CT740" s="1510"/>
      <c r="CU740" s="1504">
        <f t="shared" si="20"/>
        <v>0</v>
      </c>
      <c r="CV740" s="1504"/>
      <c r="CW740" s="1504"/>
      <c r="CX740" s="1504"/>
      <c r="CY740" s="1504"/>
      <c r="CZ740" s="1504">
        <f t="shared" si="21"/>
        <v>0</v>
      </c>
      <c r="DA740" s="1504"/>
      <c r="DB740" s="1504"/>
      <c r="DC740" s="1504"/>
      <c r="DD740" s="1504"/>
      <c r="DE740" s="1504">
        <f t="shared" si="22"/>
        <v>0</v>
      </c>
      <c r="DF740" s="1504"/>
      <c r="DG740" s="1504"/>
      <c r="DH740" s="1504"/>
      <c r="DI740" s="1504"/>
      <c r="DJ740" s="1504">
        <f t="shared" si="23"/>
        <v>0</v>
      </c>
      <c r="DK740" s="1504"/>
      <c r="DL740" s="1504"/>
      <c r="DM740" s="1504"/>
      <c r="DN740" s="1504"/>
      <c r="DO740" s="1504">
        <f t="shared" si="24"/>
        <v>0</v>
      </c>
      <c r="DP740" s="1504"/>
      <c r="DQ740" s="1504"/>
      <c r="DR740" s="1504"/>
      <c r="DS740" s="1504"/>
      <c r="DT740" s="6"/>
      <c r="DU740" s="1503">
        <f t="shared" si="25"/>
        <v>0</v>
      </c>
      <c r="DV740" s="1503"/>
      <c r="DW740" s="1503"/>
      <c r="DX740" s="1503"/>
      <c r="DY740" s="1503"/>
      <c r="DZ740" s="1503">
        <f t="shared" si="26"/>
        <v>0</v>
      </c>
      <c r="EA740" s="1503"/>
      <c r="EB740" s="1503"/>
      <c r="EC740" s="1503"/>
      <c r="ED740" s="1503"/>
      <c r="EE740" s="1503">
        <f t="shared" si="27"/>
        <v>0</v>
      </c>
      <c r="EF740" s="1503"/>
      <c r="EG740" s="1503"/>
      <c r="EH740" s="1503"/>
      <c r="EI740" s="1503"/>
      <c r="EJ740" s="1503">
        <f t="shared" si="28"/>
        <v>0</v>
      </c>
      <c r="EK740" s="1503"/>
      <c r="EL740" s="1503"/>
      <c r="EM740" s="1503"/>
      <c r="EN740" s="1503"/>
      <c r="EO740" s="1503">
        <f t="shared" si="29"/>
        <v>0</v>
      </c>
      <c r="EP740" s="1503"/>
      <c r="EQ740" s="1503"/>
      <c r="ER740" s="1503"/>
      <c r="ES740" s="1503"/>
      <c r="ET740" s="1503">
        <f t="shared" si="30"/>
        <v>0</v>
      </c>
      <c r="EU740" s="1503"/>
      <c r="EV740" s="1503"/>
      <c r="EW740" s="1503"/>
      <c r="EX740" s="1503"/>
      <c r="EZ740" s="1506" t="str">
        <f t="shared" si="31"/>
        <v/>
      </c>
      <c r="FA740" s="1517"/>
      <c r="FB740" s="1517"/>
      <c r="FC740" s="1517"/>
      <c r="FD740" s="1507"/>
      <c r="FE740" s="1506" t="str">
        <f t="shared" si="32"/>
        <v/>
      </c>
      <c r="FF740" s="1517"/>
      <c r="FG740" s="1517"/>
      <c r="FH740" s="1517"/>
      <c r="FI740" s="1507"/>
      <c r="FJ740" s="1506" t="str">
        <f t="shared" si="33"/>
        <v/>
      </c>
      <c r="FK740" s="1517"/>
      <c r="FL740" s="1517"/>
      <c r="FM740" s="1517"/>
      <c r="FN740" s="1507"/>
      <c r="FO740" s="1506" t="str">
        <f t="shared" si="34"/>
        <v/>
      </c>
      <c r="FP740" s="1517"/>
      <c r="FQ740" s="1517"/>
      <c r="FR740" s="1517"/>
      <c r="FS740" s="1507"/>
      <c r="FT740" s="1506" t="str">
        <f t="shared" si="35"/>
        <v/>
      </c>
      <c r="FU740" s="1517"/>
      <c r="FV740" s="1517"/>
      <c r="FW740" s="1517"/>
      <c r="FX740" s="1507"/>
      <c r="FY740" s="1506" t="str">
        <f t="shared" si="36"/>
        <v/>
      </c>
      <c r="FZ740" s="1517"/>
      <c r="GA740" s="1517"/>
      <c r="GB740" s="1517"/>
      <c r="GC740" s="1507"/>
    </row>
    <row r="741" spans="1:185" ht="12.95" customHeight="1">
      <c r="B741" s="1328"/>
      <c r="C741" s="1329"/>
      <c r="D741" s="1329"/>
      <c r="E741" s="1329"/>
      <c r="F741" s="1330"/>
      <c r="G741" s="1379"/>
      <c r="H741" s="1380"/>
      <c r="I741" s="1380"/>
      <c r="J741" s="1381"/>
      <c r="K741" s="1382"/>
      <c r="L741" s="1383"/>
      <c r="M741" s="1383"/>
      <c r="N741" s="1384"/>
      <c r="O741" s="1374"/>
      <c r="P741" s="1375"/>
      <c r="Q741" s="1375"/>
      <c r="R741" s="1375"/>
      <c r="S741" s="1376"/>
      <c r="T741" s="1374"/>
      <c r="U741" s="1375"/>
      <c r="V741" s="1375"/>
      <c r="W741" s="1376"/>
      <c r="X741" s="1377">
        <f t="shared" si="9"/>
        <v>0</v>
      </c>
      <c r="Y741" s="1373"/>
      <c r="Z741" s="1373"/>
      <c r="AA741" s="1373"/>
      <c r="AB741" s="1378"/>
      <c r="AC741" s="1385"/>
      <c r="AD741" s="1386"/>
      <c r="AE741" s="1386"/>
      <c r="AF741" s="1386"/>
      <c r="AG741" s="1387"/>
      <c r="AH741" s="1403" t="str">
        <f t="shared" si="37"/>
        <v/>
      </c>
      <c r="AI741" s="1404"/>
      <c r="AJ741" s="1405"/>
      <c r="AK741" s="1328" t="s">
        <v>591</v>
      </c>
      <c r="AL741" s="1329"/>
      <c r="AM741" s="1329"/>
      <c r="AN741" s="1329"/>
      <c r="AO741" s="1330"/>
      <c r="AP741" s="3"/>
      <c r="AQ741" s="3"/>
      <c r="AR741" s="3"/>
      <c r="AS741" s="3"/>
      <c r="AY741" s="1075"/>
      <c r="AZ741" s="118" t="str">
        <f t="shared" si="10"/>
        <v>N/A</v>
      </c>
      <c r="BA741" s="3"/>
      <c r="BB741" s="3"/>
      <c r="BC741" s="3"/>
      <c r="BD741" s="3"/>
      <c r="BE741" s="204"/>
      <c r="BF741" s="294">
        <f t="shared" si="11"/>
        <v>0</v>
      </c>
      <c r="BG741" s="297">
        <f t="shared" si="12"/>
        <v>0</v>
      </c>
      <c r="BH741" s="298" t="str">
        <f t="shared" si="13"/>
        <v/>
      </c>
      <c r="BI741" s="3"/>
      <c r="BJ741" s="3"/>
      <c r="BK741" s="3"/>
      <c r="BL741" s="3"/>
      <c r="BM741" s="3"/>
      <c r="BN741" s="3"/>
      <c r="BS741" s="294">
        <f t="shared" si="14"/>
        <v>0</v>
      </c>
      <c r="BT741" s="297">
        <f t="shared" si="15"/>
        <v>0</v>
      </c>
      <c r="BU741" s="298" t="str">
        <f t="shared" si="16"/>
        <v/>
      </c>
      <c r="BV741" s="3"/>
      <c r="BW741" s="3"/>
      <c r="BX741" s="3"/>
      <c r="BY741" s="3"/>
      <c r="BZ741" s="3"/>
      <c r="CA741" s="3"/>
      <c r="CB741" s="3"/>
      <c r="CC741" s="3"/>
      <c r="CE741" s="3"/>
      <c r="CF741" s="3"/>
      <c r="CG741" s="1506">
        <f t="shared" si="38"/>
        <v>0</v>
      </c>
      <c r="CH741" s="1507"/>
      <c r="CI741" s="1512">
        <f t="shared" si="39"/>
        <v>0</v>
      </c>
      <c r="CJ741" s="1513"/>
      <c r="CK741" s="1506">
        <f t="shared" si="17"/>
        <v>0</v>
      </c>
      <c r="CL741" s="1507"/>
      <c r="CM741" s="1512">
        <f t="shared" si="18"/>
        <v>0</v>
      </c>
      <c r="CN741" s="1513"/>
      <c r="CO741" s="3"/>
      <c r="CP741" s="1508">
        <f t="shared" si="19"/>
        <v>0</v>
      </c>
      <c r="CQ741" s="1509"/>
      <c r="CR741" s="1509"/>
      <c r="CS741" s="1509"/>
      <c r="CT741" s="1510"/>
      <c r="CU741" s="1504">
        <f t="shared" si="20"/>
        <v>0</v>
      </c>
      <c r="CV741" s="1504"/>
      <c r="CW741" s="1504"/>
      <c r="CX741" s="1504"/>
      <c r="CY741" s="1504"/>
      <c r="CZ741" s="1504">
        <f t="shared" si="21"/>
        <v>0</v>
      </c>
      <c r="DA741" s="1504"/>
      <c r="DB741" s="1504"/>
      <c r="DC741" s="1504"/>
      <c r="DD741" s="1504"/>
      <c r="DE741" s="1504">
        <f t="shared" si="22"/>
        <v>0</v>
      </c>
      <c r="DF741" s="1504"/>
      <c r="DG741" s="1504"/>
      <c r="DH741" s="1504"/>
      <c r="DI741" s="1504"/>
      <c r="DJ741" s="1504">
        <f t="shared" si="23"/>
        <v>0</v>
      </c>
      <c r="DK741" s="1504"/>
      <c r="DL741" s="1504"/>
      <c r="DM741" s="1504"/>
      <c r="DN741" s="1504"/>
      <c r="DO741" s="1504">
        <f t="shared" si="24"/>
        <v>0</v>
      </c>
      <c r="DP741" s="1504"/>
      <c r="DQ741" s="1504"/>
      <c r="DR741" s="1504"/>
      <c r="DS741" s="1504"/>
      <c r="DT741" s="6"/>
      <c r="DU741" s="1503">
        <f t="shared" si="25"/>
        <v>0</v>
      </c>
      <c r="DV741" s="1503"/>
      <c r="DW741" s="1503"/>
      <c r="DX741" s="1503"/>
      <c r="DY741" s="1503"/>
      <c r="DZ741" s="1503">
        <f t="shared" si="26"/>
        <v>0</v>
      </c>
      <c r="EA741" s="1503"/>
      <c r="EB741" s="1503"/>
      <c r="EC741" s="1503"/>
      <c r="ED741" s="1503"/>
      <c r="EE741" s="1503">
        <f t="shared" si="27"/>
        <v>0</v>
      </c>
      <c r="EF741" s="1503"/>
      <c r="EG741" s="1503"/>
      <c r="EH741" s="1503"/>
      <c r="EI741" s="1503"/>
      <c r="EJ741" s="1503">
        <f t="shared" si="28"/>
        <v>0</v>
      </c>
      <c r="EK741" s="1503"/>
      <c r="EL741" s="1503"/>
      <c r="EM741" s="1503"/>
      <c r="EN741" s="1503"/>
      <c r="EO741" s="1503">
        <f t="shared" si="29"/>
        <v>0</v>
      </c>
      <c r="EP741" s="1503"/>
      <c r="EQ741" s="1503"/>
      <c r="ER741" s="1503"/>
      <c r="ES741" s="1503"/>
      <c r="ET741" s="1503">
        <f t="shared" si="30"/>
        <v>0</v>
      </c>
      <c r="EU741" s="1503"/>
      <c r="EV741" s="1503"/>
      <c r="EW741" s="1503"/>
      <c r="EX741" s="1503"/>
      <c r="EZ741" s="1506" t="str">
        <f t="shared" si="31"/>
        <v/>
      </c>
      <c r="FA741" s="1517"/>
      <c r="FB741" s="1517"/>
      <c r="FC741" s="1517"/>
      <c r="FD741" s="1507"/>
      <c r="FE741" s="1506" t="str">
        <f t="shared" si="32"/>
        <v/>
      </c>
      <c r="FF741" s="1517"/>
      <c r="FG741" s="1517"/>
      <c r="FH741" s="1517"/>
      <c r="FI741" s="1507"/>
      <c r="FJ741" s="1506" t="str">
        <f t="shared" si="33"/>
        <v/>
      </c>
      <c r="FK741" s="1517"/>
      <c r="FL741" s="1517"/>
      <c r="FM741" s="1517"/>
      <c r="FN741" s="1507"/>
      <c r="FO741" s="1506" t="str">
        <f t="shared" si="34"/>
        <v/>
      </c>
      <c r="FP741" s="1517"/>
      <c r="FQ741" s="1517"/>
      <c r="FR741" s="1517"/>
      <c r="FS741" s="1507"/>
      <c r="FT741" s="1506" t="str">
        <f t="shared" si="35"/>
        <v/>
      </c>
      <c r="FU741" s="1517"/>
      <c r="FV741" s="1517"/>
      <c r="FW741" s="1517"/>
      <c r="FX741" s="1507"/>
      <c r="FY741" s="1506" t="str">
        <f t="shared" si="36"/>
        <v/>
      </c>
      <c r="FZ741" s="1517"/>
      <c r="GA741" s="1517"/>
      <c r="GB741" s="1517"/>
      <c r="GC741" s="1507"/>
    </row>
    <row r="742" spans="1:185" ht="12.95" customHeight="1">
      <c r="B742" s="1328"/>
      <c r="C742" s="1329"/>
      <c r="D742" s="1329"/>
      <c r="E742" s="1329"/>
      <c r="F742" s="1330"/>
      <c r="G742" s="1379"/>
      <c r="H742" s="1380"/>
      <c r="I742" s="1380"/>
      <c r="J742" s="1381"/>
      <c r="K742" s="1382"/>
      <c r="L742" s="1383"/>
      <c r="M742" s="1383"/>
      <c r="N742" s="1384"/>
      <c r="O742" s="1374"/>
      <c r="P742" s="1375"/>
      <c r="Q742" s="1375"/>
      <c r="R742" s="1375"/>
      <c r="S742" s="1376"/>
      <c r="T742" s="1374"/>
      <c r="U742" s="1375"/>
      <c r="V742" s="1375"/>
      <c r="W742" s="1376"/>
      <c r="X742" s="1377">
        <f t="shared" si="9"/>
        <v>0</v>
      </c>
      <c r="Y742" s="1373"/>
      <c r="Z742" s="1373"/>
      <c r="AA742" s="1373"/>
      <c r="AB742" s="1378"/>
      <c r="AC742" s="1385"/>
      <c r="AD742" s="1386"/>
      <c r="AE742" s="1386"/>
      <c r="AF742" s="1386"/>
      <c r="AG742" s="1387"/>
      <c r="AH742" s="1403" t="str">
        <f t="shared" si="37"/>
        <v/>
      </c>
      <c r="AI742" s="1404"/>
      <c r="AJ742" s="1405"/>
      <c r="AK742" s="1328" t="s">
        <v>591</v>
      </c>
      <c r="AL742" s="1329"/>
      <c r="AM742" s="1329"/>
      <c r="AN742" s="1329"/>
      <c r="AO742" s="1330"/>
      <c r="AP742" s="3"/>
      <c r="AQ742" s="3"/>
      <c r="AR742" s="3"/>
      <c r="AS742" s="3"/>
      <c r="AY742" s="1075"/>
      <c r="AZ742" s="118" t="str">
        <f t="shared" si="10"/>
        <v>N/A</v>
      </c>
      <c r="BA742" s="3"/>
      <c r="BB742" s="3"/>
      <c r="BC742" s="3"/>
      <c r="BD742" s="3"/>
      <c r="BE742" s="204"/>
      <c r="BF742" s="294">
        <f t="shared" si="11"/>
        <v>0</v>
      </c>
      <c r="BG742" s="297">
        <f t="shared" si="12"/>
        <v>0</v>
      </c>
      <c r="BH742" s="298" t="str">
        <f t="shared" si="13"/>
        <v/>
      </c>
      <c r="BI742" s="3"/>
      <c r="BJ742" s="3"/>
      <c r="BK742" s="3"/>
      <c r="BL742" s="3"/>
      <c r="BM742" s="3"/>
      <c r="BN742" s="3"/>
      <c r="BS742" s="294">
        <f t="shared" si="14"/>
        <v>0</v>
      </c>
      <c r="BT742" s="297">
        <f t="shared" si="15"/>
        <v>0</v>
      </c>
      <c r="BU742" s="298" t="str">
        <f t="shared" si="16"/>
        <v/>
      </c>
      <c r="BV742" s="3"/>
      <c r="BW742" s="3"/>
      <c r="BX742" s="3"/>
      <c r="BY742" s="3"/>
      <c r="BZ742" s="3"/>
      <c r="CA742" s="3"/>
      <c r="CB742" s="3"/>
      <c r="CC742" s="3"/>
      <c r="CE742" s="3"/>
      <c r="CF742" s="3"/>
      <c r="CG742" s="1506">
        <f t="shared" si="38"/>
        <v>0</v>
      </c>
      <c r="CH742" s="1507"/>
      <c r="CI742" s="1512">
        <f t="shared" si="39"/>
        <v>0</v>
      </c>
      <c r="CJ742" s="1513"/>
      <c r="CK742" s="1506">
        <f t="shared" si="17"/>
        <v>0</v>
      </c>
      <c r="CL742" s="1507"/>
      <c r="CM742" s="1512">
        <f t="shared" si="18"/>
        <v>0</v>
      </c>
      <c r="CN742" s="1513"/>
      <c r="CO742" s="3"/>
      <c r="CP742" s="1508">
        <f t="shared" si="19"/>
        <v>0</v>
      </c>
      <c r="CQ742" s="1509"/>
      <c r="CR742" s="1509"/>
      <c r="CS742" s="1509"/>
      <c r="CT742" s="1510"/>
      <c r="CU742" s="1504">
        <f t="shared" si="20"/>
        <v>0</v>
      </c>
      <c r="CV742" s="1504"/>
      <c r="CW742" s="1504"/>
      <c r="CX742" s="1504"/>
      <c r="CY742" s="1504"/>
      <c r="CZ742" s="1504">
        <f t="shared" si="21"/>
        <v>0</v>
      </c>
      <c r="DA742" s="1504"/>
      <c r="DB742" s="1504"/>
      <c r="DC742" s="1504"/>
      <c r="DD742" s="1504"/>
      <c r="DE742" s="1504">
        <f t="shared" si="22"/>
        <v>0</v>
      </c>
      <c r="DF742" s="1504"/>
      <c r="DG742" s="1504"/>
      <c r="DH742" s="1504"/>
      <c r="DI742" s="1504"/>
      <c r="DJ742" s="1504">
        <f t="shared" si="23"/>
        <v>0</v>
      </c>
      <c r="DK742" s="1504"/>
      <c r="DL742" s="1504"/>
      <c r="DM742" s="1504"/>
      <c r="DN742" s="1504"/>
      <c r="DO742" s="1504">
        <f t="shared" si="24"/>
        <v>0</v>
      </c>
      <c r="DP742" s="1504"/>
      <c r="DQ742" s="1504"/>
      <c r="DR742" s="1504"/>
      <c r="DS742" s="1504"/>
      <c r="DT742" s="6"/>
      <c r="DU742" s="1503">
        <f t="shared" si="25"/>
        <v>0</v>
      </c>
      <c r="DV742" s="1503"/>
      <c r="DW742" s="1503"/>
      <c r="DX742" s="1503"/>
      <c r="DY742" s="1503"/>
      <c r="DZ742" s="1503">
        <f t="shared" si="26"/>
        <v>0</v>
      </c>
      <c r="EA742" s="1503"/>
      <c r="EB742" s="1503"/>
      <c r="EC742" s="1503"/>
      <c r="ED742" s="1503"/>
      <c r="EE742" s="1503">
        <f t="shared" si="27"/>
        <v>0</v>
      </c>
      <c r="EF742" s="1503"/>
      <c r="EG742" s="1503"/>
      <c r="EH742" s="1503"/>
      <c r="EI742" s="1503"/>
      <c r="EJ742" s="1503">
        <f t="shared" si="28"/>
        <v>0</v>
      </c>
      <c r="EK742" s="1503"/>
      <c r="EL742" s="1503"/>
      <c r="EM742" s="1503"/>
      <c r="EN742" s="1503"/>
      <c r="EO742" s="1503">
        <f t="shared" si="29"/>
        <v>0</v>
      </c>
      <c r="EP742" s="1503"/>
      <c r="EQ742" s="1503"/>
      <c r="ER742" s="1503"/>
      <c r="ES742" s="1503"/>
      <c r="ET742" s="1503">
        <f t="shared" si="30"/>
        <v>0</v>
      </c>
      <c r="EU742" s="1503"/>
      <c r="EV742" s="1503"/>
      <c r="EW742" s="1503"/>
      <c r="EX742" s="1503"/>
      <c r="EZ742" s="1506" t="str">
        <f t="shared" si="31"/>
        <v/>
      </c>
      <c r="FA742" s="1517"/>
      <c r="FB742" s="1517"/>
      <c r="FC742" s="1517"/>
      <c r="FD742" s="1507"/>
      <c r="FE742" s="1506" t="str">
        <f t="shared" si="32"/>
        <v/>
      </c>
      <c r="FF742" s="1517"/>
      <c r="FG742" s="1517"/>
      <c r="FH742" s="1517"/>
      <c r="FI742" s="1507"/>
      <c r="FJ742" s="1506" t="str">
        <f t="shared" si="33"/>
        <v/>
      </c>
      <c r="FK742" s="1517"/>
      <c r="FL742" s="1517"/>
      <c r="FM742" s="1517"/>
      <c r="FN742" s="1507"/>
      <c r="FO742" s="1506" t="str">
        <f t="shared" si="34"/>
        <v/>
      </c>
      <c r="FP742" s="1517"/>
      <c r="FQ742" s="1517"/>
      <c r="FR742" s="1517"/>
      <c r="FS742" s="1507"/>
      <c r="FT742" s="1506" t="str">
        <f t="shared" si="35"/>
        <v/>
      </c>
      <c r="FU742" s="1517"/>
      <c r="FV742" s="1517"/>
      <c r="FW742" s="1517"/>
      <c r="FX742" s="1507"/>
      <c r="FY742" s="1506" t="str">
        <f t="shared" si="36"/>
        <v/>
      </c>
      <c r="FZ742" s="1517"/>
      <c r="GA742" s="1517"/>
      <c r="GB742" s="1517"/>
      <c r="GC742" s="1507"/>
    </row>
    <row r="743" spans="1:185" ht="12.95" customHeight="1">
      <c r="B743" s="1328"/>
      <c r="C743" s="1329"/>
      <c r="D743" s="1329"/>
      <c r="E743" s="1329"/>
      <c r="F743" s="1330"/>
      <c r="G743" s="1379"/>
      <c r="H743" s="1380"/>
      <c r="I743" s="1380"/>
      <c r="J743" s="1381"/>
      <c r="K743" s="1382"/>
      <c r="L743" s="1383"/>
      <c r="M743" s="1383"/>
      <c r="N743" s="1384"/>
      <c r="O743" s="1374"/>
      <c r="P743" s="1375"/>
      <c r="Q743" s="1375"/>
      <c r="R743" s="1375"/>
      <c r="S743" s="1376"/>
      <c r="T743" s="1374"/>
      <c r="U743" s="1375"/>
      <c r="V743" s="1375"/>
      <c r="W743" s="1376"/>
      <c r="X743" s="1377">
        <f t="shared" si="9"/>
        <v>0</v>
      </c>
      <c r="Y743" s="1373"/>
      <c r="Z743" s="1373"/>
      <c r="AA743" s="1373"/>
      <c r="AB743" s="1378"/>
      <c r="AC743" s="1385"/>
      <c r="AD743" s="1386"/>
      <c r="AE743" s="1386"/>
      <c r="AF743" s="1386"/>
      <c r="AG743" s="1387"/>
      <c r="AH743" s="1403" t="str">
        <f t="shared" si="37"/>
        <v/>
      </c>
      <c r="AI743" s="1404"/>
      <c r="AJ743" s="1405"/>
      <c r="AK743" s="1328" t="s">
        <v>591</v>
      </c>
      <c r="AL743" s="1329"/>
      <c r="AM743" s="1329"/>
      <c r="AN743" s="1329"/>
      <c r="AO743" s="1330"/>
      <c r="AP743" s="3"/>
      <c r="AQ743" s="3"/>
      <c r="AR743" s="3"/>
      <c r="AS743" s="3"/>
      <c r="AY743" s="1075"/>
      <c r="AZ743" s="118" t="str">
        <f t="shared" si="10"/>
        <v>N/A</v>
      </c>
      <c r="BA743" s="3"/>
      <c r="BB743" s="3"/>
      <c r="BC743" s="3"/>
      <c r="BD743" s="3"/>
      <c r="BE743" s="204"/>
      <c r="BF743" s="294">
        <f t="shared" si="11"/>
        <v>0</v>
      </c>
      <c r="BG743" s="297">
        <f t="shared" si="12"/>
        <v>0</v>
      </c>
      <c r="BH743" s="298" t="str">
        <f t="shared" si="13"/>
        <v/>
      </c>
      <c r="BI743" s="3"/>
      <c r="BJ743" s="3"/>
      <c r="BK743" s="3"/>
      <c r="BL743" s="3"/>
      <c r="BM743" s="3"/>
      <c r="BN743" s="3"/>
      <c r="BS743" s="294">
        <f t="shared" si="14"/>
        <v>0</v>
      </c>
      <c r="BT743" s="297">
        <f t="shared" si="15"/>
        <v>0</v>
      </c>
      <c r="BU743" s="298" t="str">
        <f t="shared" si="16"/>
        <v/>
      </c>
      <c r="BV743" s="3"/>
      <c r="BW743" s="3"/>
      <c r="BX743" s="3"/>
      <c r="BY743" s="3"/>
      <c r="BZ743" s="3"/>
      <c r="CA743" s="3"/>
      <c r="CB743" s="3"/>
      <c r="CC743" s="3"/>
      <c r="CE743" s="3"/>
      <c r="CF743" s="3"/>
      <c r="CG743" s="1506">
        <f t="shared" si="38"/>
        <v>0</v>
      </c>
      <c r="CH743" s="1507"/>
      <c r="CI743" s="1512">
        <f t="shared" si="39"/>
        <v>0</v>
      </c>
      <c r="CJ743" s="1513"/>
      <c r="CK743" s="1506">
        <f t="shared" si="17"/>
        <v>0</v>
      </c>
      <c r="CL743" s="1507"/>
      <c r="CM743" s="1512">
        <f t="shared" si="18"/>
        <v>0</v>
      </c>
      <c r="CN743" s="1513"/>
      <c r="CO743" s="3"/>
      <c r="CP743" s="1508">
        <f t="shared" si="19"/>
        <v>0</v>
      </c>
      <c r="CQ743" s="1509"/>
      <c r="CR743" s="1509"/>
      <c r="CS743" s="1509"/>
      <c r="CT743" s="1510"/>
      <c r="CU743" s="1504">
        <f t="shared" si="20"/>
        <v>0</v>
      </c>
      <c r="CV743" s="1504"/>
      <c r="CW743" s="1504"/>
      <c r="CX743" s="1504"/>
      <c r="CY743" s="1504"/>
      <c r="CZ743" s="1504">
        <f t="shared" si="21"/>
        <v>0</v>
      </c>
      <c r="DA743" s="1504"/>
      <c r="DB743" s="1504"/>
      <c r="DC743" s="1504"/>
      <c r="DD743" s="1504"/>
      <c r="DE743" s="1504">
        <f t="shared" si="22"/>
        <v>0</v>
      </c>
      <c r="DF743" s="1504"/>
      <c r="DG743" s="1504"/>
      <c r="DH743" s="1504"/>
      <c r="DI743" s="1504"/>
      <c r="DJ743" s="1504">
        <f t="shared" si="23"/>
        <v>0</v>
      </c>
      <c r="DK743" s="1504"/>
      <c r="DL743" s="1504"/>
      <c r="DM743" s="1504"/>
      <c r="DN743" s="1504"/>
      <c r="DO743" s="1504">
        <f t="shared" si="24"/>
        <v>0</v>
      </c>
      <c r="DP743" s="1504"/>
      <c r="DQ743" s="1504"/>
      <c r="DR743" s="1504"/>
      <c r="DS743" s="1504"/>
      <c r="DT743" s="6"/>
      <c r="DU743" s="1503">
        <f t="shared" si="25"/>
        <v>0</v>
      </c>
      <c r="DV743" s="1503"/>
      <c r="DW743" s="1503"/>
      <c r="DX743" s="1503"/>
      <c r="DY743" s="1503"/>
      <c r="DZ743" s="1503">
        <f t="shared" si="26"/>
        <v>0</v>
      </c>
      <c r="EA743" s="1503"/>
      <c r="EB743" s="1503"/>
      <c r="EC743" s="1503"/>
      <c r="ED743" s="1503"/>
      <c r="EE743" s="1503">
        <f t="shared" si="27"/>
        <v>0</v>
      </c>
      <c r="EF743" s="1503"/>
      <c r="EG743" s="1503"/>
      <c r="EH743" s="1503"/>
      <c r="EI743" s="1503"/>
      <c r="EJ743" s="1503">
        <f t="shared" si="28"/>
        <v>0</v>
      </c>
      <c r="EK743" s="1503"/>
      <c r="EL743" s="1503"/>
      <c r="EM743" s="1503"/>
      <c r="EN743" s="1503"/>
      <c r="EO743" s="1503">
        <f t="shared" si="29"/>
        <v>0</v>
      </c>
      <c r="EP743" s="1503"/>
      <c r="EQ743" s="1503"/>
      <c r="ER743" s="1503"/>
      <c r="ES743" s="1503"/>
      <c r="ET743" s="1503">
        <f t="shared" si="30"/>
        <v>0</v>
      </c>
      <c r="EU743" s="1503"/>
      <c r="EV743" s="1503"/>
      <c r="EW743" s="1503"/>
      <c r="EX743" s="1503"/>
      <c r="EZ743" s="1506" t="str">
        <f t="shared" si="31"/>
        <v/>
      </c>
      <c r="FA743" s="1517"/>
      <c r="FB743" s="1517"/>
      <c r="FC743" s="1517"/>
      <c r="FD743" s="1507"/>
      <c r="FE743" s="1506" t="str">
        <f t="shared" si="32"/>
        <v/>
      </c>
      <c r="FF743" s="1517"/>
      <c r="FG743" s="1517"/>
      <c r="FH743" s="1517"/>
      <c r="FI743" s="1507"/>
      <c r="FJ743" s="1506" t="str">
        <f t="shared" si="33"/>
        <v/>
      </c>
      <c r="FK743" s="1517"/>
      <c r="FL743" s="1517"/>
      <c r="FM743" s="1517"/>
      <c r="FN743" s="1507"/>
      <c r="FO743" s="1506" t="str">
        <f t="shared" si="34"/>
        <v/>
      </c>
      <c r="FP743" s="1517"/>
      <c r="FQ743" s="1517"/>
      <c r="FR743" s="1517"/>
      <c r="FS743" s="1507"/>
      <c r="FT743" s="1506" t="str">
        <f t="shared" si="35"/>
        <v/>
      </c>
      <c r="FU743" s="1517"/>
      <c r="FV743" s="1517"/>
      <c r="FW743" s="1517"/>
      <c r="FX743" s="1507"/>
      <c r="FY743" s="1506" t="str">
        <f t="shared" si="36"/>
        <v/>
      </c>
      <c r="FZ743" s="1517"/>
      <c r="GA743" s="1517"/>
      <c r="GB743" s="1517"/>
      <c r="GC743" s="1507"/>
    </row>
    <row r="744" spans="1:185" ht="12.95" customHeight="1">
      <c r="B744" s="1328"/>
      <c r="C744" s="1329"/>
      <c r="D744" s="1329"/>
      <c r="E744" s="1329"/>
      <c r="F744" s="1330"/>
      <c r="G744" s="1379"/>
      <c r="H744" s="1380"/>
      <c r="I744" s="1380"/>
      <c r="J744" s="1381"/>
      <c r="K744" s="1382"/>
      <c r="L744" s="1383"/>
      <c r="M744" s="1383"/>
      <c r="N744" s="1384"/>
      <c r="O744" s="1374"/>
      <c r="P744" s="1375"/>
      <c r="Q744" s="1375"/>
      <c r="R744" s="1375"/>
      <c r="S744" s="1376"/>
      <c r="T744" s="1374"/>
      <c r="U744" s="1375"/>
      <c r="V744" s="1375"/>
      <c r="W744" s="1376"/>
      <c r="X744" s="1377">
        <f t="shared" si="9"/>
        <v>0</v>
      </c>
      <c r="Y744" s="1373"/>
      <c r="Z744" s="1373"/>
      <c r="AA744" s="1373"/>
      <c r="AB744" s="1378"/>
      <c r="AC744" s="1385"/>
      <c r="AD744" s="1386"/>
      <c r="AE744" s="1386"/>
      <c r="AF744" s="1386"/>
      <c r="AG744" s="1387"/>
      <c r="AH744" s="1403" t="str">
        <f t="shared" si="37"/>
        <v/>
      </c>
      <c r="AI744" s="1404"/>
      <c r="AJ744" s="1405"/>
      <c r="AK744" s="1328" t="s">
        <v>591</v>
      </c>
      <c r="AL744" s="1329"/>
      <c r="AM744" s="1329"/>
      <c r="AN744" s="1329"/>
      <c r="AO744" s="1330"/>
      <c r="AP744" s="3"/>
      <c r="AQ744" s="3"/>
      <c r="AR744" s="3"/>
      <c r="AS744" s="3"/>
      <c r="AY744" s="1075"/>
      <c r="AZ744" s="118" t="str">
        <f t="shared" si="10"/>
        <v>N/A</v>
      </c>
      <c r="BA744" s="3"/>
      <c r="BB744" s="3"/>
      <c r="BC744" s="3"/>
      <c r="BD744" s="3"/>
      <c r="BE744" s="204"/>
      <c r="BF744" s="294">
        <f t="shared" si="11"/>
        <v>0</v>
      </c>
      <c r="BG744" s="297">
        <f t="shared" si="12"/>
        <v>0</v>
      </c>
      <c r="BH744" s="298" t="str">
        <f t="shared" si="13"/>
        <v/>
      </c>
      <c r="BI744" s="3"/>
      <c r="BJ744" s="3"/>
      <c r="BK744" s="3"/>
      <c r="BL744" s="3"/>
      <c r="BM744" s="3"/>
      <c r="BN744" s="3"/>
      <c r="BS744" s="294">
        <f t="shared" si="14"/>
        <v>0</v>
      </c>
      <c r="BT744" s="297">
        <f t="shared" si="15"/>
        <v>0</v>
      </c>
      <c r="BU744" s="298" t="str">
        <f t="shared" si="16"/>
        <v/>
      </c>
      <c r="BV744" s="3"/>
      <c r="BW744" s="3"/>
      <c r="BX744" s="3"/>
      <c r="BY744" s="3"/>
      <c r="BZ744" s="3"/>
      <c r="CA744" s="3"/>
      <c r="CB744" s="3"/>
      <c r="CC744" s="3"/>
      <c r="CE744" s="3"/>
      <c r="CF744" s="3"/>
      <c r="CG744" s="1506">
        <f t="shared" si="38"/>
        <v>0</v>
      </c>
      <c r="CH744" s="1507"/>
      <c r="CI744" s="1512">
        <f t="shared" si="39"/>
        <v>0</v>
      </c>
      <c r="CJ744" s="1513"/>
      <c r="CK744" s="1506">
        <f t="shared" si="17"/>
        <v>0</v>
      </c>
      <c r="CL744" s="1507"/>
      <c r="CM744" s="1512">
        <f t="shared" si="18"/>
        <v>0</v>
      </c>
      <c r="CN744" s="1513"/>
      <c r="CO744" s="3"/>
      <c r="CP744" s="1508">
        <f t="shared" si="19"/>
        <v>0</v>
      </c>
      <c r="CQ744" s="1509"/>
      <c r="CR744" s="1509"/>
      <c r="CS744" s="1509"/>
      <c r="CT744" s="1510"/>
      <c r="CU744" s="1504">
        <f t="shared" si="20"/>
        <v>0</v>
      </c>
      <c r="CV744" s="1504"/>
      <c r="CW744" s="1504"/>
      <c r="CX744" s="1504"/>
      <c r="CY744" s="1504"/>
      <c r="CZ744" s="1504">
        <f t="shared" si="21"/>
        <v>0</v>
      </c>
      <c r="DA744" s="1504"/>
      <c r="DB744" s="1504"/>
      <c r="DC744" s="1504"/>
      <c r="DD744" s="1504"/>
      <c r="DE744" s="1504">
        <f t="shared" si="22"/>
        <v>0</v>
      </c>
      <c r="DF744" s="1504"/>
      <c r="DG744" s="1504"/>
      <c r="DH744" s="1504"/>
      <c r="DI744" s="1504"/>
      <c r="DJ744" s="1504">
        <f t="shared" si="23"/>
        <v>0</v>
      </c>
      <c r="DK744" s="1504"/>
      <c r="DL744" s="1504"/>
      <c r="DM744" s="1504"/>
      <c r="DN744" s="1504"/>
      <c r="DO744" s="1504">
        <f t="shared" si="24"/>
        <v>0</v>
      </c>
      <c r="DP744" s="1504"/>
      <c r="DQ744" s="1504"/>
      <c r="DR744" s="1504"/>
      <c r="DS744" s="1504"/>
      <c r="DT744" s="6"/>
      <c r="DU744" s="1503">
        <f t="shared" si="25"/>
        <v>0</v>
      </c>
      <c r="DV744" s="1503"/>
      <c r="DW744" s="1503"/>
      <c r="DX744" s="1503"/>
      <c r="DY744" s="1503"/>
      <c r="DZ744" s="1503">
        <f t="shared" si="26"/>
        <v>0</v>
      </c>
      <c r="EA744" s="1503"/>
      <c r="EB744" s="1503"/>
      <c r="EC744" s="1503"/>
      <c r="ED744" s="1503"/>
      <c r="EE744" s="1503">
        <f t="shared" si="27"/>
        <v>0</v>
      </c>
      <c r="EF744" s="1503"/>
      <c r="EG744" s="1503"/>
      <c r="EH744" s="1503"/>
      <c r="EI744" s="1503"/>
      <c r="EJ744" s="1503">
        <f t="shared" si="28"/>
        <v>0</v>
      </c>
      <c r="EK744" s="1503"/>
      <c r="EL744" s="1503"/>
      <c r="EM744" s="1503"/>
      <c r="EN744" s="1503"/>
      <c r="EO744" s="1503">
        <f t="shared" si="29"/>
        <v>0</v>
      </c>
      <c r="EP744" s="1503"/>
      <c r="EQ744" s="1503"/>
      <c r="ER744" s="1503"/>
      <c r="ES744" s="1503"/>
      <c r="ET744" s="1503">
        <f t="shared" si="30"/>
        <v>0</v>
      </c>
      <c r="EU744" s="1503"/>
      <c r="EV744" s="1503"/>
      <c r="EW744" s="1503"/>
      <c r="EX744" s="1503"/>
      <c r="EZ744" s="1506" t="str">
        <f t="shared" si="31"/>
        <v/>
      </c>
      <c r="FA744" s="1517"/>
      <c r="FB744" s="1517"/>
      <c r="FC744" s="1517"/>
      <c r="FD744" s="1507"/>
      <c r="FE744" s="1506" t="str">
        <f t="shared" si="32"/>
        <v/>
      </c>
      <c r="FF744" s="1517"/>
      <c r="FG744" s="1517"/>
      <c r="FH744" s="1517"/>
      <c r="FI744" s="1507"/>
      <c r="FJ744" s="1506" t="str">
        <f t="shared" si="33"/>
        <v/>
      </c>
      <c r="FK744" s="1517"/>
      <c r="FL744" s="1517"/>
      <c r="FM744" s="1517"/>
      <c r="FN744" s="1507"/>
      <c r="FO744" s="1506" t="str">
        <f t="shared" si="34"/>
        <v/>
      </c>
      <c r="FP744" s="1517"/>
      <c r="FQ744" s="1517"/>
      <c r="FR744" s="1517"/>
      <c r="FS744" s="1507"/>
      <c r="FT744" s="1506" t="str">
        <f t="shared" si="35"/>
        <v/>
      </c>
      <c r="FU744" s="1517"/>
      <c r="FV744" s="1517"/>
      <c r="FW744" s="1517"/>
      <c r="FX744" s="1507"/>
      <c r="FY744" s="1506" t="str">
        <f t="shared" si="36"/>
        <v/>
      </c>
      <c r="FZ744" s="1517"/>
      <c r="GA744" s="1517"/>
      <c r="GB744" s="1517"/>
      <c r="GC744" s="1507"/>
    </row>
    <row r="745" spans="1:185" ht="12.95" customHeight="1">
      <c r="B745" s="1328"/>
      <c r="C745" s="1329"/>
      <c r="D745" s="1329"/>
      <c r="E745" s="1329"/>
      <c r="F745" s="1330"/>
      <c r="G745" s="1379"/>
      <c r="H745" s="1380"/>
      <c r="I745" s="1380"/>
      <c r="J745" s="1381"/>
      <c r="K745" s="1382"/>
      <c r="L745" s="1383"/>
      <c r="M745" s="1383"/>
      <c r="N745" s="1384"/>
      <c r="O745" s="1374"/>
      <c r="P745" s="1375"/>
      <c r="Q745" s="1375"/>
      <c r="R745" s="1375"/>
      <c r="S745" s="1376"/>
      <c r="T745" s="1374"/>
      <c r="U745" s="1375"/>
      <c r="V745" s="1375"/>
      <c r="W745" s="1376"/>
      <c r="X745" s="1377">
        <f t="shared" si="9"/>
        <v>0</v>
      </c>
      <c r="Y745" s="1373"/>
      <c r="Z745" s="1373"/>
      <c r="AA745" s="1373"/>
      <c r="AB745" s="1378"/>
      <c r="AC745" s="1385"/>
      <c r="AD745" s="1386"/>
      <c r="AE745" s="1386"/>
      <c r="AF745" s="1386"/>
      <c r="AG745" s="1387"/>
      <c r="AH745" s="1403" t="str">
        <f t="shared" si="37"/>
        <v/>
      </c>
      <c r="AI745" s="1404"/>
      <c r="AJ745" s="1405"/>
      <c r="AK745" s="1328" t="s">
        <v>591</v>
      </c>
      <c r="AL745" s="1329"/>
      <c r="AM745" s="1329"/>
      <c r="AN745" s="1329"/>
      <c r="AO745" s="1330"/>
      <c r="AP745" s="3"/>
      <c r="AQ745" s="3"/>
      <c r="AR745" s="3"/>
      <c r="AS745" s="3"/>
      <c r="AY745" s="1075"/>
      <c r="AZ745" s="118" t="str">
        <f t="shared" si="10"/>
        <v>N/A</v>
      </c>
      <c r="BA745" s="3"/>
      <c r="BB745" s="3"/>
      <c r="BC745" s="3"/>
      <c r="BD745" s="3"/>
      <c r="BE745" s="204"/>
      <c r="BF745" s="294">
        <f t="shared" si="11"/>
        <v>0</v>
      </c>
      <c r="BG745" s="297">
        <f t="shared" si="12"/>
        <v>0</v>
      </c>
      <c r="BH745" s="298" t="str">
        <f t="shared" si="13"/>
        <v/>
      </c>
      <c r="BI745" s="3"/>
      <c r="BJ745" s="3"/>
      <c r="BK745" s="3"/>
      <c r="BL745" s="3"/>
      <c r="BM745" s="3"/>
      <c r="BN745" s="3"/>
      <c r="BS745" s="294">
        <f t="shared" si="14"/>
        <v>0</v>
      </c>
      <c r="BT745" s="297">
        <f t="shared" si="15"/>
        <v>0</v>
      </c>
      <c r="BU745" s="298" t="str">
        <f t="shared" si="16"/>
        <v/>
      </c>
      <c r="BV745" s="3"/>
      <c r="BW745" s="3"/>
      <c r="BX745" s="3"/>
      <c r="BY745" s="3"/>
      <c r="BZ745" s="3"/>
      <c r="CA745" s="3"/>
      <c r="CB745" s="3"/>
      <c r="CC745" s="3"/>
      <c r="CE745" s="3"/>
      <c r="CF745" s="3"/>
      <c r="CG745" s="1506">
        <f t="shared" si="38"/>
        <v>0</v>
      </c>
      <c r="CH745" s="1507"/>
      <c r="CI745" s="1512">
        <f t="shared" si="39"/>
        <v>0</v>
      </c>
      <c r="CJ745" s="1513"/>
      <c r="CK745" s="1506">
        <f t="shared" si="17"/>
        <v>0</v>
      </c>
      <c r="CL745" s="1507"/>
      <c r="CM745" s="1512">
        <f t="shared" si="18"/>
        <v>0</v>
      </c>
      <c r="CN745" s="1513"/>
      <c r="CO745" s="3"/>
      <c r="CP745" s="1508">
        <f t="shared" si="19"/>
        <v>0</v>
      </c>
      <c r="CQ745" s="1509"/>
      <c r="CR745" s="1509"/>
      <c r="CS745" s="1509"/>
      <c r="CT745" s="1510"/>
      <c r="CU745" s="1504">
        <f t="shared" si="20"/>
        <v>0</v>
      </c>
      <c r="CV745" s="1504"/>
      <c r="CW745" s="1504"/>
      <c r="CX745" s="1504"/>
      <c r="CY745" s="1504"/>
      <c r="CZ745" s="1504">
        <f t="shared" si="21"/>
        <v>0</v>
      </c>
      <c r="DA745" s="1504"/>
      <c r="DB745" s="1504"/>
      <c r="DC745" s="1504"/>
      <c r="DD745" s="1504"/>
      <c r="DE745" s="1504">
        <f t="shared" si="22"/>
        <v>0</v>
      </c>
      <c r="DF745" s="1504"/>
      <c r="DG745" s="1504"/>
      <c r="DH745" s="1504"/>
      <c r="DI745" s="1504"/>
      <c r="DJ745" s="1504">
        <f t="shared" si="23"/>
        <v>0</v>
      </c>
      <c r="DK745" s="1504"/>
      <c r="DL745" s="1504"/>
      <c r="DM745" s="1504"/>
      <c r="DN745" s="1504"/>
      <c r="DO745" s="1504">
        <f t="shared" si="24"/>
        <v>0</v>
      </c>
      <c r="DP745" s="1504"/>
      <c r="DQ745" s="1504"/>
      <c r="DR745" s="1504"/>
      <c r="DS745" s="1504"/>
      <c r="DT745" s="6"/>
      <c r="DU745" s="1503">
        <f t="shared" si="25"/>
        <v>0</v>
      </c>
      <c r="DV745" s="1503"/>
      <c r="DW745" s="1503"/>
      <c r="DX745" s="1503"/>
      <c r="DY745" s="1503"/>
      <c r="DZ745" s="1503">
        <f t="shared" si="26"/>
        <v>0</v>
      </c>
      <c r="EA745" s="1503"/>
      <c r="EB745" s="1503"/>
      <c r="EC745" s="1503"/>
      <c r="ED745" s="1503"/>
      <c r="EE745" s="1503">
        <f t="shared" si="27"/>
        <v>0</v>
      </c>
      <c r="EF745" s="1503"/>
      <c r="EG745" s="1503"/>
      <c r="EH745" s="1503"/>
      <c r="EI745" s="1503"/>
      <c r="EJ745" s="1503">
        <f t="shared" si="28"/>
        <v>0</v>
      </c>
      <c r="EK745" s="1503"/>
      <c r="EL745" s="1503"/>
      <c r="EM745" s="1503"/>
      <c r="EN745" s="1503"/>
      <c r="EO745" s="1503">
        <f t="shared" si="29"/>
        <v>0</v>
      </c>
      <c r="EP745" s="1503"/>
      <c r="EQ745" s="1503"/>
      <c r="ER745" s="1503"/>
      <c r="ES745" s="1503"/>
      <c r="ET745" s="1503">
        <f t="shared" si="30"/>
        <v>0</v>
      </c>
      <c r="EU745" s="1503"/>
      <c r="EV745" s="1503"/>
      <c r="EW745" s="1503"/>
      <c r="EX745" s="1503"/>
      <c r="EZ745" s="1506" t="str">
        <f t="shared" si="31"/>
        <v/>
      </c>
      <c r="FA745" s="1517"/>
      <c r="FB745" s="1517"/>
      <c r="FC745" s="1517"/>
      <c r="FD745" s="1507"/>
      <c r="FE745" s="1506" t="str">
        <f t="shared" si="32"/>
        <v/>
      </c>
      <c r="FF745" s="1517"/>
      <c r="FG745" s="1517"/>
      <c r="FH745" s="1517"/>
      <c r="FI745" s="1507"/>
      <c r="FJ745" s="1506" t="str">
        <f t="shared" si="33"/>
        <v/>
      </c>
      <c r="FK745" s="1517"/>
      <c r="FL745" s="1517"/>
      <c r="FM745" s="1517"/>
      <c r="FN745" s="1507"/>
      <c r="FO745" s="1506" t="str">
        <f t="shared" si="34"/>
        <v/>
      </c>
      <c r="FP745" s="1517"/>
      <c r="FQ745" s="1517"/>
      <c r="FR745" s="1517"/>
      <c r="FS745" s="1507"/>
      <c r="FT745" s="1506" t="str">
        <f t="shared" si="35"/>
        <v/>
      </c>
      <c r="FU745" s="1517"/>
      <c r="FV745" s="1517"/>
      <c r="FW745" s="1517"/>
      <c r="FX745" s="1507"/>
      <c r="FY745" s="1506" t="str">
        <f t="shared" si="36"/>
        <v/>
      </c>
      <c r="FZ745" s="1517"/>
      <c r="GA745" s="1517"/>
      <c r="GB745" s="1517"/>
      <c r="GC745" s="1507"/>
    </row>
    <row r="746" spans="1:185" ht="12.95" customHeight="1">
      <c r="B746" s="1328"/>
      <c r="C746" s="1329"/>
      <c r="D746" s="1329"/>
      <c r="E746" s="1329"/>
      <c r="F746" s="1330"/>
      <c r="G746" s="1379"/>
      <c r="H746" s="1380"/>
      <c r="I746" s="1380"/>
      <c r="J746" s="1381"/>
      <c r="K746" s="1382"/>
      <c r="L746" s="1383"/>
      <c r="M746" s="1383"/>
      <c r="N746" s="1384"/>
      <c r="O746" s="1374"/>
      <c r="P746" s="1375"/>
      <c r="Q746" s="1375"/>
      <c r="R746" s="1375"/>
      <c r="S746" s="1376"/>
      <c r="T746" s="1374"/>
      <c r="U746" s="1375"/>
      <c r="V746" s="1375"/>
      <c r="W746" s="1376"/>
      <c r="X746" s="1377">
        <f t="shared" si="9"/>
        <v>0</v>
      </c>
      <c r="Y746" s="1373"/>
      <c r="Z746" s="1373"/>
      <c r="AA746" s="1373"/>
      <c r="AB746" s="1378"/>
      <c r="AC746" s="1385"/>
      <c r="AD746" s="1386"/>
      <c r="AE746" s="1386"/>
      <c r="AF746" s="1386"/>
      <c r="AG746" s="1387"/>
      <c r="AH746" s="1403" t="str">
        <f t="shared" si="37"/>
        <v/>
      </c>
      <c r="AI746" s="1404"/>
      <c r="AJ746" s="1405"/>
      <c r="AK746" s="1328" t="s">
        <v>591</v>
      </c>
      <c r="AL746" s="1329"/>
      <c r="AM746" s="1329"/>
      <c r="AN746" s="1329"/>
      <c r="AO746" s="1330"/>
      <c r="AP746" s="3"/>
      <c r="AQ746" s="3"/>
      <c r="AR746" s="3"/>
      <c r="AS746" s="3"/>
      <c r="AY746" s="1075"/>
      <c r="AZ746" s="118" t="str">
        <f t="shared" si="10"/>
        <v>N/A</v>
      </c>
      <c r="BA746" s="3"/>
      <c r="BE746" s="204"/>
      <c r="BF746" s="294">
        <f t="shared" si="11"/>
        <v>0</v>
      </c>
      <c r="BG746" s="297">
        <f t="shared" si="12"/>
        <v>0</v>
      </c>
      <c r="BH746" s="298" t="str">
        <f t="shared" si="13"/>
        <v/>
      </c>
      <c r="BK746" s="3"/>
      <c r="BL746" s="3"/>
      <c r="BM746" s="3"/>
      <c r="BN746" s="3"/>
      <c r="BS746" s="294">
        <f t="shared" si="14"/>
        <v>0</v>
      </c>
      <c r="BT746" s="297">
        <f t="shared" si="15"/>
        <v>0</v>
      </c>
      <c r="BU746" s="298" t="str">
        <f t="shared" si="16"/>
        <v/>
      </c>
      <c r="BV746" s="3"/>
      <c r="BW746" s="3"/>
      <c r="BX746" s="3"/>
      <c r="BY746" s="3"/>
      <c r="BZ746" s="3"/>
      <c r="CA746" s="3"/>
      <c r="CB746" s="3"/>
      <c r="CC746" s="3"/>
      <c r="CE746" s="3"/>
      <c r="CF746" s="3"/>
      <c r="CG746" s="1506">
        <f t="shared" si="38"/>
        <v>0</v>
      </c>
      <c r="CH746" s="1507"/>
      <c r="CI746" s="1512">
        <f t="shared" si="39"/>
        <v>0</v>
      </c>
      <c r="CJ746" s="1513"/>
      <c r="CK746" s="1506">
        <f t="shared" si="17"/>
        <v>0</v>
      </c>
      <c r="CL746" s="1507"/>
      <c r="CM746" s="1512">
        <f t="shared" si="18"/>
        <v>0</v>
      </c>
      <c r="CN746" s="1513"/>
      <c r="CO746" s="3"/>
      <c r="CP746" s="1508">
        <f t="shared" si="19"/>
        <v>0</v>
      </c>
      <c r="CQ746" s="1509"/>
      <c r="CR746" s="1509"/>
      <c r="CS746" s="1509"/>
      <c r="CT746" s="1510"/>
      <c r="CU746" s="1504">
        <f t="shared" si="20"/>
        <v>0</v>
      </c>
      <c r="CV746" s="1504"/>
      <c r="CW746" s="1504"/>
      <c r="CX746" s="1504"/>
      <c r="CY746" s="1504"/>
      <c r="CZ746" s="1504">
        <f t="shared" si="21"/>
        <v>0</v>
      </c>
      <c r="DA746" s="1504"/>
      <c r="DB746" s="1504"/>
      <c r="DC746" s="1504"/>
      <c r="DD746" s="1504"/>
      <c r="DE746" s="1504">
        <f t="shared" si="22"/>
        <v>0</v>
      </c>
      <c r="DF746" s="1504"/>
      <c r="DG746" s="1504"/>
      <c r="DH746" s="1504"/>
      <c r="DI746" s="1504"/>
      <c r="DJ746" s="1504">
        <f t="shared" si="23"/>
        <v>0</v>
      </c>
      <c r="DK746" s="1504"/>
      <c r="DL746" s="1504"/>
      <c r="DM746" s="1504"/>
      <c r="DN746" s="1504"/>
      <c r="DO746" s="1504">
        <f t="shared" si="24"/>
        <v>0</v>
      </c>
      <c r="DP746" s="1504"/>
      <c r="DQ746" s="1504"/>
      <c r="DR746" s="1504"/>
      <c r="DS746" s="1504"/>
      <c r="DT746" s="6"/>
      <c r="DU746" s="1503">
        <f t="shared" si="25"/>
        <v>0</v>
      </c>
      <c r="DV746" s="1503"/>
      <c r="DW746" s="1503"/>
      <c r="DX746" s="1503"/>
      <c r="DY746" s="1503"/>
      <c r="DZ746" s="1503">
        <f t="shared" si="26"/>
        <v>0</v>
      </c>
      <c r="EA746" s="1503"/>
      <c r="EB746" s="1503"/>
      <c r="EC746" s="1503"/>
      <c r="ED746" s="1503"/>
      <c r="EE746" s="1503">
        <f t="shared" si="27"/>
        <v>0</v>
      </c>
      <c r="EF746" s="1503"/>
      <c r="EG746" s="1503"/>
      <c r="EH746" s="1503"/>
      <c r="EI746" s="1503"/>
      <c r="EJ746" s="1503">
        <f t="shared" si="28"/>
        <v>0</v>
      </c>
      <c r="EK746" s="1503"/>
      <c r="EL746" s="1503"/>
      <c r="EM746" s="1503"/>
      <c r="EN746" s="1503"/>
      <c r="EO746" s="1503">
        <f t="shared" si="29"/>
        <v>0</v>
      </c>
      <c r="EP746" s="1503"/>
      <c r="EQ746" s="1503"/>
      <c r="ER746" s="1503"/>
      <c r="ES746" s="1503"/>
      <c r="ET746" s="1503">
        <f t="shared" si="30"/>
        <v>0</v>
      </c>
      <c r="EU746" s="1503"/>
      <c r="EV746" s="1503"/>
      <c r="EW746" s="1503"/>
      <c r="EX746" s="1503"/>
      <c r="EZ746" s="1506" t="str">
        <f t="shared" si="31"/>
        <v/>
      </c>
      <c r="FA746" s="1517"/>
      <c r="FB746" s="1517"/>
      <c r="FC746" s="1517"/>
      <c r="FD746" s="1507"/>
      <c r="FE746" s="1506" t="str">
        <f t="shared" si="32"/>
        <v/>
      </c>
      <c r="FF746" s="1517"/>
      <c r="FG746" s="1517"/>
      <c r="FH746" s="1517"/>
      <c r="FI746" s="1507"/>
      <c r="FJ746" s="1506" t="str">
        <f t="shared" si="33"/>
        <v/>
      </c>
      <c r="FK746" s="1517"/>
      <c r="FL746" s="1517"/>
      <c r="FM746" s="1517"/>
      <c r="FN746" s="1507"/>
      <c r="FO746" s="1506" t="str">
        <f t="shared" si="34"/>
        <v/>
      </c>
      <c r="FP746" s="1517"/>
      <c r="FQ746" s="1517"/>
      <c r="FR746" s="1517"/>
      <c r="FS746" s="1507"/>
      <c r="FT746" s="1506" t="str">
        <f t="shared" si="35"/>
        <v/>
      </c>
      <c r="FU746" s="1517"/>
      <c r="FV746" s="1517"/>
      <c r="FW746" s="1517"/>
      <c r="FX746" s="1507"/>
      <c r="FY746" s="1506" t="str">
        <f t="shared" si="36"/>
        <v/>
      </c>
      <c r="FZ746" s="1517"/>
      <c r="GA746" s="1517"/>
      <c r="GB746" s="1517"/>
      <c r="GC746" s="1507"/>
    </row>
    <row r="747" spans="1:185" ht="12.95" customHeight="1">
      <c r="B747" s="1328"/>
      <c r="C747" s="1329"/>
      <c r="D747" s="1329"/>
      <c r="E747" s="1329"/>
      <c r="F747" s="1330"/>
      <c r="G747" s="1379"/>
      <c r="H747" s="1380"/>
      <c r="I747" s="1380"/>
      <c r="J747" s="1381"/>
      <c r="K747" s="1382"/>
      <c r="L747" s="1383"/>
      <c r="M747" s="1383"/>
      <c r="N747" s="1384"/>
      <c r="O747" s="1374"/>
      <c r="P747" s="1375"/>
      <c r="Q747" s="1375"/>
      <c r="R747" s="1375"/>
      <c r="S747" s="1376"/>
      <c r="T747" s="1374"/>
      <c r="U747" s="1375"/>
      <c r="V747" s="1375"/>
      <c r="W747" s="1376"/>
      <c r="X747" s="1377">
        <f t="shared" si="9"/>
        <v>0</v>
      </c>
      <c r="Y747" s="1373"/>
      <c r="Z747" s="1373"/>
      <c r="AA747" s="1373"/>
      <c r="AB747" s="1378"/>
      <c r="AC747" s="1385"/>
      <c r="AD747" s="1386"/>
      <c r="AE747" s="1386"/>
      <c r="AF747" s="1386"/>
      <c r="AG747" s="1387"/>
      <c r="AH747" s="1403" t="str">
        <f t="shared" si="37"/>
        <v/>
      </c>
      <c r="AI747" s="1404"/>
      <c r="AJ747" s="1405"/>
      <c r="AK747" s="1328" t="s">
        <v>591</v>
      </c>
      <c r="AL747" s="1329"/>
      <c r="AM747" s="1329"/>
      <c r="AN747" s="1329"/>
      <c r="AO747" s="1330"/>
      <c r="AP747" s="3"/>
      <c r="AQ747" s="3"/>
      <c r="AR747" s="3"/>
      <c r="AS747" s="3"/>
      <c r="AY747" s="1075"/>
      <c r="AZ747" s="118" t="str">
        <f t="shared" si="10"/>
        <v>N/A</v>
      </c>
      <c r="BA747" s="3"/>
      <c r="BE747" s="204"/>
      <c r="BF747" s="294">
        <f t="shared" si="11"/>
        <v>0</v>
      </c>
      <c r="BG747" s="297">
        <f t="shared" si="12"/>
        <v>0</v>
      </c>
      <c r="BH747" s="298" t="str">
        <f t="shared" si="13"/>
        <v/>
      </c>
      <c r="BK747" s="3"/>
      <c r="BL747" s="3"/>
      <c r="BM747" s="3"/>
      <c r="BN747" s="3"/>
      <c r="BS747" s="294">
        <f t="shared" si="14"/>
        <v>0</v>
      </c>
      <c r="BT747" s="297">
        <f t="shared" si="15"/>
        <v>0</v>
      </c>
      <c r="BU747" s="298" t="str">
        <f t="shared" si="16"/>
        <v/>
      </c>
      <c r="BV747" s="3"/>
      <c r="BW747" s="3"/>
      <c r="BX747" s="3"/>
      <c r="BY747" s="3"/>
      <c r="BZ747" s="3"/>
      <c r="CA747" s="3"/>
      <c r="CB747" s="3"/>
      <c r="CC747" s="3"/>
      <c r="CE747" s="3"/>
      <c r="CF747" s="3"/>
      <c r="CG747" s="1506">
        <f t="shared" si="38"/>
        <v>0</v>
      </c>
      <c r="CH747" s="1507"/>
      <c r="CI747" s="1512">
        <f t="shared" si="39"/>
        <v>0</v>
      </c>
      <c r="CJ747" s="1513"/>
      <c r="CK747" s="1506">
        <f t="shared" si="17"/>
        <v>0</v>
      </c>
      <c r="CL747" s="1507"/>
      <c r="CM747" s="1512">
        <f t="shared" si="18"/>
        <v>0</v>
      </c>
      <c r="CN747" s="1513"/>
      <c r="CO747" s="3"/>
      <c r="CP747" s="1508">
        <f t="shared" si="19"/>
        <v>0</v>
      </c>
      <c r="CQ747" s="1509"/>
      <c r="CR747" s="1509"/>
      <c r="CS747" s="1509"/>
      <c r="CT747" s="1510"/>
      <c r="CU747" s="1504">
        <f t="shared" si="20"/>
        <v>0</v>
      </c>
      <c r="CV747" s="1504"/>
      <c r="CW747" s="1504"/>
      <c r="CX747" s="1504"/>
      <c r="CY747" s="1504"/>
      <c r="CZ747" s="1504">
        <f t="shared" si="21"/>
        <v>0</v>
      </c>
      <c r="DA747" s="1504"/>
      <c r="DB747" s="1504"/>
      <c r="DC747" s="1504"/>
      <c r="DD747" s="1504"/>
      <c r="DE747" s="1504">
        <f t="shared" si="22"/>
        <v>0</v>
      </c>
      <c r="DF747" s="1504"/>
      <c r="DG747" s="1504"/>
      <c r="DH747" s="1504"/>
      <c r="DI747" s="1504"/>
      <c r="DJ747" s="1504">
        <f t="shared" si="23"/>
        <v>0</v>
      </c>
      <c r="DK747" s="1504"/>
      <c r="DL747" s="1504"/>
      <c r="DM747" s="1504"/>
      <c r="DN747" s="1504"/>
      <c r="DO747" s="1504">
        <f t="shared" si="24"/>
        <v>0</v>
      </c>
      <c r="DP747" s="1504"/>
      <c r="DQ747" s="1504"/>
      <c r="DR747" s="1504"/>
      <c r="DS747" s="1504"/>
      <c r="DT747" s="6"/>
      <c r="DU747" s="1503">
        <f t="shared" si="25"/>
        <v>0</v>
      </c>
      <c r="DV747" s="1503"/>
      <c r="DW747" s="1503"/>
      <c r="DX747" s="1503"/>
      <c r="DY747" s="1503"/>
      <c r="DZ747" s="1503">
        <f t="shared" si="26"/>
        <v>0</v>
      </c>
      <c r="EA747" s="1503"/>
      <c r="EB747" s="1503"/>
      <c r="EC747" s="1503"/>
      <c r="ED747" s="1503"/>
      <c r="EE747" s="1503">
        <f t="shared" si="27"/>
        <v>0</v>
      </c>
      <c r="EF747" s="1503"/>
      <c r="EG747" s="1503"/>
      <c r="EH747" s="1503"/>
      <c r="EI747" s="1503"/>
      <c r="EJ747" s="1503">
        <f t="shared" si="28"/>
        <v>0</v>
      </c>
      <c r="EK747" s="1503"/>
      <c r="EL747" s="1503"/>
      <c r="EM747" s="1503"/>
      <c r="EN747" s="1503"/>
      <c r="EO747" s="1503">
        <f t="shared" si="29"/>
        <v>0</v>
      </c>
      <c r="EP747" s="1503"/>
      <c r="EQ747" s="1503"/>
      <c r="ER747" s="1503"/>
      <c r="ES747" s="1503"/>
      <c r="ET747" s="1503">
        <f t="shared" si="30"/>
        <v>0</v>
      </c>
      <c r="EU747" s="1503"/>
      <c r="EV747" s="1503"/>
      <c r="EW747" s="1503"/>
      <c r="EX747" s="1503"/>
      <c r="EZ747" s="1506" t="str">
        <f t="shared" si="31"/>
        <v/>
      </c>
      <c r="FA747" s="1517"/>
      <c r="FB747" s="1517"/>
      <c r="FC747" s="1517"/>
      <c r="FD747" s="1507"/>
      <c r="FE747" s="1506" t="str">
        <f t="shared" si="32"/>
        <v/>
      </c>
      <c r="FF747" s="1517"/>
      <c r="FG747" s="1517"/>
      <c r="FH747" s="1517"/>
      <c r="FI747" s="1507"/>
      <c r="FJ747" s="1506" t="str">
        <f t="shared" si="33"/>
        <v/>
      </c>
      <c r="FK747" s="1517"/>
      <c r="FL747" s="1517"/>
      <c r="FM747" s="1517"/>
      <c r="FN747" s="1507"/>
      <c r="FO747" s="1506" t="str">
        <f t="shared" si="34"/>
        <v/>
      </c>
      <c r="FP747" s="1517"/>
      <c r="FQ747" s="1517"/>
      <c r="FR747" s="1517"/>
      <c r="FS747" s="1507"/>
      <c r="FT747" s="1506" t="str">
        <f t="shared" si="35"/>
        <v/>
      </c>
      <c r="FU747" s="1517"/>
      <c r="FV747" s="1517"/>
      <c r="FW747" s="1517"/>
      <c r="FX747" s="1507"/>
      <c r="FY747" s="1506" t="str">
        <f t="shared" si="36"/>
        <v/>
      </c>
      <c r="FZ747" s="1517"/>
      <c r="GA747" s="1517"/>
      <c r="GB747" s="1517"/>
      <c r="GC747" s="1507"/>
    </row>
    <row r="748" spans="1:185" ht="12.95" customHeight="1">
      <c r="B748" s="1328"/>
      <c r="C748" s="1329"/>
      <c r="D748" s="1329"/>
      <c r="E748" s="1329"/>
      <c r="F748" s="1330"/>
      <c r="G748" s="1379"/>
      <c r="H748" s="1380"/>
      <c r="I748" s="1380"/>
      <c r="J748" s="1381"/>
      <c r="K748" s="1382"/>
      <c r="L748" s="1383"/>
      <c r="M748" s="1383"/>
      <c r="N748" s="1384"/>
      <c r="O748" s="1374"/>
      <c r="P748" s="1375"/>
      <c r="Q748" s="1375"/>
      <c r="R748" s="1375"/>
      <c r="S748" s="1376"/>
      <c r="T748" s="1374"/>
      <c r="U748" s="1375"/>
      <c r="V748" s="1375"/>
      <c r="W748" s="1376"/>
      <c r="X748" s="1377">
        <f t="shared" si="9"/>
        <v>0</v>
      </c>
      <c r="Y748" s="1373"/>
      <c r="Z748" s="1373"/>
      <c r="AA748" s="1373"/>
      <c r="AB748" s="1378"/>
      <c r="AC748" s="1385"/>
      <c r="AD748" s="1386"/>
      <c r="AE748" s="1386"/>
      <c r="AF748" s="1386"/>
      <c r="AG748" s="1387"/>
      <c r="AH748" s="1403" t="str">
        <f t="shared" si="37"/>
        <v/>
      </c>
      <c r="AI748" s="1404"/>
      <c r="AJ748" s="1405"/>
      <c r="AK748" s="1328" t="s">
        <v>591</v>
      </c>
      <c r="AL748" s="1329"/>
      <c r="AM748" s="1329"/>
      <c r="AN748" s="1329"/>
      <c r="AO748" s="1330"/>
      <c r="AP748" s="3"/>
      <c r="AQ748" s="3"/>
      <c r="AR748" s="3"/>
      <c r="AS748" s="3"/>
      <c r="AY748" s="1075"/>
      <c r="AZ748" s="118" t="str">
        <f t="shared" si="10"/>
        <v>N/A</v>
      </c>
      <c r="BA748" s="3"/>
      <c r="BE748" s="204"/>
      <c r="BF748" s="294">
        <f t="shared" si="11"/>
        <v>0</v>
      </c>
      <c r="BG748" s="297">
        <f t="shared" si="12"/>
        <v>0</v>
      </c>
      <c r="BH748" s="298" t="str">
        <f t="shared" si="13"/>
        <v/>
      </c>
      <c r="BK748" s="3"/>
      <c r="BL748" s="3"/>
      <c r="BM748" s="3"/>
      <c r="BN748" s="3"/>
      <c r="BS748" s="294">
        <f t="shared" si="14"/>
        <v>0</v>
      </c>
      <c r="BT748" s="297">
        <f t="shared" si="15"/>
        <v>0</v>
      </c>
      <c r="BU748" s="298" t="str">
        <f t="shared" si="16"/>
        <v/>
      </c>
      <c r="BV748" s="3"/>
      <c r="BW748" s="3"/>
      <c r="BX748" s="3"/>
      <c r="BY748" s="3"/>
      <c r="BZ748" s="3"/>
      <c r="CA748" s="3"/>
      <c r="CB748" s="3"/>
      <c r="CC748" s="3"/>
      <c r="CE748" s="3"/>
      <c r="CF748" s="3"/>
      <c r="CG748" s="1506">
        <f t="shared" si="38"/>
        <v>0</v>
      </c>
      <c r="CH748" s="1507"/>
      <c r="CI748" s="1512">
        <f t="shared" si="39"/>
        <v>0</v>
      </c>
      <c r="CJ748" s="1513"/>
      <c r="CK748" s="1506">
        <f t="shared" si="17"/>
        <v>0</v>
      </c>
      <c r="CL748" s="1507"/>
      <c r="CM748" s="1512">
        <f t="shared" si="18"/>
        <v>0</v>
      </c>
      <c r="CN748" s="1513"/>
      <c r="CO748" s="3"/>
      <c r="CP748" s="1508">
        <f t="shared" si="19"/>
        <v>0</v>
      </c>
      <c r="CQ748" s="1509"/>
      <c r="CR748" s="1509"/>
      <c r="CS748" s="1509"/>
      <c r="CT748" s="1510"/>
      <c r="CU748" s="1504">
        <f t="shared" si="20"/>
        <v>0</v>
      </c>
      <c r="CV748" s="1504"/>
      <c r="CW748" s="1504"/>
      <c r="CX748" s="1504"/>
      <c r="CY748" s="1504"/>
      <c r="CZ748" s="1504">
        <f t="shared" si="21"/>
        <v>0</v>
      </c>
      <c r="DA748" s="1504"/>
      <c r="DB748" s="1504"/>
      <c r="DC748" s="1504"/>
      <c r="DD748" s="1504"/>
      <c r="DE748" s="1504">
        <f t="shared" si="22"/>
        <v>0</v>
      </c>
      <c r="DF748" s="1504"/>
      <c r="DG748" s="1504"/>
      <c r="DH748" s="1504"/>
      <c r="DI748" s="1504"/>
      <c r="DJ748" s="1504">
        <f t="shared" si="23"/>
        <v>0</v>
      </c>
      <c r="DK748" s="1504"/>
      <c r="DL748" s="1504"/>
      <c r="DM748" s="1504"/>
      <c r="DN748" s="1504"/>
      <c r="DO748" s="1504">
        <f t="shared" si="24"/>
        <v>0</v>
      </c>
      <c r="DP748" s="1504"/>
      <c r="DQ748" s="1504"/>
      <c r="DR748" s="1504"/>
      <c r="DS748" s="1504"/>
      <c r="DT748" s="6"/>
      <c r="DU748" s="1503">
        <f t="shared" si="25"/>
        <v>0</v>
      </c>
      <c r="DV748" s="1503"/>
      <c r="DW748" s="1503"/>
      <c r="DX748" s="1503"/>
      <c r="DY748" s="1503"/>
      <c r="DZ748" s="1503">
        <f t="shared" si="26"/>
        <v>0</v>
      </c>
      <c r="EA748" s="1503"/>
      <c r="EB748" s="1503"/>
      <c r="EC748" s="1503"/>
      <c r="ED748" s="1503"/>
      <c r="EE748" s="1503">
        <f t="shared" si="27"/>
        <v>0</v>
      </c>
      <c r="EF748" s="1503"/>
      <c r="EG748" s="1503"/>
      <c r="EH748" s="1503"/>
      <c r="EI748" s="1503"/>
      <c r="EJ748" s="1503">
        <f t="shared" si="28"/>
        <v>0</v>
      </c>
      <c r="EK748" s="1503"/>
      <c r="EL748" s="1503"/>
      <c r="EM748" s="1503"/>
      <c r="EN748" s="1503"/>
      <c r="EO748" s="1503">
        <f t="shared" si="29"/>
        <v>0</v>
      </c>
      <c r="EP748" s="1503"/>
      <c r="EQ748" s="1503"/>
      <c r="ER748" s="1503"/>
      <c r="ES748" s="1503"/>
      <c r="ET748" s="1503">
        <f t="shared" si="30"/>
        <v>0</v>
      </c>
      <c r="EU748" s="1503"/>
      <c r="EV748" s="1503"/>
      <c r="EW748" s="1503"/>
      <c r="EX748" s="1503"/>
      <c r="EZ748" s="1506" t="str">
        <f t="shared" si="31"/>
        <v/>
      </c>
      <c r="FA748" s="1517"/>
      <c r="FB748" s="1517"/>
      <c r="FC748" s="1517"/>
      <c r="FD748" s="1507"/>
      <c r="FE748" s="1506" t="str">
        <f t="shared" si="32"/>
        <v/>
      </c>
      <c r="FF748" s="1517"/>
      <c r="FG748" s="1517"/>
      <c r="FH748" s="1517"/>
      <c r="FI748" s="1507"/>
      <c r="FJ748" s="1506" t="str">
        <f t="shared" si="33"/>
        <v/>
      </c>
      <c r="FK748" s="1517"/>
      <c r="FL748" s="1517"/>
      <c r="FM748" s="1517"/>
      <c r="FN748" s="1507"/>
      <c r="FO748" s="1506" t="str">
        <f t="shared" si="34"/>
        <v/>
      </c>
      <c r="FP748" s="1517"/>
      <c r="FQ748" s="1517"/>
      <c r="FR748" s="1517"/>
      <c r="FS748" s="1507"/>
      <c r="FT748" s="1506" t="str">
        <f t="shared" si="35"/>
        <v/>
      </c>
      <c r="FU748" s="1517"/>
      <c r="FV748" s="1517"/>
      <c r="FW748" s="1517"/>
      <c r="FX748" s="1507"/>
      <c r="FY748" s="1506" t="str">
        <f t="shared" si="36"/>
        <v/>
      </c>
      <c r="FZ748" s="1517"/>
      <c r="GA748" s="1517"/>
      <c r="GB748" s="1517"/>
      <c r="GC748" s="1507"/>
    </row>
    <row r="749" spans="1:185" ht="12.95" customHeight="1">
      <c r="B749" s="1328"/>
      <c r="C749" s="1329"/>
      <c r="D749" s="1329"/>
      <c r="E749" s="1329"/>
      <c r="F749" s="1330"/>
      <c r="G749" s="1379"/>
      <c r="H749" s="1380"/>
      <c r="I749" s="1380"/>
      <c r="J749" s="1381"/>
      <c r="K749" s="1382"/>
      <c r="L749" s="1383"/>
      <c r="M749" s="1383"/>
      <c r="N749" s="1384"/>
      <c r="O749" s="1374"/>
      <c r="P749" s="1375"/>
      <c r="Q749" s="1375"/>
      <c r="R749" s="1375"/>
      <c r="S749" s="1376"/>
      <c r="T749" s="1374"/>
      <c r="U749" s="1375"/>
      <c r="V749" s="1375"/>
      <c r="W749" s="1376"/>
      <c r="X749" s="1377">
        <f t="shared" si="9"/>
        <v>0</v>
      </c>
      <c r="Y749" s="1373"/>
      <c r="Z749" s="1373"/>
      <c r="AA749" s="1373"/>
      <c r="AB749" s="1378"/>
      <c r="AC749" s="1385"/>
      <c r="AD749" s="1386"/>
      <c r="AE749" s="1386"/>
      <c r="AF749" s="1386"/>
      <c r="AG749" s="1387"/>
      <c r="AH749" s="1403" t="str">
        <f t="shared" si="37"/>
        <v/>
      </c>
      <c r="AI749" s="1404"/>
      <c r="AJ749" s="1405"/>
      <c r="AK749" s="1328" t="s">
        <v>591</v>
      </c>
      <c r="AL749" s="1329"/>
      <c r="AM749" s="1329"/>
      <c r="AN749" s="1329"/>
      <c r="AO749" s="1330"/>
      <c r="AP749" s="3"/>
      <c r="AQ749" s="3"/>
      <c r="AR749" s="3"/>
      <c r="AS749" s="3"/>
      <c r="AY749" s="1075"/>
      <c r="AZ749" s="118" t="str">
        <f t="shared" si="10"/>
        <v>N/A</v>
      </c>
      <c r="BA749" s="3"/>
      <c r="BE749" s="204"/>
      <c r="BF749" s="294">
        <f t="shared" si="11"/>
        <v>0</v>
      </c>
      <c r="BG749" s="297">
        <f t="shared" si="12"/>
        <v>0</v>
      </c>
      <c r="BH749" s="298" t="str">
        <f t="shared" si="13"/>
        <v/>
      </c>
      <c r="BK749" s="3"/>
      <c r="BL749" s="3"/>
      <c r="BM749" s="3"/>
      <c r="BN749" s="3"/>
      <c r="BS749" s="294">
        <f t="shared" si="14"/>
        <v>0</v>
      </c>
      <c r="BT749" s="297">
        <f t="shared" si="15"/>
        <v>0</v>
      </c>
      <c r="BU749" s="298" t="str">
        <f t="shared" si="16"/>
        <v/>
      </c>
      <c r="BV749" s="3"/>
      <c r="BW749" s="3"/>
      <c r="BX749" s="3"/>
      <c r="BY749" s="3"/>
      <c r="BZ749" s="3"/>
      <c r="CA749" s="3"/>
      <c r="CB749" s="3"/>
      <c r="CC749" s="3"/>
      <c r="CE749" s="3"/>
      <c r="CF749" s="3"/>
      <c r="CG749" s="1506">
        <f t="shared" si="38"/>
        <v>0</v>
      </c>
      <c r="CH749" s="1507"/>
      <c r="CI749" s="1512">
        <f t="shared" si="39"/>
        <v>0</v>
      </c>
      <c r="CJ749" s="1513"/>
      <c r="CK749" s="1506">
        <f t="shared" si="17"/>
        <v>0</v>
      </c>
      <c r="CL749" s="1507"/>
      <c r="CM749" s="1512">
        <f t="shared" si="18"/>
        <v>0</v>
      </c>
      <c r="CN749" s="1513"/>
      <c r="CO749" s="3"/>
      <c r="CP749" s="1508">
        <f t="shared" si="19"/>
        <v>0</v>
      </c>
      <c r="CQ749" s="1509"/>
      <c r="CR749" s="1509"/>
      <c r="CS749" s="1509"/>
      <c r="CT749" s="1510"/>
      <c r="CU749" s="1504">
        <f t="shared" si="20"/>
        <v>0</v>
      </c>
      <c r="CV749" s="1504"/>
      <c r="CW749" s="1504"/>
      <c r="CX749" s="1504"/>
      <c r="CY749" s="1504"/>
      <c r="CZ749" s="1504">
        <f t="shared" si="21"/>
        <v>0</v>
      </c>
      <c r="DA749" s="1504"/>
      <c r="DB749" s="1504"/>
      <c r="DC749" s="1504"/>
      <c r="DD749" s="1504"/>
      <c r="DE749" s="1504">
        <f t="shared" si="22"/>
        <v>0</v>
      </c>
      <c r="DF749" s="1504"/>
      <c r="DG749" s="1504"/>
      <c r="DH749" s="1504"/>
      <c r="DI749" s="1504"/>
      <c r="DJ749" s="1504">
        <f t="shared" si="23"/>
        <v>0</v>
      </c>
      <c r="DK749" s="1504"/>
      <c r="DL749" s="1504"/>
      <c r="DM749" s="1504"/>
      <c r="DN749" s="1504"/>
      <c r="DO749" s="1504">
        <f t="shared" si="24"/>
        <v>0</v>
      </c>
      <c r="DP749" s="1504"/>
      <c r="DQ749" s="1504"/>
      <c r="DR749" s="1504"/>
      <c r="DS749" s="1504"/>
      <c r="DT749" s="6"/>
      <c r="DU749" s="1503">
        <f t="shared" si="25"/>
        <v>0</v>
      </c>
      <c r="DV749" s="1503"/>
      <c r="DW749" s="1503"/>
      <c r="DX749" s="1503"/>
      <c r="DY749" s="1503"/>
      <c r="DZ749" s="1503">
        <f t="shared" si="26"/>
        <v>0</v>
      </c>
      <c r="EA749" s="1503"/>
      <c r="EB749" s="1503"/>
      <c r="EC749" s="1503"/>
      <c r="ED749" s="1503"/>
      <c r="EE749" s="1503">
        <f t="shared" si="27"/>
        <v>0</v>
      </c>
      <c r="EF749" s="1503"/>
      <c r="EG749" s="1503"/>
      <c r="EH749" s="1503"/>
      <c r="EI749" s="1503"/>
      <c r="EJ749" s="1503">
        <f t="shared" si="28"/>
        <v>0</v>
      </c>
      <c r="EK749" s="1503"/>
      <c r="EL749" s="1503"/>
      <c r="EM749" s="1503"/>
      <c r="EN749" s="1503"/>
      <c r="EO749" s="1503">
        <f t="shared" si="29"/>
        <v>0</v>
      </c>
      <c r="EP749" s="1503"/>
      <c r="EQ749" s="1503"/>
      <c r="ER749" s="1503"/>
      <c r="ES749" s="1503"/>
      <c r="ET749" s="1503">
        <f t="shared" si="30"/>
        <v>0</v>
      </c>
      <c r="EU749" s="1503"/>
      <c r="EV749" s="1503"/>
      <c r="EW749" s="1503"/>
      <c r="EX749" s="1503"/>
      <c r="EZ749" s="1506" t="str">
        <f t="shared" si="31"/>
        <v/>
      </c>
      <c r="FA749" s="1517"/>
      <c r="FB749" s="1517"/>
      <c r="FC749" s="1517"/>
      <c r="FD749" s="1507"/>
      <c r="FE749" s="1506" t="str">
        <f t="shared" si="32"/>
        <v/>
      </c>
      <c r="FF749" s="1517"/>
      <c r="FG749" s="1517"/>
      <c r="FH749" s="1517"/>
      <c r="FI749" s="1507"/>
      <c r="FJ749" s="1506" t="str">
        <f t="shared" si="33"/>
        <v/>
      </c>
      <c r="FK749" s="1517"/>
      <c r="FL749" s="1517"/>
      <c r="FM749" s="1517"/>
      <c r="FN749" s="1507"/>
      <c r="FO749" s="1506" t="str">
        <f t="shared" si="34"/>
        <v/>
      </c>
      <c r="FP749" s="1517"/>
      <c r="FQ749" s="1517"/>
      <c r="FR749" s="1517"/>
      <c r="FS749" s="1507"/>
      <c r="FT749" s="1506" t="str">
        <f t="shared" si="35"/>
        <v/>
      </c>
      <c r="FU749" s="1517"/>
      <c r="FV749" s="1517"/>
      <c r="FW749" s="1517"/>
      <c r="FX749" s="1507"/>
      <c r="FY749" s="1506" t="str">
        <f t="shared" si="36"/>
        <v/>
      </c>
      <c r="FZ749" s="1517"/>
      <c r="GA749" s="1517"/>
      <c r="GB749" s="1517"/>
      <c r="GC749" s="1507"/>
    </row>
    <row r="750" spans="1:185" ht="12.95" customHeight="1">
      <c r="B750" s="1328"/>
      <c r="C750" s="1329"/>
      <c r="D750" s="1329"/>
      <c r="E750" s="1329"/>
      <c r="F750" s="1330"/>
      <c r="G750" s="1379"/>
      <c r="H750" s="1380"/>
      <c r="I750" s="1380"/>
      <c r="J750" s="1381"/>
      <c r="K750" s="1382"/>
      <c r="L750" s="1383"/>
      <c r="M750" s="1383"/>
      <c r="N750" s="1384"/>
      <c r="O750" s="1374"/>
      <c r="P750" s="1375"/>
      <c r="Q750" s="1375"/>
      <c r="R750" s="1375"/>
      <c r="S750" s="1376"/>
      <c r="T750" s="1374"/>
      <c r="U750" s="1375"/>
      <c r="V750" s="1375"/>
      <c r="W750" s="1376"/>
      <c r="X750" s="1377">
        <f t="shared" ref="X750:X759" si="40">O750+T750</f>
        <v>0</v>
      </c>
      <c r="Y750" s="1373"/>
      <c r="Z750" s="1373"/>
      <c r="AA750" s="1373"/>
      <c r="AB750" s="1378"/>
      <c r="AC750" s="1385"/>
      <c r="AD750" s="1386"/>
      <c r="AE750" s="1386"/>
      <c r="AF750" s="1386"/>
      <c r="AG750" s="1387"/>
      <c r="AH750" s="1403" t="str">
        <f t="shared" si="37"/>
        <v/>
      </c>
      <c r="AI750" s="1404"/>
      <c r="AJ750" s="1405"/>
      <c r="AK750" s="1328" t="s">
        <v>591</v>
      </c>
      <c r="AL750" s="1329"/>
      <c r="AM750" s="1329"/>
      <c r="AN750" s="1329"/>
      <c r="AO750" s="1330"/>
      <c r="AP750" s="3"/>
      <c r="AQ750" s="3"/>
      <c r="AR750" s="3"/>
      <c r="AS750" s="3"/>
      <c r="AY750" s="1075"/>
      <c r="AZ750" s="118" t="str">
        <f t="shared" si="10"/>
        <v>N/A</v>
      </c>
      <c r="BA750" s="3"/>
      <c r="BB750" s="3"/>
      <c r="BE750" s="204"/>
      <c r="BF750" s="294">
        <f t="shared" si="11"/>
        <v>0</v>
      </c>
      <c r="BG750" s="297">
        <f t="shared" si="12"/>
        <v>0</v>
      </c>
      <c r="BH750" s="298" t="str">
        <f t="shared" si="13"/>
        <v/>
      </c>
      <c r="BL750" s="3"/>
      <c r="BM750" s="3"/>
      <c r="BN750" s="3"/>
      <c r="BS750" s="294">
        <f t="shared" si="14"/>
        <v>0</v>
      </c>
      <c r="BT750" s="297">
        <f t="shared" si="15"/>
        <v>0</v>
      </c>
      <c r="BU750" s="298" t="str">
        <f t="shared" si="16"/>
        <v/>
      </c>
      <c r="BV750" s="3"/>
      <c r="BW750" s="3"/>
      <c r="BX750" s="3"/>
      <c r="BY750" s="3"/>
      <c r="BZ750" s="3"/>
      <c r="CA750" s="3"/>
      <c r="CB750" s="3"/>
      <c r="CC750" s="3"/>
      <c r="CE750" s="3"/>
      <c r="CF750" s="3"/>
      <c r="CG750" s="1506">
        <f t="shared" si="38"/>
        <v>0</v>
      </c>
      <c r="CH750" s="1507"/>
      <c r="CI750" s="1512">
        <f t="shared" si="39"/>
        <v>0</v>
      </c>
      <c r="CJ750" s="1513"/>
      <c r="CK750" s="1506">
        <f t="shared" si="17"/>
        <v>0</v>
      </c>
      <c r="CL750" s="1507"/>
      <c r="CM750" s="1512">
        <f t="shared" si="18"/>
        <v>0</v>
      </c>
      <c r="CN750" s="1513"/>
      <c r="CO750" s="3"/>
      <c r="CP750" s="1508">
        <f t="shared" si="19"/>
        <v>0</v>
      </c>
      <c r="CQ750" s="1509"/>
      <c r="CR750" s="1509"/>
      <c r="CS750" s="1509"/>
      <c r="CT750" s="1510"/>
      <c r="CU750" s="1504">
        <f t="shared" si="20"/>
        <v>0</v>
      </c>
      <c r="CV750" s="1504"/>
      <c r="CW750" s="1504"/>
      <c r="CX750" s="1504"/>
      <c r="CY750" s="1504"/>
      <c r="CZ750" s="1504">
        <f t="shared" si="21"/>
        <v>0</v>
      </c>
      <c r="DA750" s="1504"/>
      <c r="DB750" s="1504"/>
      <c r="DC750" s="1504"/>
      <c r="DD750" s="1504"/>
      <c r="DE750" s="1504">
        <f t="shared" si="22"/>
        <v>0</v>
      </c>
      <c r="DF750" s="1504"/>
      <c r="DG750" s="1504"/>
      <c r="DH750" s="1504"/>
      <c r="DI750" s="1504"/>
      <c r="DJ750" s="1504">
        <f t="shared" si="23"/>
        <v>0</v>
      </c>
      <c r="DK750" s="1504"/>
      <c r="DL750" s="1504"/>
      <c r="DM750" s="1504"/>
      <c r="DN750" s="1504"/>
      <c r="DO750" s="1504">
        <f t="shared" si="24"/>
        <v>0</v>
      </c>
      <c r="DP750" s="1504"/>
      <c r="DQ750" s="1504"/>
      <c r="DR750" s="1504"/>
      <c r="DS750" s="1504"/>
      <c r="DT750" s="6"/>
      <c r="DU750" s="1503">
        <f t="shared" si="25"/>
        <v>0</v>
      </c>
      <c r="DV750" s="1503"/>
      <c r="DW750" s="1503"/>
      <c r="DX750" s="1503"/>
      <c r="DY750" s="1503"/>
      <c r="DZ750" s="1503">
        <f t="shared" si="26"/>
        <v>0</v>
      </c>
      <c r="EA750" s="1503"/>
      <c r="EB750" s="1503"/>
      <c r="EC750" s="1503"/>
      <c r="ED750" s="1503"/>
      <c r="EE750" s="1503">
        <f t="shared" si="27"/>
        <v>0</v>
      </c>
      <c r="EF750" s="1503"/>
      <c r="EG750" s="1503"/>
      <c r="EH750" s="1503"/>
      <c r="EI750" s="1503"/>
      <c r="EJ750" s="1503">
        <f t="shared" si="28"/>
        <v>0</v>
      </c>
      <c r="EK750" s="1503"/>
      <c r="EL750" s="1503"/>
      <c r="EM750" s="1503"/>
      <c r="EN750" s="1503"/>
      <c r="EO750" s="1503">
        <f t="shared" si="29"/>
        <v>0</v>
      </c>
      <c r="EP750" s="1503"/>
      <c r="EQ750" s="1503"/>
      <c r="ER750" s="1503"/>
      <c r="ES750" s="1503"/>
      <c r="ET750" s="1503">
        <f t="shared" si="30"/>
        <v>0</v>
      </c>
      <c r="EU750" s="1503"/>
      <c r="EV750" s="1503"/>
      <c r="EW750" s="1503"/>
      <c r="EX750" s="1503"/>
      <c r="EZ750" s="1506" t="str">
        <f t="shared" si="31"/>
        <v/>
      </c>
      <c r="FA750" s="1517"/>
      <c r="FB750" s="1517"/>
      <c r="FC750" s="1517"/>
      <c r="FD750" s="1507"/>
      <c r="FE750" s="1506" t="str">
        <f t="shared" si="32"/>
        <v/>
      </c>
      <c r="FF750" s="1517"/>
      <c r="FG750" s="1517"/>
      <c r="FH750" s="1517"/>
      <c r="FI750" s="1507"/>
      <c r="FJ750" s="1506" t="str">
        <f t="shared" si="33"/>
        <v/>
      </c>
      <c r="FK750" s="1517"/>
      <c r="FL750" s="1517"/>
      <c r="FM750" s="1517"/>
      <c r="FN750" s="1507"/>
      <c r="FO750" s="1506" t="str">
        <f t="shared" si="34"/>
        <v/>
      </c>
      <c r="FP750" s="1517"/>
      <c r="FQ750" s="1517"/>
      <c r="FR750" s="1517"/>
      <c r="FS750" s="1507"/>
      <c r="FT750" s="1506" t="str">
        <f t="shared" si="35"/>
        <v/>
      </c>
      <c r="FU750" s="1517"/>
      <c r="FV750" s="1517"/>
      <c r="FW750" s="1517"/>
      <c r="FX750" s="1507"/>
      <c r="FY750" s="1506" t="str">
        <f t="shared" si="36"/>
        <v/>
      </c>
      <c r="FZ750" s="1517"/>
      <c r="GA750" s="1517"/>
      <c r="GB750" s="1517"/>
      <c r="GC750" s="1507"/>
    </row>
    <row r="751" spans="1:185" s="3" customFormat="1" ht="12.95" customHeight="1">
      <c r="A751"/>
      <c r="B751" s="1328"/>
      <c r="C751" s="1329"/>
      <c r="D751" s="1329"/>
      <c r="E751" s="1329"/>
      <c r="F751" s="1330"/>
      <c r="G751" s="1379"/>
      <c r="H751" s="1380"/>
      <c r="I751" s="1380"/>
      <c r="J751" s="1381"/>
      <c r="K751" s="1382"/>
      <c r="L751" s="1383"/>
      <c r="M751" s="1383"/>
      <c r="N751" s="1384"/>
      <c r="O751" s="1374"/>
      <c r="P751" s="1375"/>
      <c r="Q751" s="1375"/>
      <c r="R751" s="1375"/>
      <c r="S751" s="1376"/>
      <c r="T751" s="1374"/>
      <c r="U751" s="1375"/>
      <c r="V751" s="1375"/>
      <c r="W751" s="1376"/>
      <c r="X751" s="1377">
        <f t="shared" si="40"/>
        <v>0</v>
      </c>
      <c r="Y751" s="1373"/>
      <c r="Z751" s="1373"/>
      <c r="AA751" s="1373"/>
      <c r="AB751" s="1378"/>
      <c r="AC751" s="1385"/>
      <c r="AD751" s="1386"/>
      <c r="AE751" s="1386"/>
      <c r="AF751" s="1386"/>
      <c r="AG751" s="1387"/>
      <c r="AH751" s="1403" t="str">
        <f t="shared" si="37"/>
        <v/>
      </c>
      <c r="AI751" s="1404"/>
      <c r="AJ751" s="1405"/>
      <c r="AK751" s="1328" t="s">
        <v>591</v>
      </c>
      <c r="AL751" s="1329"/>
      <c r="AM751" s="1329"/>
      <c r="AN751" s="1329"/>
      <c r="AO751" s="1330"/>
      <c r="AT751"/>
      <c r="AU751"/>
      <c r="AV751"/>
      <c r="AW751"/>
      <c r="AX751"/>
      <c r="AY751" s="1075"/>
      <c r="AZ751" s="118" t="str">
        <f t="shared" si="10"/>
        <v>N/A</v>
      </c>
      <c r="BD751"/>
      <c r="BE751"/>
      <c r="BF751" s="294">
        <f t="shared" si="11"/>
        <v>0</v>
      </c>
      <c r="BG751" s="297">
        <f t="shared" si="12"/>
        <v>0</v>
      </c>
      <c r="BH751" s="298" t="str">
        <f t="shared" si="13"/>
        <v/>
      </c>
      <c r="BI751"/>
      <c r="BJ751"/>
      <c r="BK751"/>
      <c r="BL751"/>
      <c r="BM751"/>
      <c r="BN751"/>
      <c r="BO751"/>
      <c r="BP751"/>
      <c r="BQ751"/>
      <c r="BR751"/>
      <c r="BS751" s="294">
        <f t="shared" si="14"/>
        <v>0</v>
      </c>
      <c r="BT751" s="297">
        <f t="shared" si="15"/>
        <v>0</v>
      </c>
      <c r="BU751" s="298" t="str">
        <f t="shared" si="16"/>
        <v/>
      </c>
      <c r="CD751"/>
      <c r="CG751" s="1506">
        <f t="shared" si="38"/>
        <v>0</v>
      </c>
      <c r="CH751" s="1507"/>
      <c r="CI751" s="1512">
        <f t="shared" si="39"/>
        <v>0</v>
      </c>
      <c r="CJ751" s="1513"/>
      <c r="CK751" s="1506">
        <f t="shared" si="17"/>
        <v>0</v>
      </c>
      <c r="CL751" s="1507"/>
      <c r="CM751" s="1512">
        <f t="shared" si="18"/>
        <v>0</v>
      </c>
      <c r="CN751" s="1513"/>
      <c r="CP751" s="1508">
        <f t="shared" si="19"/>
        <v>0</v>
      </c>
      <c r="CQ751" s="1509"/>
      <c r="CR751" s="1509"/>
      <c r="CS751" s="1509"/>
      <c r="CT751" s="1510"/>
      <c r="CU751" s="1504">
        <f t="shared" si="20"/>
        <v>0</v>
      </c>
      <c r="CV751" s="1504"/>
      <c r="CW751" s="1504"/>
      <c r="CX751" s="1504"/>
      <c r="CY751" s="1504"/>
      <c r="CZ751" s="1504">
        <f t="shared" si="21"/>
        <v>0</v>
      </c>
      <c r="DA751" s="1504"/>
      <c r="DB751" s="1504"/>
      <c r="DC751" s="1504"/>
      <c r="DD751" s="1504"/>
      <c r="DE751" s="1504">
        <f t="shared" si="22"/>
        <v>0</v>
      </c>
      <c r="DF751" s="1504"/>
      <c r="DG751" s="1504"/>
      <c r="DH751" s="1504"/>
      <c r="DI751" s="1504"/>
      <c r="DJ751" s="1504">
        <f t="shared" si="23"/>
        <v>0</v>
      </c>
      <c r="DK751" s="1504"/>
      <c r="DL751" s="1504"/>
      <c r="DM751" s="1504"/>
      <c r="DN751" s="1504"/>
      <c r="DO751" s="1504">
        <f t="shared" si="24"/>
        <v>0</v>
      </c>
      <c r="DP751" s="1504"/>
      <c r="DQ751" s="1504"/>
      <c r="DR751" s="1504"/>
      <c r="DS751" s="1504"/>
      <c r="DT751" s="6"/>
      <c r="DU751" s="1503">
        <f t="shared" si="25"/>
        <v>0</v>
      </c>
      <c r="DV751" s="1503"/>
      <c r="DW751" s="1503"/>
      <c r="DX751" s="1503"/>
      <c r="DY751" s="1503"/>
      <c r="DZ751" s="1503">
        <f t="shared" si="26"/>
        <v>0</v>
      </c>
      <c r="EA751" s="1503"/>
      <c r="EB751" s="1503"/>
      <c r="EC751" s="1503"/>
      <c r="ED751" s="1503"/>
      <c r="EE751" s="1503">
        <f t="shared" si="27"/>
        <v>0</v>
      </c>
      <c r="EF751" s="1503"/>
      <c r="EG751" s="1503"/>
      <c r="EH751" s="1503"/>
      <c r="EI751" s="1503"/>
      <c r="EJ751" s="1503">
        <f t="shared" si="28"/>
        <v>0</v>
      </c>
      <c r="EK751" s="1503"/>
      <c r="EL751" s="1503"/>
      <c r="EM751" s="1503"/>
      <c r="EN751" s="1503"/>
      <c r="EO751" s="1503">
        <f t="shared" si="29"/>
        <v>0</v>
      </c>
      <c r="EP751" s="1503"/>
      <c r="EQ751" s="1503"/>
      <c r="ER751" s="1503"/>
      <c r="ES751" s="1503"/>
      <c r="ET751" s="1503">
        <f t="shared" si="30"/>
        <v>0</v>
      </c>
      <c r="EU751" s="1503"/>
      <c r="EV751" s="1503"/>
      <c r="EW751" s="1503"/>
      <c r="EX751" s="1503"/>
      <c r="EY751"/>
      <c r="EZ751" s="1506" t="str">
        <f t="shared" si="31"/>
        <v/>
      </c>
      <c r="FA751" s="1517"/>
      <c r="FB751" s="1517"/>
      <c r="FC751" s="1517"/>
      <c r="FD751" s="1507"/>
      <c r="FE751" s="1506" t="str">
        <f t="shared" si="32"/>
        <v/>
      </c>
      <c r="FF751" s="1517"/>
      <c r="FG751" s="1517"/>
      <c r="FH751" s="1517"/>
      <c r="FI751" s="1507"/>
      <c r="FJ751" s="1506" t="str">
        <f t="shared" si="33"/>
        <v/>
      </c>
      <c r="FK751" s="1517"/>
      <c r="FL751" s="1517"/>
      <c r="FM751" s="1517"/>
      <c r="FN751" s="1507"/>
      <c r="FO751" s="1506" t="str">
        <f t="shared" si="34"/>
        <v/>
      </c>
      <c r="FP751" s="1517"/>
      <c r="FQ751" s="1517"/>
      <c r="FR751" s="1517"/>
      <c r="FS751" s="1507"/>
      <c r="FT751" s="1506" t="str">
        <f t="shared" si="35"/>
        <v/>
      </c>
      <c r="FU751" s="1517"/>
      <c r="FV751" s="1517"/>
      <c r="FW751" s="1517"/>
      <c r="FX751" s="1507"/>
      <c r="FY751" s="1506" t="str">
        <f t="shared" si="36"/>
        <v/>
      </c>
      <c r="FZ751" s="1517"/>
      <c r="GA751" s="1517"/>
      <c r="GB751" s="1517"/>
      <c r="GC751" s="1507"/>
    </row>
    <row r="752" spans="1:185" ht="12.95" customHeight="1">
      <c r="B752" s="1328"/>
      <c r="C752" s="1329"/>
      <c r="D752" s="1329"/>
      <c r="E752" s="1329"/>
      <c r="F752" s="1330"/>
      <c r="G752" s="1379"/>
      <c r="H752" s="1380"/>
      <c r="I752" s="1380"/>
      <c r="J752" s="1381"/>
      <c r="K752" s="1382"/>
      <c r="L752" s="1383"/>
      <c r="M752" s="1383"/>
      <c r="N752" s="1384"/>
      <c r="O752" s="1374"/>
      <c r="P752" s="1375"/>
      <c r="Q752" s="1375"/>
      <c r="R752" s="1375"/>
      <c r="S752" s="1376"/>
      <c r="T752" s="1374"/>
      <c r="U752" s="1375"/>
      <c r="V752" s="1375"/>
      <c r="W752" s="1376"/>
      <c r="X752" s="1377">
        <f t="shared" si="40"/>
        <v>0</v>
      </c>
      <c r="Y752" s="1373"/>
      <c r="Z752" s="1373"/>
      <c r="AA752" s="1373"/>
      <c r="AB752" s="1378"/>
      <c r="AC752" s="1385"/>
      <c r="AD752" s="1386"/>
      <c r="AE752" s="1386"/>
      <c r="AF752" s="1386"/>
      <c r="AG752" s="1387"/>
      <c r="AH752" s="1403" t="str">
        <f t="shared" si="37"/>
        <v/>
      </c>
      <c r="AI752" s="1404"/>
      <c r="AJ752" s="1405"/>
      <c r="AK752" s="1328" t="s">
        <v>591</v>
      </c>
      <c r="AL752" s="1329"/>
      <c r="AM752" s="1329"/>
      <c r="AN752" s="1329"/>
      <c r="AO752" s="1330"/>
      <c r="AP752" s="3"/>
      <c r="AQ752" s="3"/>
      <c r="AR752" s="3"/>
      <c r="AS752" s="3"/>
      <c r="AY752" s="1075"/>
      <c r="AZ752" s="118" t="str">
        <f t="shared" si="10"/>
        <v>N/A</v>
      </c>
      <c r="BA752" s="3"/>
      <c r="BB752" s="3"/>
      <c r="BC752" s="3"/>
      <c r="BD752" s="3"/>
      <c r="BE752" s="3"/>
      <c r="BF752" s="294">
        <f t="shared" si="11"/>
        <v>0</v>
      </c>
      <c r="BG752" s="297">
        <f t="shared" si="12"/>
        <v>0</v>
      </c>
      <c r="BH752" s="298" t="str">
        <f t="shared" si="13"/>
        <v/>
      </c>
      <c r="BI752" s="3"/>
      <c r="BJ752" s="3"/>
      <c r="BK752" s="3"/>
      <c r="BL752" s="3"/>
      <c r="BM752" s="3"/>
      <c r="BN752" s="3"/>
      <c r="BS752" s="294">
        <f t="shared" si="14"/>
        <v>0</v>
      </c>
      <c r="BT752" s="297">
        <f t="shared" si="15"/>
        <v>0</v>
      </c>
      <c r="BU752" s="298" t="str">
        <f t="shared" si="16"/>
        <v/>
      </c>
      <c r="BV752" s="3"/>
      <c r="BW752" s="3"/>
      <c r="BX752" s="3"/>
      <c r="BY752" s="3"/>
      <c r="BZ752" s="3"/>
      <c r="CA752" s="3"/>
      <c r="CB752" s="3"/>
      <c r="CC752" s="3"/>
      <c r="CE752" s="3"/>
      <c r="CF752" s="3"/>
      <c r="CG752" s="1506">
        <f t="shared" si="38"/>
        <v>0</v>
      </c>
      <c r="CH752" s="1507"/>
      <c r="CI752" s="1512">
        <f t="shared" si="39"/>
        <v>0</v>
      </c>
      <c r="CJ752" s="1513"/>
      <c r="CK752" s="1506">
        <f t="shared" si="17"/>
        <v>0</v>
      </c>
      <c r="CL752" s="1507"/>
      <c r="CM752" s="1512">
        <f t="shared" si="18"/>
        <v>0</v>
      </c>
      <c r="CN752" s="1513"/>
      <c r="CO752" s="3"/>
      <c r="CP752" s="1508">
        <f t="shared" si="19"/>
        <v>0</v>
      </c>
      <c r="CQ752" s="1509"/>
      <c r="CR752" s="1509"/>
      <c r="CS752" s="1509"/>
      <c r="CT752" s="1510"/>
      <c r="CU752" s="1504">
        <f t="shared" si="20"/>
        <v>0</v>
      </c>
      <c r="CV752" s="1504"/>
      <c r="CW752" s="1504"/>
      <c r="CX752" s="1504"/>
      <c r="CY752" s="1504"/>
      <c r="CZ752" s="1504">
        <f t="shared" si="21"/>
        <v>0</v>
      </c>
      <c r="DA752" s="1504"/>
      <c r="DB752" s="1504"/>
      <c r="DC752" s="1504"/>
      <c r="DD752" s="1504"/>
      <c r="DE752" s="1504">
        <f t="shared" si="22"/>
        <v>0</v>
      </c>
      <c r="DF752" s="1504"/>
      <c r="DG752" s="1504"/>
      <c r="DH752" s="1504"/>
      <c r="DI752" s="1504"/>
      <c r="DJ752" s="1504">
        <f t="shared" si="23"/>
        <v>0</v>
      </c>
      <c r="DK752" s="1504"/>
      <c r="DL752" s="1504"/>
      <c r="DM752" s="1504"/>
      <c r="DN752" s="1504"/>
      <c r="DO752" s="1504">
        <f t="shared" si="24"/>
        <v>0</v>
      </c>
      <c r="DP752" s="1504"/>
      <c r="DQ752" s="1504"/>
      <c r="DR752" s="1504"/>
      <c r="DS752" s="1504"/>
      <c r="DT752" s="6"/>
      <c r="DU752" s="1503">
        <f t="shared" si="25"/>
        <v>0</v>
      </c>
      <c r="DV752" s="1503"/>
      <c r="DW752" s="1503"/>
      <c r="DX752" s="1503"/>
      <c r="DY752" s="1503"/>
      <c r="DZ752" s="1503">
        <f t="shared" si="26"/>
        <v>0</v>
      </c>
      <c r="EA752" s="1503"/>
      <c r="EB752" s="1503"/>
      <c r="EC752" s="1503"/>
      <c r="ED752" s="1503"/>
      <c r="EE752" s="1503">
        <f t="shared" si="27"/>
        <v>0</v>
      </c>
      <c r="EF752" s="1503"/>
      <c r="EG752" s="1503"/>
      <c r="EH752" s="1503"/>
      <c r="EI752" s="1503"/>
      <c r="EJ752" s="1503">
        <f t="shared" si="28"/>
        <v>0</v>
      </c>
      <c r="EK752" s="1503"/>
      <c r="EL752" s="1503"/>
      <c r="EM752" s="1503"/>
      <c r="EN752" s="1503"/>
      <c r="EO752" s="1503">
        <f t="shared" si="29"/>
        <v>0</v>
      </c>
      <c r="EP752" s="1503"/>
      <c r="EQ752" s="1503"/>
      <c r="ER752" s="1503"/>
      <c r="ES752" s="1503"/>
      <c r="ET752" s="1503">
        <f t="shared" si="30"/>
        <v>0</v>
      </c>
      <c r="EU752" s="1503"/>
      <c r="EV752" s="1503"/>
      <c r="EW752" s="1503"/>
      <c r="EX752" s="1503"/>
      <c r="EZ752" s="1506" t="str">
        <f t="shared" si="31"/>
        <v/>
      </c>
      <c r="FA752" s="1517"/>
      <c r="FB752" s="1517"/>
      <c r="FC752" s="1517"/>
      <c r="FD752" s="1507"/>
      <c r="FE752" s="1506" t="str">
        <f t="shared" si="32"/>
        <v/>
      </c>
      <c r="FF752" s="1517"/>
      <c r="FG752" s="1517"/>
      <c r="FH752" s="1517"/>
      <c r="FI752" s="1507"/>
      <c r="FJ752" s="1506" t="str">
        <f t="shared" si="33"/>
        <v/>
      </c>
      <c r="FK752" s="1517"/>
      <c r="FL752" s="1517"/>
      <c r="FM752" s="1517"/>
      <c r="FN752" s="1507"/>
      <c r="FO752" s="1506" t="str">
        <f t="shared" si="34"/>
        <v/>
      </c>
      <c r="FP752" s="1517"/>
      <c r="FQ752" s="1517"/>
      <c r="FR752" s="1517"/>
      <c r="FS752" s="1507"/>
      <c r="FT752" s="1506" t="str">
        <f t="shared" si="35"/>
        <v/>
      </c>
      <c r="FU752" s="1517"/>
      <c r="FV752" s="1517"/>
      <c r="FW752" s="1517"/>
      <c r="FX752" s="1507"/>
      <c r="FY752" s="1506" t="str">
        <f t="shared" si="36"/>
        <v/>
      </c>
      <c r="FZ752" s="1517"/>
      <c r="GA752" s="1517"/>
      <c r="GB752" s="1517"/>
      <c r="GC752" s="1507"/>
    </row>
    <row r="753" spans="1:185" ht="12.95" customHeight="1">
      <c r="B753" s="1328"/>
      <c r="C753" s="1329"/>
      <c r="D753" s="1329"/>
      <c r="E753" s="1329"/>
      <c r="F753" s="1330"/>
      <c r="G753" s="1379"/>
      <c r="H753" s="1380"/>
      <c r="I753" s="1380"/>
      <c r="J753" s="1381"/>
      <c r="K753" s="1382"/>
      <c r="L753" s="1383"/>
      <c r="M753" s="1383"/>
      <c r="N753" s="1384"/>
      <c r="O753" s="1374"/>
      <c r="P753" s="1375"/>
      <c r="Q753" s="1375"/>
      <c r="R753" s="1375"/>
      <c r="S753" s="1376"/>
      <c r="T753" s="1374"/>
      <c r="U753" s="1375"/>
      <c r="V753" s="1375"/>
      <c r="W753" s="1376"/>
      <c r="X753" s="1377">
        <f t="shared" si="40"/>
        <v>0</v>
      </c>
      <c r="Y753" s="1373"/>
      <c r="Z753" s="1373"/>
      <c r="AA753" s="1373"/>
      <c r="AB753" s="1378"/>
      <c r="AC753" s="1385"/>
      <c r="AD753" s="1386"/>
      <c r="AE753" s="1386"/>
      <c r="AF753" s="1386"/>
      <c r="AG753" s="1387"/>
      <c r="AH753" s="1403" t="str">
        <f t="shared" si="37"/>
        <v/>
      </c>
      <c r="AI753" s="1404"/>
      <c r="AJ753" s="1405"/>
      <c r="AK753" s="1328" t="s">
        <v>591</v>
      </c>
      <c r="AL753" s="1329"/>
      <c r="AM753" s="1329"/>
      <c r="AN753" s="1329"/>
      <c r="AO753" s="1330"/>
      <c r="AP753" s="3"/>
      <c r="AQ753" s="3"/>
      <c r="AR753" s="3"/>
      <c r="AS753" s="3"/>
      <c r="AY753" s="1075"/>
      <c r="AZ753" s="118" t="str">
        <f t="shared" si="10"/>
        <v>N/A</v>
      </c>
      <c r="BA753" s="3"/>
      <c r="BB753" s="3"/>
      <c r="BC753" s="3"/>
      <c r="BD753" s="3"/>
      <c r="BE753" s="3"/>
      <c r="BF753" s="294">
        <f t="shared" si="11"/>
        <v>0</v>
      </c>
      <c r="BG753" s="297">
        <f t="shared" si="12"/>
        <v>0</v>
      </c>
      <c r="BH753" s="298" t="str">
        <f t="shared" si="13"/>
        <v/>
      </c>
      <c r="BI753" s="3"/>
      <c r="BJ753" s="3"/>
      <c r="BK753" s="3"/>
      <c r="BL753" s="3"/>
      <c r="BM753" s="3"/>
      <c r="BN753" s="3"/>
      <c r="BS753" s="294">
        <f t="shared" si="14"/>
        <v>0</v>
      </c>
      <c r="BT753" s="297">
        <f t="shared" si="15"/>
        <v>0</v>
      </c>
      <c r="BU753" s="298" t="str">
        <f t="shared" si="16"/>
        <v/>
      </c>
      <c r="BV753" s="3"/>
      <c r="BW753" s="3"/>
      <c r="BX753" s="3"/>
      <c r="BY753" s="3"/>
      <c r="BZ753" s="3"/>
      <c r="CA753" s="3"/>
      <c r="CB753" s="3"/>
      <c r="CC753" s="3"/>
      <c r="CE753" s="3"/>
      <c r="CF753" s="3"/>
      <c r="CG753" s="1506">
        <f t="shared" si="38"/>
        <v>0</v>
      </c>
      <c r="CH753" s="1507"/>
      <c r="CI753" s="1512">
        <f t="shared" si="39"/>
        <v>0</v>
      </c>
      <c r="CJ753" s="1513"/>
      <c r="CK753" s="1506">
        <f t="shared" si="17"/>
        <v>0</v>
      </c>
      <c r="CL753" s="1507"/>
      <c r="CM753" s="1512">
        <f t="shared" si="18"/>
        <v>0</v>
      </c>
      <c r="CN753" s="1513"/>
      <c r="CO753" s="3"/>
      <c r="CP753" s="1508">
        <f t="shared" si="19"/>
        <v>0</v>
      </c>
      <c r="CQ753" s="1509"/>
      <c r="CR753" s="1509"/>
      <c r="CS753" s="1509"/>
      <c r="CT753" s="1510"/>
      <c r="CU753" s="1504">
        <f t="shared" si="20"/>
        <v>0</v>
      </c>
      <c r="CV753" s="1504"/>
      <c r="CW753" s="1504"/>
      <c r="CX753" s="1504"/>
      <c r="CY753" s="1504"/>
      <c r="CZ753" s="1504">
        <f t="shared" si="21"/>
        <v>0</v>
      </c>
      <c r="DA753" s="1504"/>
      <c r="DB753" s="1504"/>
      <c r="DC753" s="1504"/>
      <c r="DD753" s="1504"/>
      <c r="DE753" s="1504">
        <f t="shared" si="22"/>
        <v>0</v>
      </c>
      <c r="DF753" s="1504"/>
      <c r="DG753" s="1504"/>
      <c r="DH753" s="1504"/>
      <c r="DI753" s="1504"/>
      <c r="DJ753" s="1504">
        <f t="shared" si="23"/>
        <v>0</v>
      </c>
      <c r="DK753" s="1504"/>
      <c r="DL753" s="1504"/>
      <c r="DM753" s="1504"/>
      <c r="DN753" s="1504"/>
      <c r="DO753" s="1504">
        <f t="shared" si="24"/>
        <v>0</v>
      </c>
      <c r="DP753" s="1504"/>
      <c r="DQ753" s="1504"/>
      <c r="DR753" s="1504"/>
      <c r="DS753" s="1504"/>
      <c r="DT753" s="6"/>
      <c r="DU753" s="1503">
        <f t="shared" si="25"/>
        <v>0</v>
      </c>
      <c r="DV753" s="1503"/>
      <c r="DW753" s="1503"/>
      <c r="DX753" s="1503"/>
      <c r="DY753" s="1503"/>
      <c r="DZ753" s="1503">
        <f t="shared" si="26"/>
        <v>0</v>
      </c>
      <c r="EA753" s="1503"/>
      <c r="EB753" s="1503"/>
      <c r="EC753" s="1503"/>
      <c r="ED753" s="1503"/>
      <c r="EE753" s="1503">
        <f t="shared" si="27"/>
        <v>0</v>
      </c>
      <c r="EF753" s="1503"/>
      <c r="EG753" s="1503"/>
      <c r="EH753" s="1503"/>
      <c r="EI753" s="1503"/>
      <c r="EJ753" s="1503">
        <f t="shared" si="28"/>
        <v>0</v>
      </c>
      <c r="EK753" s="1503"/>
      <c r="EL753" s="1503"/>
      <c r="EM753" s="1503"/>
      <c r="EN753" s="1503"/>
      <c r="EO753" s="1503">
        <f t="shared" si="29"/>
        <v>0</v>
      </c>
      <c r="EP753" s="1503"/>
      <c r="EQ753" s="1503"/>
      <c r="ER753" s="1503"/>
      <c r="ES753" s="1503"/>
      <c r="ET753" s="1503">
        <f t="shared" si="30"/>
        <v>0</v>
      </c>
      <c r="EU753" s="1503"/>
      <c r="EV753" s="1503"/>
      <c r="EW753" s="1503"/>
      <c r="EX753" s="1503"/>
      <c r="EZ753" s="1506" t="str">
        <f t="shared" si="31"/>
        <v/>
      </c>
      <c r="FA753" s="1517"/>
      <c r="FB753" s="1517"/>
      <c r="FC753" s="1517"/>
      <c r="FD753" s="1507"/>
      <c r="FE753" s="1506" t="str">
        <f t="shared" si="32"/>
        <v/>
      </c>
      <c r="FF753" s="1517"/>
      <c r="FG753" s="1517"/>
      <c r="FH753" s="1517"/>
      <c r="FI753" s="1507"/>
      <c r="FJ753" s="1506" t="str">
        <f t="shared" si="33"/>
        <v/>
      </c>
      <c r="FK753" s="1517"/>
      <c r="FL753" s="1517"/>
      <c r="FM753" s="1517"/>
      <c r="FN753" s="1507"/>
      <c r="FO753" s="1506" t="str">
        <f t="shared" si="34"/>
        <v/>
      </c>
      <c r="FP753" s="1517"/>
      <c r="FQ753" s="1517"/>
      <c r="FR753" s="1517"/>
      <c r="FS753" s="1507"/>
      <c r="FT753" s="1506" t="str">
        <f t="shared" si="35"/>
        <v/>
      </c>
      <c r="FU753" s="1517"/>
      <c r="FV753" s="1517"/>
      <c r="FW753" s="1517"/>
      <c r="FX753" s="1507"/>
      <c r="FY753" s="1506" t="str">
        <f t="shared" si="36"/>
        <v/>
      </c>
      <c r="FZ753" s="1517"/>
      <c r="GA753" s="1517"/>
      <c r="GB753" s="1517"/>
      <c r="GC753" s="1507"/>
    </row>
    <row r="754" spans="1:185" ht="12.95" customHeight="1">
      <c r="B754" s="1328"/>
      <c r="C754" s="1329"/>
      <c r="D754" s="1329"/>
      <c r="E754" s="1329"/>
      <c r="F754" s="1330"/>
      <c r="G754" s="1379"/>
      <c r="H754" s="1380"/>
      <c r="I754" s="1380"/>
      <c r="J754" s="1381"/>
      <c r="K754" s="1382"/>
      <c r="L754" s="1383"/>
      <c r="M754" s="1383"/>
      <c r="N754" s="1384"/>
      <c r="O754" s="1374"/>
      <c r="P754" s="1375"/>
      <c r="Q754" s="1375"/>
      <c r="R754" s="1375"/>
      <c r="S754" s="1376"/>
      <c r="T754" s="1374"/>
      <c r="U754" s="1375"/>
      <c r="V754" s="1375"/>
      <c r="W754" s="1376"/>
      <c r="X754" s="1377">
        <f t="shared" si="40"/>
        <v>0</v>
      </c>
      <c r="Y754" s="1373"/>
      <c r="Z754" s="1373"/>
      <c r="AA754" s="1373"/>
      <c r="AB754" s="1378"/>
      <c r="AC754" s="1385"/>
      <c r="AD754" s="1386"/>
      <c r="AE754" s="1386"/>
      <c r="AF754" s="1386"/>
      <c r="AG754" s="1387"/>
      <c r="AH754" s="1403" t="str">
        <f t="shared" si="37"/>
        <v/>
      </c>
      <c r="AI754" s="1404"/>
      <c r="AJ754" s="1405"/>
      <c r="AK754" s="1328" t="s">
        <v>591</v>
      </c>
      <c r="AL754" s="1329"/>
      <c r="AM754" s="1329"/>
      <c r="AN754" s="1329"/>
      <c r="AO754" s="1330"/>
      <c r="AP754" s="3"/>
      <c r="AQ754" s="3"/>
      <c r="AR754" s="3"/>
      <c r="AS754" s="3"/>
      <c r="AY754" s="1075"/>
      <c r="AZ754" s="118" t="str">
        <f t="shared" si="10"/>
        <v>N/A</v>
      </c>
      <c r="BA754" s="34"/>
      <c r="BB754" s="34"/>
      <c r="BC754" s="34"/>
      <c r="BD754" s="34"/>
      <c r="BE754" s="34"/>
      <c r="BF754" s="294">
        <f t="shared" si="11"/>
        <v>0</v>
      </c>
      <c r="BG754" s="297">
        <f t="shared" si="12"/>
        <v>0</v>
      </c>
      <c r="BH754" s="298" t="str">
        <f t="shared" si="13"/>
        <v/>
      </c>
      <c r="BI754" s="34"/>
      <c r="BJ754" s="34"/>
      <c r="BK754" s="34"/>
      <c r="BL754" s="34"/>
      <c r="BM754" s="34"/>
      <c r="BN754" s="34"/>
      <c r="BS754" s="294">
        <f t="shared" si="14"/>
        <v>0</v>
      </c>
      <c r="BT754" s="297">
        <f t="shared" si="15"/>
        <v>0</v>
      </c>
      <c r="BU754" s="298" t="str">
        <f t="shared" si="16"/>
        <v/>
      </c>
      <c r="BV754" s="3"/>
      <c r="BW754" s="3"/>
      <c r="BX754" s="3"/>
      <c r="BY754" s="3"/>
      <c r="BZ754" s="3"/>
      <c r="CA754" s="3"/>
      <c r="CB754" s="3"/>
      <c r="CC754" s="3"/>
      <c r="CE754" s="3"/>
      <c r="CF754" s="3"/>
      <c r="CG754" s="1506">
        <f t="shared" si="38"/>
        <v>0</v>
      </c>
      <c r="CH754" s="1507"/>
      <c r="CI754" s="1512">
        <f t="shared" si="39"/>
        <v>0</v>
      </c>
      <c r="CJ754" s="1513"/>
      <c r="CK754" s="1506">
        <f t="shared" si="17"/>
        <v>0</v>
      </c>
      <c r="CL754" s="1507"/>
      <c r="CM754" s="1512">
        <f t="shared" si="18"/>
        <v>0</v>
      </c>
      <c r="CN754" s="1513"/>
      <c r="CO754" s="3"/>
      <c r="CP754" s="1508">
        <f t="shared" si="19"/>
        <v>0</v>
      </c>
      <c r="CQ754" s="1509"/>
      <c r="CR754" s="1509"/>
      <c r="CS754" s="1509"/>
      <c r="CT754" s="1510"/>
      <c r="CU754" s="1504">
        <f t="shared" si="20"/>
        <v>0</v>
      </c>
      <c r="CV754" s="1504"/>
      <c r="CW754" s="1504"/>
      <c r="CX754" s="1504"/>
      <c r="CY754" s="1504"/>
      <c r="CZ754" s="1504">
        <f t="shared" si="21"/>
        <v>0</v>
      </c>
      <c r="DA754" s="1504"/>
      <c r="DB754" s="1504"/>
      <c r="DC754" s="1504"/>
      <c r="DD754" s="1504"/>
      <c r="DE754" s="1504">
        <f t="shared" si="22"/>
        <v>0</v>
      </c>
      <c r="DF754" s="1504"/>
      <c r="DG754" s="1504"/>
      <c r="DH754" s="1504"/>
      <c r="DI754" s="1504"/>
      <c r="DJ754" s="1504">
        <f t="shared" si="23"/>
        <v>0</v>
      </c>
      <c r="DK754" s="1504"/>
      <c r="DL754" s="1504"/>
      <c r="DM754" s="1504"/>
      <c r="DN754" s="1504"/>
      <c r="DO754" s="1504">
        <f t="shared" si="24"/>
        <v>0</v>
      </c>
      <c r="DP754" s="1504"/>
      <c r="DQ754" s="1504"/>
      <c r="DR754" s="1504"/>
      <c r="DS754" s="1504"/>
      <c r="DT754" s="6"/>
      <c r="DU754" s="1503">
        <f t="shared" si="25"/>
        <v>0</v>
      </c>
      <c r="DV754" s="1503"/>
      <c r="DW754" s="1503"/>
      <c r="DX754" s="1503"/>
      <c r="DY754" s="1503"/>
      <c r="DZ754" s="1503">
        <f t="shared" si="26"/>
        <v>0</v>
      </c>
      <c r="EA754" s="1503"/>
      <c r="EB754" s="1503"/>
      <c r="EC754" s="1503"/>
      <c r="ED754" s="1503"/>
      <c r="EE754" s="1503">
        <f t="shared" si="27"/>
        <v>0</v>
      </c>
      <c r="EF754" s="1503"/>
      <c r="EG754" s="1503"/>
      <c r="EH754" s="1503"/>
      <c r="EI754" s="1503"/>
      <c r="EJ754" s="1503">
        <f t="shared" si="28"/>
        <v>0</v>
      </c>
      <c r="EK754" s="1503"/>
      <c r="EL754" s="1503"/>
      <c r="EM754" s="1503"/>
      <c r="EN754" s="1503"/>
      <c r="EO754" s="1503">
        <f t="shared" si="29"/>
        <v>0</v>
      </c>
      <c r="EP754" s="1503"/>
      <c r="EQ754" s="1503"/>
      <c r="ER754" s="1503"/>
      <c r="ES754" s="1503"/>
      <c r="ET754" s="1503">
        <f t="shared" si="30"/>
        <v>0</v>
      </c>
      <c r="EU754" s="1503"/>
      <c r="EV754" s="1503"/>
      <c r="EW754" s="1503"/>
      <c r="EX754" s="1503"/>
      <c r="EZ754" s="1506" t="str">
        <f t="shared" si="31"/>
        <v/>
      </c>
      <c r="FA754" s="1517"/>
      <c r="FB754" s="1517"/>
      <c r="FC754" s="1517"/>
      <c r="FD754" s="1507"/>
      <c r="FE754" s="1506" t="str">
        <f t="shared" si="32"/>
        <v/>
      </c>
      <c r="FF754" s="1517"/>
      <c r="FG754" s="1517"/>
      <c r="FH754" s="1517"/>
      <c r="FI754" s="1507"/>
      <c r="FJ754" s="1506" t="str">
        <f t="shared" si="33"/>
        <v/>
      </c>
      <c r="FK754" s="1517"/>
      <c r="FL754" s="1517"/>
      <c r="FM754" s="1517"/>
      <c r="FN754" s="1507"/>
      <c r="FO754" s="1506" t="str">
        <f t="shared" si="34"/>
        <v/>
      </c>
      <c r="FP754" s="1517"/>
      <c r="FQ754" s="1517"/>
      <c r="FR754" s="1517"/>
      <c r="FS754" s="1507"/>
      <c r="FT754" s="1506" t="str">
        <f t="shared" si="35"/>
        <v/>
      </c>
      <c r="FU754" s="1517"/>
      <c r="FV754" s="1517"/>
      <c r="FW754" s="1517"/>
      <c r="FX754" s="1507"/>
      <c r="FY754" s="1506" t="str">
        <f t="shared" si="36"/>
        <v/>
      </c>
      <c r="FZ754" s="1517"/>
      <c r="GA754" s="1517"/>
      <c r="GB754" s="1517"/>
      <c r="GC754" s="1507"/>
    </row>
    <row r="755" spans="1:185" ht="12.95" customHeight="1">
      <c r="B755" s="1328"/>
      <c r="C755" s="1329"/>
      <c r="D755" s="1329"/>
      <c r="E755" s="1329"/>
      <c r="F755" s="1330"/>
      <c r="G755" s="1379"/>
      <c r="H755" s="1380"/>
      <c r="I755" s="1380"/>
      <c r="J755" s="1381"/>
      <c r="K755" s="1382"/>
      <c r="L755" s="1383"/>
      <c r="M755" s="1383"/>
      <c r="N755" s="1384"/>
      <c r="O755" s="1374"/>
      <c r="P755" s="1375"/>
      <c r="Q755" s="1375"/>
      <c r="R755" s="1375"/>
      <c r="S755" s="1376"/>
      <c r="T755" s="1374"/>
      <c r="U755" s="1375"/>
      <c r="V755" s="1375"/>
      <c r="W755" s="1376"/>
      <c r="X755" s="1377">
        <f t="shared" si="40"/>
        <v>0</v>
      </c>
      <c r="Y755" s="1373"/>
      <c r="Z755" s="1373"/>
      <c r="AA755" s="1373"/>
      <c r="AB755" s="1378"/>
      <c r="AC755" s="1385"/>
      <c r="AD755" s="1386"/>
      <c r="AE755" s="1386"/>
      <c r="AF755" s="1386"/>
      <c r="AG755" s="1387"/>
      <c r="AH755" s="1403" t="str">
        <f t="shared" si="37"/>
        <v/>
      </c>
      <c r="AI755" s="1404"/>
      <c r="AJ755" s="1405"/>
      <c r="AK755" s="1328" t="s">
        <v>591</v>
      </c>
      <c r="AL755" s="1329"/>
      <c r="AM755" s="1329"/>
      <c r="AN755" s="1329"/>
      <c r="AO755" s="1330"/>
      <c r="AP755" s="3"/>
      <c r="AQ755" s="3"/>
      <c r="AR755" s="3"/>
      <c r="AS755" s="3"/>
      <c r="AY755" s="1075"/>
      <c r="AZ755" s="118" t="str">
        <f t="shared" si="10"/>
        <v>N/A</v>
      </c>
      <c r="BA755" s="34"/>
      <c r="BB755" s="34"/>
      <c r="BC755" s="34"/>
      <c r="BD755" s="34"/>
      <c r="BE755" s="34"/>
      <c r="BF755" s="294">
        <f t="shared" si="11"/>
        <v>0</v>
      </c>
      <c r="BG755" s="297">
        <f t="shared" si="12"/>
        <v>0</v>
      </c>
      <c r="BH755" s="298" t="str">
        <f t="shared" si="13"/>
        <v/>
      </c>
      <c r="BI755" s="34"/>
      <c r="BJ755" s="34"/>
      <c r="BK755" s="34"/>
      <c r="BL755" s="34"/>
      <c r="BM755" s="34"/>
      <c r="BN755" s="34"/>
      <c r="BS755" s="294">
        <f t="shared" si="14"/>
        <v>0</v>
      </c>
      <c r="BT755" s="297">
        <f t="shared" si="15"/>
        <v>0</v>
      </c>
      <c r="BU755" s="298" t="str">
        <f t="shared" si="16"/>
        <v/>
      </c>
      <c r="BV755" s="3"/>
      <c r="BW755" s="3"/>
      <c r="BX755" s="3"/>
      <c r="BY755" s="3"/>
      <c r="BZ755" s="3"/>
      <c r="CA755" s="3"/>
      <c r="CB755" s="3"/>
      <c r="CC755" s="3"/>
      <c r="CE755" s="3"/>
      <c r="CF755" s="3"/>
      <c r="CG755" s="1506">
        <f t="shared" si="38"/>
        <v>0</v>
      </c>
      <c r="CH755" s="1507"/>
      <c r="CI755" s="1512">
        <f t="shared" si="39"/>
        <v>0</v>
      </c>
      <c r="CJ755" s="1513"/>
      <c r="CK755" s="1506">
        <f t="shared" si="17"/>
        <v>0</v>
      </c>
      <c r="CL755" s="1507"/>
      <c r="CM755" s="1512">
        <f t="shared" si="18"/>
        <v>0</v>
      </c>
      <c r="CN755" s="1513"/>
      <c r="CO755" s="3"/>
      <c r="CP755" s="1508">
        <f t="shared" si="19"/>
        <v>0</v>
      </c>
      <c r="CQ755" s="1509"/>
      <c r="CR755" s="1509"/>
      <c r="CS755" s="1509"/>
      <c r="CT755" s="1510"/>
      <c r="CU755" s="1504">
        <f t="shared" si="20"/>
        <v>0</v>
      </c>
      <c r="CV755" s="1504"/>
      <c r="CW755" s="1504"/>
      <c r="CX755" s="1504"/>
      <c r="CY755" s="1504"/>
      <c r="CZ755" s="1504">
        <f t="shared" si="21"/>
        <v>0</v>
      </c>
      <c r="DA755" s="1504"/>
      <c r="DB755" s="1504"/>
      <c r="DC755" s="1504"/>
      <c r="DD755" s="1504"/>
      <c r="DE755" s="1504">
        <f t="shared" si="22"/>
        <v>0</v>
      </c>
      <c r="DF755" s="1504"/>
      <c r="DG755" s="1504"/>
      <c r="DH755" s="1504"/>
      <c r="DI755" s="1504"/>
      <c r="DJ755" s="1504">
        <f t="shared" si="23"/>
        <v>0</v>
      </c>
      <c r="DK755" s="1504"/>
      <c r="DL755" s="1504"/>
      <c r="DM755" s="1504"/>
      <c r="DN755" s="1504"/>
      <c r="DO755" s="1504">
        <f t="shared" si="24"/>
        <v>0</v>
      </c>
      <c r="DP755" s="1504"/>
      <c r="DQ755" s="1504"/>
      <c r="DR755" s="1504"/>
      <c r="DS755" s="1504"/>
      <c r="DT755" s="6"/>
      <c r="DU755" s="1503">
        <f t="shared" si="25"/>
        <v>0</v>
      </c>
      <c r="DV755" s="1503"/>
      <c r="DW755" s="1503"/>
      <c r="DX755" s="1503"/>
      <c r="DY755" s="1503"/>
      <c r="DZ755" s="1503">
        <f t="shared" si="26"/>
        <v>0</v>
      </c>
      <c r="EA755" s="1503"/>
      <c r="EB755" s="1503"/>
      <c r="EC755" s="1503"/>
      <c r="ED755" s="1503"/>
      <c r="EE755" s="1503">
        <f t="shared" si="27"/>
        <v>0</v>
      </c>
      <c r="EF755" s="1503"/>
      <c r="EG755" s="1503"/>
      <c r="EH755" s="1503"/>
      <c r="EI755" s="1503"/>
      <c r="EJ755" s="1503">
        <f t="shared" si="28"/>
        <v>0</v>
      </c>
      <c r="EK755" s="1503"/>
      <c r="EL755" s="1503"/>
      <c r="EM755" s="1503"/>
      <c r="EN755" s="1503"/>
      <c r="EO755" s="1503">
        <f t="shared" si="29"/>
        <v>0</v>
      </c>
      <c r="EP755" s="1503"/>
      <c r="EQ755" s="1503"/>
      <c r="ER755" s="1503"/>
      <c r="ES755" s="1503"/>
      <c r="ET755" s="1503">
        <f t="shared" si="30"/>
        <v>0</v>
      </c>
      <c r="EU755" s="1503"/>
      <c r="EV755" s="1503"/>
      <c r="EW755" s="1503"/>
      <c r="EX755" s="1503"/>
      <c r="EZ755" s="1506" t="str">
        <f t="shared" si="31"/>
        <v/>
      </c>
      <c r="FA755" s="1517"/>
      <c r="FB755" s="1517"/>
      <c r="FC755" s="1517"/>
      <c r="FD755" s="1507"/>
      <c r="FE755" s="1506" t="str">
        <f t="shared" si="32"/>
        <v/>
      </c>
      <c r="FF755" s="1517"/>
      <c r="FG755" s="1517"/>
      <c r="FH755" s="1517"/>
      <c r="FI755" s="1507"/>
      <c r="FJ755" s="1506" t="str">
        <f t="shared" si="33"/>
        <v/>
      </c>
      <c r="FK755" s="1517"/>
      <c r="FL755" s="1517"/>
      <c r="FM755" s="1517"/>
      <c r="FN755" s="1507"/>
      <c r="FO755" s="1506" t="str">
        <f t="shared" si="34"/>
        <v/>
      </c>
      <c r="FP755" s="1517"/>
      <c r="FQ755" s="1517"/>
      <c r="FR755" s="1517"/>
      <c r="FS755" s="1507"/>
      <c r="FT755" s="1506" t="str">
        <f t="shared" si="35"/>
        <v/>
      </c>
      <c r="FU755" s="1517"/>
      <c r="FV755" s="1517"/>
      <c r="FW755" s="1517"/>
      <c r="FX755" s="1507"/>
      <c r="FY755" s="1506" t="str">
        <f t="shared" si="36"/>
        <v/>
      </c>
      <c r="FZ755" s="1517"/>
      <c r="GA755" s="1517"/>
      <c r="GB755" s="1517"/>
      <c r="GC755" s="1507"/>
    </row>
    <row r="756" spans="1:185" s="3" customFormat="1" ht="12.95" customHeight="1">
      <c r="A756"/>
      <c r="B756" s="1328"/>
      <c r="C756" s="1329"/>
      <c r="D756" s="1329"/>
      <c r="E756" s="1329"/>
      <c r="F756" s="1330"/>
      <c r="G756" s="1379"/>
      <c r="H756" s="1380"/>
      <c r="I756" s="1380"/>
      <c r="J756" s="1381"/>
      <c r="K756" s="1382"/>
      <c r="L756" s="1383"/>
      <c r="M756" s="1383"/>
      <c r="N756" s="1384"/>
      <c r="O756" s="1374"/>
      <c r="P756" s="1375"/>
      <c r="Q756" s="1375"/>
      <c r="R756" s="1375"/>
      <c r="S756" s="1376"/>
      <c r="T756" s="1374"/>
      <c r="U756" s="1375"/>
      <c r="V756" s="1375"/>
      <c r="W756" s="1376"/>
      <c r="X756" s="1377">
        <f t="shared" si="40"/>
        <v>0</v>
      </c>
      <c r="Y756" s="1373"/>
      <c r="Z756" s="1373"/>
      <c r="AA756" s="1373"/>
      <c r="AB756" s="1378"/>
      <c r="AC756" s="1385"/>
      <c r="AD756" s="1386"/>
      <c r="AE756" s="1386"/>
      <c r="AF756" s="1386"/>
      <c r="AG756" s="1387"/>
      <c r="AH756" s="1403" t="str">
        <f t="shared" si="37"/>
        <v/>
      </c>
      <c r="AI756" s="1404"/>
      <c r="AJ756" s="1405"/>
      <c r="AK756" s="1328" t="s">
        <v>591</v>
      </c>
      <c r="AL756" s="1329"/>
      <c r="AM756" s="1329"/>
      <c r="AN756" s="1329"/>
      <c r="AO756" s="1330"/>
      <c r="AT756"/>
      <c r="AU756"/>
      <c r="AV756"/>
      <c r="AW756"/>
      <c r="AX756"/>
      <c r="AY756" s="1075"/>
      <c r="AZ756" s="118" t="str">
        <f t="shared" si="10"/>
        <v>N/A</v>
      </c>
      <c r="BA756" s="34"/>
      <c r="BB756" s="34"/>
      <c r="BC756" s="34"/>
      <c r="BD756" s="34"/>
      <c r="BE756" s="34"/>
      <c r="BF756" s="294">
        <f t="shared" si="11"/>
        <v>0</v>
      </c>
      <c r="BG756" s="297">
        <f t="shared" si="12"/>
        <v>0</v>
      </c>
      <c r="BH756" s="298" t="str">
        <f t="shared" si="13"/>
        <v/>
      </c>
      <c r="BJ756" s="34"/>
      <c r="BK756" s="34"/>
      <c r="BL756" s="34"/>
      <c r="BM756" s="34"/>
      <c r="BN756" s="34"/>
      <c r="BO756"/>
      <c r="BP756"/>
      <c r="BQ756"/>
      <c r="BR756"/>
      <c r="BS756" s="294">
        <f t="shared" si="14"/>
        <v>0</v>
      </c>
      <c r="BT756" s="297">
        <f t="shared" si="15"/>
        <v>0</v>
      </c>
      <c r="BU756" s="298" t="str">
        <f t="shared" si="16"/>
        <v/>
      </c>
      <c r="CD756"/>
      <c r="CG756" s="1506">
        <f t="shared" si="38"/>
        <v>0</v>
      </c>
      <c r="CH756" s="1507"/>
      <c r="CI756" s="1512">
        <f t="shared" si="39"/>
        <v>0</v>
      </c>
      <c r="CJ756" s="1513"/>
      <c r="CK756" s="1506">
        <f t="shared" si="17"/>
        <v>0</v>
      </c>
      <c r="CL756" s="1507"/>
      <c r="CM756" s="1512">
        <f t="shared" si="18"/>
        <v>0</v>
      </c>
      <c r="CN756" s="1513"/>
      <c r="CP756" s="1508">
        <f t="shared" si="19"/>
        <v>0</v>
      </c>
      <c r="CQ756" s="1509"/>
      <c r="CR756" s="1509"/>
      <c r="CS756" s="1509"/>
      <c r="CT756" s="1510"/>
      <c r="CU756" s="1504">
        <f t="shared" si="20"/>
        <v>0</v>
      </c>
      <c r="CV756" s="1504"/>
      <c r="CW756" s="1504"/>
      <c r="CX756" s="1504"/>
      <c r="CY756" s="1504"/>
      <c r="CZ756" s="1504">
        <f t="shared" si="21"/>
        <v>0</v>
      </c>
      <c r="DA756" s="1504"/>
      <c r="DB756" s="1504"/>
      <c r="DC756" s="1504"/>
      <c r="DD756" s="1504"/>
      <c r="DE756" s="1504">
        <f t="shared" si="22"/>
        <v>0</v>
      </c>
      <c r="DF756" s="1504"/>
      <c r="DG756" s="1504"/>
      <c r="DH756" s="1504"/>
      <c r="DI756" s="1504"/>
      <c r="DJ756" s="1504">
        <f t="shared" si="23"/>
        <v>0</v>
      </c>
      <c r="DK756" s="1504"/>
      <c r="DL756" s="1504"/>
      <c r="DM756" s="1504"/>
      <c r="DN756" s="1504"/>
      <c r="DO756" s="1504">
        <f t="shared" si="24"/>
        <v>0</v>
      </c>
      <c r="DP756" s="1504"/>
      <c r="DQ756" s="1504"/>
      <c r="DR756" s="1504"/>
      <c r="DS756" s="1504"/>
      <c r="DT756" s="6"/>
      <c r="DU756" s="1503">
        <f t="shared" si="25"/>
        <v>0</v>
      </c>
      <c r="DV756" s="1503"/>
      <c r="DW756" s="1503"/>
      <c r="DX756" s="1503"/>
      <c r="DY756" s="1503"/>
      <c r="DZ756" s="1503">
        <f t="shared" si="26"/>
        <v>0</v>
      </c>
      <c r="EA756" s="1503"/>
      <c r="EB756" s="1503"/>
      <c r="EC756" s="1503"/>
      <c r="ED756" s="1503"/>
      <c r="EE756" s="1503">
        <f t="shared" si="27"/>
        <v>0</v>
      </c>
      <c r="EF756" s="1503"/>
      <c r="EG756" s="1503"/>
      <c r="EH756" s="1503"/>
      <c r="EI756" s="1503"/>
      <c r="EJ756" s="1503">
        <f t="shared" si="28"/>
        <v>0</v>
      </c>
      <c r="EK756" s="1503"/>
      <c r="EL756" s="1503"/>
      <c r="EM756" s="1503"/>
      <c r="EN756" s="1503"/>
      <c r="EO756" s="1503">
        <f t="shared" si="29"/>
        <v>0</v>
      </c>
      <c r="EP756" s="1503"/>
      <c r="EQ756" s="1503"/>
      <c r="ER756" s="1503"/>
      <c r="ES756" s="1503"/>
      <c r="ET756" s="1503">
        <f t="shared" si="30"/>
        <v>0</v>
      </c>
      <c r="EU756" s="1503"/>
      <c r="EV756" s="1503"/>
      <c r="EW756" s="1503"/>
      <c r="EX756" s="1503"/>
      <c r="EY756"/>
      <c r="EZ756" s="1506" t="str">
        <f t="shared" si="31"/>
        <v/>
      </c>
      <c r="FA756" s="1517"/>
      <c r="FB756" s="1517"/>
      <c r="FC756" s="1517"/>
      <c r="FD756" s="1507"/>
      <c r="FE756" s="1506" t="str">
        <f t="shared" si="32"/>
        <v/>
      </c>
      <c r="FF756" s="1517"/>
      <c r="FG756" s="1517"/>
      <c r="FH756" s="1517"/>
      <c r="FI756" s="1507"/>
      <c r="FJ756" s="1506" t="str">
        <f t="shared" si="33"/>
        <v/>
      </c>
      <c r="FK756" s="1517"/>
      <c r="FL756" s="1517"/>
      <c r="FM756" s="1517"/>
      <c r="FN756" s="1507"/>
      <c r="FO756" s="1506" t="str">
        <f t="shared" si="34"/>
        <v/>
      </c>
      <c r="FP756" s="1517"/>
      <c r="FQ756" s="1517"/>
      <c r="FR756" s="1517"/>
      <c r="FS756" s="1507"/>
      <c r="FT756" s="1506" t="str">
        <f t="shared" si="35"/>
        <v/>
      </c>
      <c r="FU756" s="1517"/>
      <c r="FV756" s="1517"/>
      <c r="FW756" s="1517"/>
      <c r="FX756" s="1507"/>
      <c r="FY756" s="1506" t="str">
        <f t="shared" si="36"/>
        <v/>
      </c>
      <c r="FZ756" s="1517"/>
      <c r="GA756" s="1517"/>
      <c r="GB756" s="1517"/>
      <c r="GC756" s="1507"/>
    </row>
    <row r="757" spans="1:185" s="3" customFormat="1" ht="12.95" customHeight="1">
      <c r="A757"/>
      <c r="B757" s="1328"/>
      <c r="C757" s="1329"/>
      <c r="D757" s="1329"/>
      <c r="E757" s="1329"/>
      <c r="F757" s="1330"/>
      <c r="G757" s="1379"/>
      <c r="H757" s="1380"/>
      <c r="I757" s="1380"/>
      <c r="J757" s="1381"/>
      <c r="K757" s="1382"/>
      <c r="L757" s="1383"/>
      <c r="M757" s="1383"/>
      <c r="N757" s="1384"/>
      <c r="O757" s="1374"/>
      <c r="P757" s="1375"/>
      <c r="Q757" s="1375"/>
      <c r="R757" s="1375"/>
      <c r="S757" s="1376"/>
      <c r="T757" s="1374"/>
      <c r="U757" s="1375"/>
      <c r="V757" s="1375"/>
      <c r="W757" s="1376"/>
      <c r="X757" s="1377">
        <f t="shared" si="40"/>
        <v>0</v>
      </c>
      <c r="Y757" s="1373"/>
      <c r="Z757" s="1373"/>
      <c r="AA757" s="1373"/>
      <c r="AB757" s="1378"/>
      <c r="AC757" s="1385"/>
      <c r="AD757" s="1386"/>
      <c r="AE757" s="1386"/>
      <c r="AF757" s="1386"/>
      <c r="AG757" s="1387"/>
      <c r="AH757" s="1403" t="str">
        <f t="shared" si="37"/>
        <v/>
      </c>
      <c r="AI757" s="1404"/>
      <c r="AJ757" s="1405"/>
      <c r="AK757" s="1328" t="s">
        <v>591</v>
      </c>
      <c r="AL757" s="1329"/>
      <c r="AM757" s="1329"/>
      <c r="AN757" s="1329"/>
      <c r="AO757" s="1330"/>
      <c r="AT757"/>
      <c r="AU757"/>
      <c r="AV757"/>
      <c r="AW757"/>
      <c r="AX757"/>
      <c r="AY757" s="1075"/>
      <c r="AZ757" s="118" t="str">
        <f t="shared" si="10"/>
        <v>N/A</v>
      </c>
      <c r="BA757" s="34"/>
      <c r="BB757" s="34"/>
      <c r="BC757" s="34"/>
      <c r="BD757" s="34"/>
      <c r="BE757" s="34"/>
      <c r="BF757" s="294">
        <f t="shared" si="11"/>
        <v>0</v>
      </c>
      <c r="BG757" s="297">
        <f t="shared" si="12"/>
        <v>0</v>
      </c>
      <c r="BH757" s="298" t="str">
        <f t="shared" si="13"/>
        <v/>
      </c>
      <c r="BJ757" s="34"/>
      <c r="BK757" s="34"/>
      <c r="BL757" s="34"/>
      <c r="BM757" s="34"/>
      <c r="BN757" s="34"/>
      <c r="BO757"/>
      <c r="BP757"/>
      <c r="BQ757"/>
      <c r="BR757"/>
      <c r="BS757" s="294">
        <f t="shared" si="14"/>
        <v>0</v>
      </c>
      <c r="BT757" s="297">
        <f t="shared" si="15"/>
        <v>0</v>
      </c>
      <c r="BU757" s="298" t="str">
        <f t="shared" si="16"/>
        <v/>
      </c>
      <c r="CD757"/>
      <c r="CG757" s="1506">
        <f t="shared" si="38"/>
        <v>0</v>
      </c>
      <c r="CH757" s="1507"/>
      <c r="CI757" s="1512">
        <f t="shared" si="39"/>
        <v>0</v>
      </c>
      <c r="CJ757" s="1513"/>
      <c r="CK757" s="1506">
        <f t="shared" si="17"/>
        <v>0</v>
      </c>
      <c r="CL757" s="1507"/>
      <c r="CM757" s="1512">
        <f t="shared" si="18"/>
        <v>0</v>
      </c>
      <c r="CN757" s="1513"/>
      <c r="CP757" s="1508">
        <f t="shared" si="19"/>
        <v>0</v>
      </c>
      <c r="CQ757" s="1509"/>
      <c r="CR757" s="1509"/>
      <c r="CS757" s="1509"/>
      <c r="CT757" s="1510"/>
      <c r="CU757" s="1504">
        <f t="shared" si="20"/>
        <v>0</v>
      </c>
      <c r="CV757" s="1504"/>
      <c r="CW757" s="1504"/>
      <c r="CX757" s="1504"/>
      <c r="CY757" s="1504"/>
      <c r="CZ757" s="1504">
        <f t="shared" si="21"/>
        <v>0</v>
      </c>
      <c r="DA757" s="1504"/>
      <c r="DB757" s="1504"/>
      <c r="DC757" s="1504"/>
      <c r="DD757" s="1504"/>
      <c r="DE757" s="1504">
        <f t="shared" si="22"/>
        <v>0</v>
      </c>
      <c r="DF757" s="1504"/>
      <c r="DG757" s="1504"/>
      <c r="DH757" s="1504"/>
      <c r="DI757" s="1504"/>
      <c r="DJ757" s="1504">
        <f t="shared" si="23"/>
        <v>0</v>
      </c>
      <c r="DK757" s="1504"/>
      <c r="DL757" s="1504"/>
      <c r="DM757" s="1504"/>
      <c r="DN757" s="1504"/>
      <c r="DO757" s="1504">
        <f t="shared" si="24"/>
        <v>0</v>
      </c>
      <c r="DP757" s="1504"/>
      <c r="DQ757" s="1504"/>
      <c r="DR757" s="1504"/>
      <c r="DS757" s="1504"/>
      <c r="DT757" s="6"/>
      <c r="DU757" s="1503">
        <f t="shared" si="25"/>
        <v>0</v>
      </c>
      <c r="DV757" s="1503"/>
      <c r="DW757" s="1503"/>
      <c r="DX757" s="1503"/>
      <c r="DY757" s="1503"/>
      <c r="DZ757" s="1503">
        <f t="shared" si="26"/>
        <v>0</v>
      </c>
      <c r="EA757" s="1503"/>
      <c r="EB757" s="1503"/>
      <c r="EC757" s="1503"/>
      <c r="ED757" s="1503"/>
      <c r="EE757" s="1503">
        <f t="shared" si="27"/>
        <v>0</v>
      </c>
      <c r="EF757" s="1503"/>
      <c r="EG757" s="1503"/>
      <c r="EH757" s="1503"/>
      <c r="EI757" s="1503"/>
      <c r="EJ757" s="1503">
        <f t="shared" si="28"/>
        <v>0</v>
      </c>
      <c r="EK757" s="1503"/>
      <c r="EL757" s="1503"/>
      <c r="EM757" s="1503"/>
      <c r="EN757" s="1503"/>
      <c r="EO757" s="1503">
        <f t="shared" si="29"/>
        <v>0</v>
      </c>
      <c r="EP757" s="1503"/>
      <c r="EQ757" s="1503"/>
      <c r="ER757" s="1503"/>
      <c r="ES757" s="1503"/>
      <c r="ET757" s="1503">
        <f t="shared" si="30"/>
        <v>0</v>
      </c>
      <c r="EU757" s="1503"/>
      <c r="EV757" s="1503"/>
      <c r="EW757" s="1503"/>
      <c r="EX757" s="1503"/>
      <c r="EY757"/>
      <c r="EZ757" s="1506" t="str">
        <f t="shared" si="31"/>
        <v/>
      </c>
      <c r="FA757" s="1517"/>
      <c r="FB757" s="1517"/>
      <c r="FC757" s="1517"/>
      <c r="FD757" s="1507"/>
      <c r="FE757" s="1506" t="str">
        <f t="shared" si="32"/>
        <v/>
      </c>
      <c r="FF757" s="1517"/>
      <c r="FG757" s="1517"/>
      <c r="FH757" s="1517"/>
      <c r="FI757" s="1507"/>
      <c r="FJ757" s="1506" t="str">
        <f t="shared" si="33"/>
        <v/>
      </c>
      <c r="FK757" s="1517"/>
      <c r="FL757" s="1517"/>
      <c r="FM757" s="1517"/>
      <c r="FN757" s="1507"/>
      <c r="FO757" s="1506" t="str">
        <f t="shared" si="34"/>
        <v/>
      </c>
      <c r="FP757" s="1517"/>
      <c r="FQ757" s="1517"/>
      <c r="FR757" s="1517"/>
      <c r="FS757" s="1507"/>
      <c r="FT757" s="1506" t="str">
        <f t="shared" si="35"/>
        <v/>
      </c>
      <c r="FU757" s="1517"/>
      <c r="FV757" s="1517"/>
      <c r="FW757" s="1517"/>
      <c r="FX757" s="1507"/>
      <c r="FY757" s="1506" t="str">
        <f t="shared" si="36"/>
        <v/>
      </c>
      <c r="FZ757" s="1517"/>
      <c r="GA757" s="1517"/>
      <c r="GB757" s="1517"/>
      <c r="GC757" s="1507"/>
    </row>
    <row r="758" spans="1:185" s="3" customFormat="1" ht="12.95" customHeight="1">
      <c r="A758"/>
      <c r="B758" s="1328"/>
      <c r="C758" s="1329"/>
      <c r="D758" s="1329"/>
      <c r="E758" s="1329"/>
      <c r="F758" s="1330"/>
      <c r="G758" s="1379"/>
      <c r="H758" s="1380"/>
      <c r="I758" s="1380"/>
      <c r="J758" s="1381"/>
      <c r="K758" s="1382"/>
      <c r="L758" s="1383"/>
      <c r="M758" s="1383"/>
      <c r="N758" s="1384"/>
      <c r="O758" s="1374"/>
      <c r="P758" s="1375"/>
      <c r="Q758" s="1375"/>
      <c r="R758" s="1375"/>
      <c r="S758" s="1376"/>
      <c r="T758" s="1374"/>
      <c r="U758" s="1375"/>
      <c r="V758" s="1375"/>
      <c r="W758" s="1376"/>
      <c r="X758" s="1377">
        <f t="shared" si="40"/>
        <v>0</v>
      </c>
      <c r="Y758" s="1373"/>
      <c r="Z758" s="1373"/>
      <c r="AA758" s="1373"/>
      <c r="AB758" s="1378"/>
      <c r="AC758" s="1385"/>
      <c r="AD758" s="1386"/>
      <c r="AE758" s="1386"/>
      <c r="AF758" s="1386"/>
      <c r="AG758" s="1387"/>
      <c r="AH758" s="1403" t="str">
        <f t="shared" si="37"/>
        <v/>
      </c>
      <c r="AI758" s="1404"/>
      <c r="AJ758" s="1405"/>
      <c r="AK758" s="1328" t="s">
        <v>591</v>
      </c>
      <c r="AL758" s="1329"/>
      <c r="AM758" s="1329"/>
      <c r="AN758" s="1329"/>
      <c r="AO758" s="1330"/>
      <c r="AT758"/>
      <c r="AU758"/>
      <c r="AV758"/>
      <c r="AW758"/>
      <c r="AX758"/>
      <c r="AY758"/>
      <c r="AZ758" s="118" t="str">
        <f t="shared" si="10"/>
        <v>N/A</v>
      </c>
      <c r="BA758" s="34"/>
      <c r="BB758" s="34"/>
      <c r="BC758" s="34"/>
      <c r="BD758" s="34"/>
      <c r="BE758" s="34"/>
      <c r="BF758" s="294">
        <f t="shared" si="11"/>
        <v>0</v>
      </c>
      <c r="BG758" s="297">
        <f t="shared" si="12"/>
        <v>0</v>
      </c>
      <c r="BH758" s="298" t="str">
        <f t="shared" si="13"/>
        <v/>
      </c>
      <c r="BJ758" s="34"/>
      <c r="BK758" s="34"/>
      <c r="BL758" s="34"/>
      <c r="BM758" s="34"/>
      <c r="BN758" s="34"/>
      <c r="BO758"/>
      <c r="BP758"/>
      <c r="BQ758"/>
      <c r="BR758"/>
      <c r="BS758" s="294">
        <f t="shared" si="14"/>
        <v>0</v>
      </c>
      <c r="BT758" s="297">
        <f t="shared" si="15"/>
        <v>0</v>
      </c>
      <c r="BU758" s="298" t="str">
        <f t="shared" si="16"/>
        <v/>
      </c>
      <c r="CD758"/>
      <c r="CG758" s="1506">
        <f t="shared" si="38"/>
        <v>0</v>
      </c>
      <c r="CH758" s="1507"/>
      <c r="CI758" s="1512">
        <f t="shared" si="39"/>
        <v>0</v>
      </c>
      <c r="CJ758" s="1513"/>
      <c r="CK758" s="1506">
        <f t="shared" si="17"/>
        <v>0</v>
      </c>
      <c r="CL758" s="1507"/>
      <c r="CM758" s="1512">
        <f t="shared" si="18"/>
        <v>0</v>
      </c>
      <c r="CN758" s="1513"/>
      <c r="CP758" s="1508">
        <f t="shared" si="19"/>
        <v>0</v>
      </c>
      <c r="CQ758" s="1509"/>
      <c r="CR758" s="1509"/>
      <c r="CS758" s="1509"/>
      <c r="CT758" s="1510"/>
      <c r="CU758" s="1504">
        <f t="shared" si="20"/>
        <v>0</v>
      </c>
      <c r="CV758" s="1504"/>
      <c r="CW758" s="1504"/>
      <c r="CX758" s="1504"/>
      <c r="CY758" s="1504"/>
      <c r="CZ758" s="1504">
        <f t="shared" si="21"/>
        <v>0</v>
      </c>
      <c r="DA758" s="1504"/>
      <c r="DB758" s="1504"/>
      <c r="DC758" s="1504"/>
      <c r="DD758" s="1504"/>
      <c r="DE758" s="1504">
        <f t="shared" si="22"/>
        <v>0</v>
      </c>
      <c r="DF758" s="1504"/>
      <c r="DG758" s="1504"/>
      <c r="DH758" s="1504"/>
      <c r="DI758" s="1504"/>
      <c r="DJ758" s="1504">
        <f t="shared" si="23"/>
        <v>0</v>
      </c>
      <c r="DK758" s="1504"/>
      <c r="DL758" s="1504"/>
      <c r="DM758" s="1504"/>
      <c r="DN758" s="1504"/>
      <c r="DO758" s="1504">
        <f t="shared" si="24"/>
        <v>0</v>
      </c>
      <c r="DP758" s="1504"/>
      <c r="DQ758" s="1504"/>
      <c r="DR758" s="1504"/>
      <c r="DS758" s="1504"/>
      <c r="DT758" s="6"/>
      <c r="DU758" s="1503">
        <f t="shared" si="25"/>
        <v>0</v>
      </c>
      <c r="DV758" s="1503"/>
      <c r="DW758" s="1503"/>
      <c r="DX758" s="1503"/>
      <c r="DY758" s="1503"/>
      <c r="DZ758" s="1503">
        <f t="shared" si="26"/>
        <v>0</v>
      </c>
      <c r="EA758" s="1503"/>
      <c r="EB758" s="1503"/>
      <c r="EC758" s="1503"/>
      <c r="ED758" s="1503"/>
      <c r="EE758" s="1503">
        <f t="shared" si="27"/>
        <v>0</v>
      </c>
      <c r="EF758" s="1503"/>
      <c r="EG758" s="1503"/>
      <c r="EH758" s="1503"/>
      <c r="EI758" s="1503"/>
      <c r="EJ758" s="1503">
        <f t="shared" si="28"/>
        <v>0</v>
      </c>
      <c r="EK758" s="1503"/>
      <c r="EL758" s="1503"/>
      <c r="EM758" s="1503"/>
      <c r="EN758" s="1503"/>
      <c r="EO758" s="1503">
        <f t="shared" si="29"/>
        <v>0</v>
      </c>
      <c r="EP758" s="1503"/>
      <c r="EQ758" s="1503"/>
      <c r="ER758" s="1503"/>
      <c r="ES758" s="1503"/>
      <c r="ET758" s="1503">
        <f t="shared" si="30"/>
        <v>0</v>
      </c>
      <c r="EU758" s="1503"/>
      <c r="EV758" s="1503"/>
      <c r="EW758" s="1503"/>
      <c r="EX758" s="1503"/>
      <c r="EY758"/>
      <c r="EZ758" s="1506" t="str">
        <f t="shared" si="31"/>
        <v/>
      </c>
      <c r="FA758" s="1517"/>
      <c r="FB758" s="1517"/>
      <c r="FC758" s="1517"/>
      <c r="FD758" s="1507"/>
      <c r="FE758" s="1506" t="str">
        <f t="shared" si="32"/>
        <v/>
      </c>
      <c r="FF758" s="1517"/>
      <c r="FG758" s="1517"/>
      <c r="FH758" s="1517"/>
      <c r="FI758" s="1507"/>
      <c r="FJ758" s="1506" t="str">
        <f t="shared" si="33"/>
        <v/>
      </c>
      <c r="FK758" s="1517"/>
      <c r="FL758" s="1517"/>
      <c r="FM758" s="1517"/>
      <c r="FN758" s="1507"/>
      <c r="FO758" s="1506" t="str">
        <f t="shared" si="34"/>
        <v/>
      </c>
      <c r="FP758" s="1517"/>
      <c r="FQ758" s="1517"/>
      <c r="FR758" s="1517"/>
      <c r="FS758" s="1507"/>
      <c r="FT758" s="1506" t="str">
        <f t="shared" si="35"/>
        <v/>
      </c>
      <c r="FU758" s="1517"/>
      <c r="FV758" s="1517"/>
      <c r="FW758" s="1517"/>
      <c r="FX758" s="1507"/>
      <c r="FY758" s="1506" t="str">
        <f t="shared" si="36"/>
        <v/>
      </c>
      <c r="FZ758" s="1517"/>
      <c r="GA758" s="1517"/>
      <c r="GB758" s="1517"/>
      <c r="GC758" s="1507"/>
    </row>
    <row r="759" spans="1:185" s="3" customFormat="1" ht="12.95" customHeight="1">
      <c r="A759"/>
      <c r="B759" s="1328"/>
      <c r="C759" s="1329"/>
      <c r="D759" s="1329"/>
      <c r="E759" s="1329"/>
      <c r="F759" s="1330"/>
      <c r="G759" s="1379"/>
      <c r="H759" s="1380"/>
      <c r="I759" s="1380"/>
      <c r="J759" s="1381"/>
      <c r="K759" s="1382"/>
      <c r="L759" s="1383"/>
      <c r="M759" s="1383"/>
      <c r="N759" s="1384"/>
      <c r="O759" s="1374"/>
      <c r="P759" s="1375"/>
      <c r="Q759" s="1375"/>
      <c r="R759" s="1375"/>
      <c r="S759" s="1376"/>
      <c r="T759" s="1374"/>
      <c r="U759" s="1375"/>
      <c r="V759" s="1375"/>
      <c r="W759" s="1376"/>
      <c r="X759" s="1377">
        <f t="shared" si="40"/>
        <v>0</v>
      </c>
      <c r="Y759" s="1373"/>
      <c r="Z759" s="1373"/>
      <c r="AA759" s="1373"/>
      <c r="AB759" s="1378"/>
      <c r="AC759" s="1385"/>
      <c r="AD759" s="1386"/>
      <c r="AE759" s="1386"/>
      <c r="AF759" s="1386"/>
      <c r="AG759" s="1387"/>
      <c r="AH759" s="1403" t="str">
        <f t="shared" si="37"/>
        <v/>
      </c>
      <c r="AI759" s="1404"/>
      <c r="AJ759" s="1405"/>
      <c r="AK759" s="1328" t="s">
        <v>591</v>
      </c>
      <c r="AL759" s="1329"/>
      <c r="AM759" s="1329"/>
      <c r="AN759" s="1329"/>
      <c r="AO759" s="1330"/>
      <c r="AT759"/>
      <c r="AU759"/>
      <c r="AV759"/>
      <c r="AW759"/>
      <c r="AX759"/>
      <c r="AY759"/>
      <c r="AZ759" s="118" t="str">
        <f t="shared" si="10"/>
        <v>N/A</v>
      </c>
      <c r="BA759" s="34"/>
      <c r="BB759" s="34"/>
      <c r="BC759" s="34"/>
      <c r="BD759" s="34"/>
      <c r="BE759" s="34"/>
      <c r="BF759" s="294">
        <f t="shared" si="11"/>
        <v>0</v>
      </c>
      <c r="BG759" s="297">
        <f t="shared" si="12"/>
        <v>0</v>
      </c>
      <c r="BH759" s="298" t="str">
        <f t="shared" si="13"/>
        <v/>
      </c>
      <c r="BJ759" s="34"/>
      <c r="BK759" s="34"/>
      <c r="BL759" s="34"/>
      <c r="BM759" s="34"/>
      <c r="BN759" s="34"/>
      <c r="BO759"/>
      <c r="BP759"/>
      <c r="BQ759"/>
      <c r="BR759"/>
      <c r="BS759" s="294">
        <f t="shared" si="14"/>
        <v>0</v>
      </c>
      <c r="BT759" s="297">
        <f t="shared" si="15"/>
        <v>0</v>
      </c>
      <c r="BU759" s="298" t="str">
        <f t="shared" si="16"/>
        <v/>
      </c>
      <c r="CD759"/>
      <c r="CG759" s="1506">
        <f t="shared" si="38"/>
        <v>0</v>
      </c>
      <c r="CH759" s="1507"/>
      <c r="CI759" s="1512">
        <f t="shared" si="39"/>
        <v>0</v>
      </c>
      <c r="CJ759" s="1513"/>
      <c r="CK759" s="1506">
        <f t="shared" si="17"/>
        <v>0</v>
      </c>
      <c r="CL759" s="1507"/>
      <c r="CM759" s="1512">
        <f t="shared" si="18"/>
        <v>0</v>
      </c>
      <c r="CN759" s="1513"/>
      <c r="CP759" s="1508">
        <f t="shared" si="19"/>
        <v>0</v>
      </c>
      <c r="CQ759" s="1509"/>
      <c r="CR759" s="1509"/>
      <c r="CS759" s="1509"/>
      <c r="CT759" s="1510"/>
      <c r="CU759" s="1504">
        <f t="shared" si="20"/>
        <v>0</v>
      </c>
      <c r="CV759" s="1504"/>
      <c r="CW759" s="1504"/>
      <c r="CX759" s="1504"/>
      <c r="CY759" s="1504"/>
      <c r="CZ759" s="1504">
        <f t="shared" si="21"/>
        <v>0</v>
      </c>
      <c r="DA759" s="1504"/>
      <c r="DB759" s="1504"/>
      <c r="DC759" s="1504"/>
      <c r="DD759" s="1504"/>
      <c r="DE759" s="1504">
        <f t="shared" si="22"/>
        <v>0</v>
      </c>
      <c r="DF759" s="1504"/>
      <c r="DG759" s="1504"/>
      <c r="DH759" s="1504"/>
      <c r="DI759" s="1504"/>
      <c r="DJ759" s="1504">
        <f t="shared" si="23"/>
        <v>0</v>
      </c>
      <c r="DK759" s="1504"/>
      <c r="DL759" s="1504"/>
      <c r="DM759" s="1504"/>
      <c r="DN759" s="1504"/>
      <c r="DO759" s="1504">
        <f t="shared" si="24"/>
        <v>0</v>
      </c>
      <c r="DP759" s="1504"/>
      <c r="DQ759" s="1504"/>
      <c r="DR759" s="1504"/>
      <c r="DS759" s="1504"/>
      <c r="DT759" s="6"/>
      <c r="DU759" s="1503">
        <f t="shared" si="25"/>
        <v>0</v>
      </c>
      <c r="DV759" s="1503"/>
      <c r="DW759" s="1503"/>
      <c r="DX759" s="1503"/>
      <c r="DY759" s="1503"/>
      <c r="DZ759" s="1503">
        <f t="shared" si="26"/>
        <v>0</v>
      </c>
      <c r="EA759" s="1503"/>
      <c r="EB759" s="1503"/>
      <c r="EC759" s="1503"/>
      <c r="ED759" s="1503"/>
      <c r="EE759" s="1503">
        <f t="shared" si="27"/>
        <v>0</v>
      </c>
      <c r="EF759" s="1503"/>
      <c r="EG759" s="1503"/>
      <c r="EH759" s="1503"/>
      <c r="EI759" s="1503"/>
      <c r="EJ759" s="1503">
        <f t="shared" si="28"/>
        <v>0</v>
      </c>
      <c r="EK759" s="1503"/>
      <c r="EL759" s="1503"/>
      <c r="EM759" s="1503"/>
      <c r="EN759" s="1503"/>
      <c r="EO759" s="1503">
        <f t="shared" si="29"/>
        <v>0</v>
      </c>
      <c r="EP759" s="1503"/>
      <c r="EQ759" s="1503"/>
      <c r="ER759" s="1503"/>
      <c r="ES759" s="1503"/>
      <c r="ET759" s="1503">
        <f t="shared" si="30"/>
        <v>0</v>
      </c>
      <c r="EU759" s="1503"/>
      <c r="EV759" s="1503"/>
      <c r="EW759" s="1503"/>
      <c r="EX759" s="1503"/>
      <c r="EY759"/>
      <c r="EZ759" s="1506" t="str">
        <f t="shared" si="31"/>
        <v/>
      </c>
      <c r="FA759" s="1517"/>
      <c r="FB759" s="1517"/>
      <c r="FC759" s="1517"/>
      <c r="FD759" s="1507"/>
      <c r="FE759" s="1506" t="str">
        <f t="shared" si="32"/>
        <v/>
      </c>
      <c r="FF759" s="1517"/>
      <c r="FG759" s="1517"/>
      <c r="FH759" s="1517"/>
      <c r="FI759" s="1507"/>
      <c r="FJ759" s="1506" t="str">
        <f t="shared" si="33"/>
        <v/>
      </c>
      <c r="FK759" s="1517"/>
      <c r="FL759" s="1517"/>
      <c r="FM759" s="1517"/>
      <c r="FN759" s="1507"/>
      <c r="FO759" s="1506" t="str">
        <f t="shared" si="34"/>
        <v/>
      </c>
      <c r="FP759" s="1517"/>
      <c r="FQ759" s="1517"/>
      <c r="FR759" s="1517"/>
      <c r="FS759" s="1507"/>
      <c r="FT759" s="1506" t="str">
        <f t="shared" si="35"/>
        <v/>
      </c>
      <c r="FU759" s="1517"/>
      <c r="FV759" s="1517"/>
      <c r="FW759" s="1517"/>
      <c r="FX759" s="1507"/>
      <c r="FY759" s="1506" t="str">
        <f t="shared" si="36"/>
        <v/>
      </c>
      <c r="FZ759" s="1517"/>
      <c r="GA759" s="1517"/>
      <c r="GB759" s="1517"/>
      <c r="GC759" s="1507"/>
    </row>
    <row r="760" spans="1:185" s="3" customFormat="1" ht="12.95" customHeight="1">
      <c r="A760"/>
      <c r="B760" s="1328"/>
      <c r="C760" s="1329"/>
      <c r="D760" s="1329"/>
      <c r="E760" s="1329"/>
      <c r="F760" s="1330"/>
      <c r="G760" s="1379"/>
      <c r="H760" s="1380"/>
      <c r="I760" s="1380"/>
      <c r="J760" s="1381"/>
      <c r="K760" s="1382"/>
      <c r="L760" s="1383"/>
      <c r="M760" s="1383"/>
      <c r="N760" s="1384"/>
      <c r="O760" s="1374"/>
      <c r="P760" s="1375"/>
      <c r="Q760" s="1375"/>
      <c r="R760" s="1375"/>
      <c r="S760" s="1376"/>
      <c r="T760" s="1374"/>
      <c r="U760" s="1375"/>
      <c r="V760" s="1375"/>
      <c r="W760" s="1376"/>
      <c r="X760" s="1377">
        <f>O760+T760</f>
        <v>0</v>
      </c>
      <c r="Y760" s="1373"/>
      <c r="Z760" s="1373"/>
      <c r="AA760" s="1373"/>
      <c r="AB760" s="1378"/>
      <c r="AC760" s="1385"/>
      <c r="AD760" s="1386"/>
      <c r="AE760" s="1386"/>
      <c r="AF760" s="1386"/>
      <c r="AG760" s="1387"/>
      <c r="AH760" s="1403" t="str">
        <f t="shared" si="37"/>
        <v/>
      </c>
      <c r="AI760" s="1404"/>
      <c r="AJ760" s="1405"/>
      <c r="AK760" s="1328" t="s">
        <v>591</v>
      </c>
      <c r="AL760" s="1329"/>
      <c r="AM760" s="1329"/>
      <c r="AN760" s="1329"/>
      <c r="AO760" s="1330"/>
      <c r="AT760"/>
      <c r="AU760"/>
      <c r="AV760"/>
      <c r="AW760"/>
      <c r="AX760"/>
      <c r="AY760"/>
      <c r="AZ760" s="118" t="str">
        <f t="shared" si="10"/>
        <v>N/A</v>
      </c>
      <c r="BA760" s="34"/>
      <c r="BB760" s="34"/>
      <c r="BC760" s="34"/>
      <c r="BE760"/>
      <c r="BF760" s="294">
        <f t="shared" si="11"/>
        <v>0</v>
      </c>
      <c r="BG760" s="297">
        <f t="shared" si="12"/>
        <v>0</v>
      </c>
      <c r="BH760" s="298" t="str">
        <f t="shared" si="13"/>
        <v/>
      </c>
      <c r="BJ760" s="34"/>
      <c r="BK760" s="34"/>
      <c r="BL760" s="34"/>
      <c r="BM760" s="34"/>
      <c r="BN760" s="34"/>
      <c r="BO760"/>
      <c r="BP760"/>
      <c r="BQ760"/>
      <c r="BR760"/>
      <c r="BS760" s="851">
        <f t="shared" si="14"/>
        <v>0</v>
      </c>
      <c r="BT760" s="297">
        <f t="shared" si="15"/>
        <v>0</v>
      </c>
      <c r="BU760" s="298" t="str">
        <f t="shared" si="16"/>
        <v/>
      </c>
      <c r="CD760"/>
      <c r="CG760" s="1506">
        <f t="shared" si="38"/>
        <v>0</v>
      </c>
      <c r="CH760" s="1507"/>
      <c r="CI760" s="1512">
        <f t="shared" si="39"/>
        <v>0</v>
      </c>
      <c r="CJ760" s="1513"/>
      <c r="CK760" s="1506">
        <f t="shared" si="17"/>
        <v>0</v>
      </c>
      <c r="CL760" s="1507"/>
      <c r="CM760" s="1512">
        <f t="shared" si="18"/>
        <v>0</v>
      </c>
      <c r="CN760" s="1513"/>
      <c r="CP760" s="1508">
        <f t="shared" si="19"/>
        <v>0</v>
      </c>
      <c r="CQ760" s="1509"/>
      <c r="CR760" s="1509"/>
      <c r="CS760" s="1509"/>
      <c r="CT760" s="1510"/>
      <c r="CU760" s="1504">
        <f t="shared" si="20"/>
        <v>0</v>
      </c>
      <c r="CV760" s="1504"/>
      <c r="CW760" s="1504"/>
      <c r="CX760" s="1504"/>
      <c r="CY760" s="1504"/>
      <c r="CZ760" s="1504">
        <f t="shared" si="21"/>
        <v>0</v>
      </c>
      <c r="DA760" s="1504"/>
      <c r="DB760" s="1504"/>
      <c r="DC760" s="1504"/>
      <c r="DD760" s="1504"/>
      <c r="DE760" s="1504">
        <f t="shared" si="22"/>
        <v>0</v>
      </c>
      <c r="DF760" s="1504"/>
      <c r="DG760" s="1504"/>
      <c r="DH760" s="1504"/>
      <c r="DI760" s="1504"/>
      <c r="DJ760" s="1504">
        <f t="shared" si="23"/>
        <v>0</v>
      </c>
      <c r="DK760" s="1504"/>
      <c r="DL760" s="1504"/>
      <c r="DM760" s="1504"/>
      <c r="DN760" s="1504"/>
      <c r="DO760" s="1504">
        <f t="shared" si="24"/>
        <v>0</v>
      </c>
      <c r="DP760" s="1504"/>
      <c r="DQ760" s="1504"/>
      <c r="DR760" s="1504"/>
      <c r="DS760" s="1504"/>
      <c r="DT760" s="6"/>
      <c r="DU760" s="1503">
        <f t="shared" si="25"/>
        <v>0</v>
      </c>
      <c r="DV760" s="1503"/>
      <c r="DW760" s="1503"/>
      <c r="DX760" s="1503"/>
      <c r="DY760" s="1503"/>
      <c r="DZ760" s="1503">
        <f t="shared" si="26"/>
        <v>0</v>
      </c>
      <c r="EA760" s="1503"/>
      <c r="EB760" s="1503"/>
      <c r="EC760" s="1503"/>
      <c r="ED760" s="1503"/>
      <c r="EE760" s="1503">
        <f t="shared" si="27"/>
        <v>0</v>
      </c>
      <c r="EF760" s="1503"/>
      <c r="EG760" s="1503"/>
      <c r="EH760" s="1503"/>
      <c r="EI760" s="1503"/>
      <c r="EJ760" s="1503">
        <f t="shared" si="28"/>
        <v>0</v>
      </c>
      <c r="EK760" s="1503"/>
      <c r="EL760" s="1503"/>
      <c r="EM760" s="1503"/>
      <c r="EN760" s="1503"/>
      <c r="EO760" s="1503">
        <f t="shared" si="29"/>
        <v>0</v>
      </c>
      <c r="EP760" s="1503"/>
      <c r="EQ760" s="1503"/>
      <c r="ER760" s="1503"/>
      <c r="ES760" s="1503"/>
      <c r="ET760" s="1503">
        <f t="shared" si="30"/>
        <v>0</v>
      </c>
      <c r="EU760" s="1503"/>
      <c r="EV760" s="1503"/>
      <c r="EW760" s="1503"/>
      <c r="EX760" s="1503"/>
      <c r="EY760"/>
      <c r="EZ760" s="1506" t="str">
        <f t="shared" si="31"/>
        <v/>
      </c>
      <c r="FA760" s="1517"/>
      <c r="FB760" s="1517"/>
      <c r="FC760" s="1517"/>
      <c r="FD760" s="1507"/>
      <c r="FE760" s="1506" t="str">
        <f t="shared" si="32"/>
        <v/>
      </c>
      <c r="FF760" s="1517"/>
      <c r="FG760" s="1517"/>
      <c r="FH760" s="1517"/>
      <c r="FI760" s="1507"/>
      <c r="FJ760" s="1506" t="str">
        <f t="shared" si="33"/>
        <v/>
      </c>
      <c r="FK760" s="1517"/>
      <c r="FL760" s="1517"/>
      <c r="FM760" s="1517"/>
      <c r="FN760" s="1507"/>
      <c r="FO760" s="1506" t="str">
        <f t="shared" si="34"/>
        <v/>
      </c>
      <c r="FP760" s="1517"/>
      <c r="FQ760" s="1517"/>
      <c r="FR760" s="1517"/>
      <c r="FS760" s="1507"/>
      <c r="FT760" s="1506" t="str">
        <f t="shared" si="35"/>
        <v/>
      </c>
      <c r="FU760" s="1517"/>
      <c r="FV760" s="1517"/>
      <c r="FW760" s="1517"/>
      <c r="FX760" s="1507"/>
      <c r="FY760" s="1506" t="str">
        <f t="shared" si="36"/>
        <v/>
      </c>
      <c r="FZ760" s="1517"/>
      <c r="GA760" s="1517"/>
      <c r="GB760" s="1517"/>
      <c r="GC760" s="1507"/>
    </row>
    <row r="761" spans="1:185" s="3" customFormat="1" ht="12.95" customHeight="1">
      <c r="A761"/>
      <c r="B761" s="1630" t="s">
        <v>125</v>
      </c>
      <c r="C761" s="1631"/>
      <c r="D761" s="1631"/>
      <c r="E761" s="1631"/>
      <c r="F761" s="1632"/>
      <c r="G761" s="1620">
        <f>SUM(G726:G760)</f>
        <v>107</v>
      </c>
      <c r="H761" s="1621"/>
      <c r="I761" s="1621"/>
      <c r="J761" s="1622"/>
      <c r="K761" s="893" t="s">
        <v>124</v>
      </c>
      <c r="L761" s="5"/>
      <c r="M761" s="5"/>
      <c r="N761" s="46"/>
      <c r="O761" s="1377">
        <f>SUMPRODUCT(G726:G760,O726:O760)</f>
        <v>212675</v>
      </c>
      <c r="P761" s="1373"/>
      <c r="Q761" s="1373"/>
      <c r="R761" s="1373"/>
      <c r="S761" s="1378"/>
      <c r="T761"/>
      <c r="U761"/>
      <c r="V761"/>
      <c r="W761"/>
      <c r="X761" s="895" t="s">
        <v>900</v>
      </c>
      <c r="Y761" s="894"/>
      <c r="Z761" s="894"/>
      <c r="AA761" s="894"/>
      <c r="AB761" s="896"/>
      <c r="AC761" s="1586">
        <f>BH761</f>
        <v>0.59906542056074763</v>
      </c>
      <c r="AD761" s="1587"/>
      <c r="AE761" s="1587"/>
      <c r="AF761" s="1587"/>
      <c r="AG761" s="1588"/>
      <c r="AH761" s="1586">
        <f>IFERROR(BU761,"")</f>
        <v>0.59910212527204776</v>
      </c>
      <c r="AI761" s="1587"/>
      <c r="AJ761" s="1588"/>
      <c r="AK761"/>
      <c r="AL761"/>
      <c r="AM761"/>
      <c r="AN761"/>
      <c r="AO761"/>
      <c r="AP761" s="205"/>
      <c r="AQ761" s="205"/>
      <c r="AR761" s="205"/>
      <c r="AS761" s="205"/>
      <c r="AT761"/>
      <c r="AU761"/>
      <c r="AV761"/>
      <c r="AW761"/>
      <c r="AX761"/>
      <c r="AY761"/>
      <c r="AZ761" s="34"/>
      <c r="BA761" s="34"/>
      <c r="BB761" s="34"/>
      <c r="BC761" s="34"/>
      <c r="BE761" s="290" t="s">
        <v>899</v>
      </c>
      <c r="BF761" s="299">
        <f>SUM(BF726:BF760)</f>
        <v>107</v>
      </c>
      <c r="BG761" s="300">
        <f>SUM(BG726:BG760)</f>
        <v>1</v>
      </c>
      <c r="BH761" s="300">
        <f>SUM(BH726:BH760)</f>
        <v>0.59906542056074763</v>
      </c>
      <c r="BI761"/>
      <c r="BJ761"/>
      <c r="BK761"/>
      <c r="BL761"/>
      <c r="BO761"/>
      <c r="BP761"/>
      <c r="BQ761"/>
      <c r="BR761"/>
      <c r="BS761" s="850">
        <f>SUM(BS726:BS760)</f>
        <v>107</v>
      </c>
      <c r="BT761" s="300">
        <f>SUM(BT726:BT760)</f>
        <v>1</v>
      </c>
      <c r="BU761" s="300">
        <f>SUM(BU726:BU760)</f>
        <v>0.59910212527204776</v>
      </c>
      <c r="CI761" s="1506">
        <f>SUM(CI726:CJ760)</f>
        <v>11</v>
      </c>
      <c r="CJ761" s="1507"/>
      <c r="CM761" s="1506">
        <f>SUM(CM726:CN760)</f>
        <v>11</v>
      </c>
      <c r="CN761" s="1507"/>
      <c r="CP761" s="1506">
        <f>SUM(CP726:CT760)</f>
        <v>13</v>
      </c>
      <c r="CQ761" s="1517"/>
      <c r="CR761" s="1517"/>
      <c r="CS761" s="1517"/>
      <c r="CT761" s="1507"/>
      <c r="CU761" s="1511">
        <f>SUM(CU726:CY760)</f>
        <v>65</v>
      </c>
      <c r="CV761" s="1511"/>
      <c r="CW761" s="1511"/>
      <c r="CX761" s="1511"/>
      <c r="CY761" s="1511"/>
      <c r="CZ761" s="1511">
        <f>SUM(CZ726:DD760)</f>
        <v>29</v>
      </c>
      <c r="DA761" s="1511"/>
      <c r="DB761" s="1511"/>
      <c r="DC761" s="1511"/>
      <c r="DD761" s="1511"/>
      <c r="DE761" s="1511">
        <f>SUM(DE726:DI760)</f>
        <v>0</v>
      </c>
      <c r="DF761" s="1511"/>
      <c r="DG761" s="1511"/>
      <c r="DH761" s="1511"/>
      <c r="DI761" s="1511"/>
      <c r="DJ761" s="1511">
        <f>SUM(DJ726:DN760)</f>
        <v>0</v>
      </c>
      <c r="DK761" s="1511"/>
      <c r="DL761" s="1511"/>
      <c r="DM761" s="1511"/>
      <c r="DN761" s="1511"/>
      <c r="DO761" s="1511">
        <f>SUM(DO726:DS760)</f>
        <v>0</v>
      </c>
      <c r="DP761" s="1511"/>
      <c r="DQ761" s="1511"/>
      <c r="DR761" s="1511"/>
      <c r="DS761" s="1511"/>
      <c r="DT761" s="350"/>
      <c r="DU761" s="1511">
        <f>SUM(DU726:DY760)</f>
        <v>2</v>
      </c>
      <c r="DV761" s="1511"/>
      <c r="DW761" s="1511"/>
      <c r="DX761" s="1511"/>
      <c r="DY761" s="1511"/>
      <c r="DZ761" s="1511">
        <f>SUM(DZ726:ED760)</f>
        <v>8</v>
      </c>
      <c r="EA761" s="1511"/>
      <c r="EB761" s="1511"/>
      <c r="EC761" s="1511"/>
      <c r="ED761" s="1511"/>
      <c r="EE761" s="1511">
        <f>SUM(EE726:EI760)</f>
        <v>1</v>
      </c>
      <c r="EF761" s="1511"/>
      <c r="EG761" s="1511"/>
      <c r="EH761" s="1511"/>
      <c r="EI761" s="1511"/>
      <c r="EJ761" s="1511">
        <f>SUM(EJ726:EN760)</f>
        <v>0</v>
      </c>
      <c r="EK761" s="1511"/>
      <c r="EL761" s="1511"/>
      <c r="EM761" s="1511"/>
      <c r="EN761" s="1511"/>
      <c r="EO761" s="1511">
        <f>SUM(EO726:ES760)</f>
        <v>0</v>
      </c>
      <c r="EP761" s="1511"/>
      <c r="EQ761" s="1511"/>
      <c r="ER761" s="1511"/>
      <c r="ES761" s="1511"/>
      <c r="ET761" s="1511">
        <f>SUM(ET726:EX760)</f>
        <v>0</v>
      </c>
      <c r="EU761" s="1511"/>
      <c r="EV761" s="1511"/>
      <c r="EW761" s="1511"/>
      <c r="EX761" s="1511"/>
      <c r="EY761"/>
      <c r="EZ761" s="1511">
        <f>SUM(EZ726:FD760)</f>
        <v>6177</v>
      </c>
      <c r="FA761" s="1511"/>
      <c r="FB761" s="1511"/>
      <c r="FC761" s="1511"/>
      <c r="FD761" s="1511"/>
      <c r="FE761" s="1511">
        <f>SUM(FE726:FI760)</f>
        <v>6588</v>
      </c>
      <c r="FF761" s="1511"/>
      <c r="FG761" s="1511"/>
      <c r="FH761" s="1511"/>
      <c r="FI761" s="1511"/>
      <c r="FJ761" s="1511">
        <f>SUM(FJ726:FN760)</f>
        <v>7855</v>
      </c>
      <c r="FK761" s="1511"/>
      <c r="FL761" s="1511"/>
      <c r="FM761" s="1511"/>
      <c r="FN761" s="1511"/>
      <c r="FO761" s="1511">
        <f>SUM(FO726:FS760)</f>
        <v>0</v>
      </c>
      <c r="FP761" s="1511"/>
      <c r="FQ761" s="1511"/>
      <c r="FR761" s="1511"/>
      <c r="FS761" s="1511"/>
      <c r="FT761" s="1511">
        <f>SUM(FT726:FX760)</f>
        <v>0</v>
      </c>
      <c r="FU761" s="1511"/>
      <c r="FV761" s="1511"/>
      <c r="FW761" s="1511"/>
      <c r="FX761" s="1511"/>
      <c r="FY761" s="1511">
        <f>SUM(FY726:GC760)</f>
        <v>0</v>
      </c>
      <c r="FZ761" s="1511"/>
      <c r="GA761" s="1511"/>
      <c r="GB761" s="1511"/>
      <c r="GC761" s="1511"/>
    </row>
    <row r="762" spans="1:185" s="3" customFormat="1" ht="12.95" customHeight="1">
      <c r="A762"/>
      <c r="B762" s="1692" t="s">
        <v>1861</v>
      </c>
      <c r="C762" s="1692"/>
      <c r="D762" s="1692"/>
      <c r="E762" s="1692"/>
      <c r="F762" s="1692"/>
      <c r="G762" s="1692"/>
      <c r="H762" s="1692"/>
      <c r="I762" s="1692"/>
      <c r="J762" s="1692"/>
      <c r="K762" s="1692"/>
      <c r="L762" s="1692"/>
      <c r="M762" s="1692"/>
      <c r="N762" s="1692"/>
      <c r="O762" s="1692"/>
      <c r="P762" s="1692"/>
      <c r="Q762" s="1692"/>
      <c r="R762" s="1692"/>
      <c r="S762" s="1692"/>
      <c r="T762" s="1692"/>
      <c r="U762" s="1692"/>
      <c r="V762" s="1692"/>
      <c r="W762" s="1692"/>
      <c r="X762" s="1692"/>
      <c r="Y762" s="1692"/>
      <c r="Z762" s="1692"/>
      <c r="AA762" s="1692"/>
      <c r="AB762" s="1692"/>
      <c r="AC762" s="1692"/>
      <c r="AD762" s="1692"/>
      <c r="AE762" s="1692"/>
      <c r="AF762" s="1692"/>
      <c r="AG762" s="1692"/>
      <c r="AH762" s="1692"/>
      <c r="AI762"/>
      <c r="AJ762"/>
      <c r="AK762"/>
      <c r="AT762"/>
      <c r="AU762"/>
      <c r="AV762"/>
      <c r="AW762"/>
      <c r="AX762"/>
      <c r="AY762"/>
      <c r="CD762"/>
      <c r="DN762" s="56" t="s">
        <v>1829</v>
      </c>
      <c r="DO762" s="1506">
        <f>CP761+CU761+CZ761+DE761+DJ761+DO761</f>
        <v>107</v>
      </c>
      <c r="DP762" s="1517"/>
      <c r="DQ762" s="1517"/>
      <c r="DR762" s="1517"/>
      <c r="DS762" s="150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92"/>
      <c r="C763" s="1692"/>
      <c r="D763" s="1692"/>
      <c r="E763" s="1692"/>
      <c r="F763" s="1692"/>
      <c r="G763" s="1692"/>
      <c r="H763" s="1692"/>
      <c r="I763" s="1692"/>
      <c r="J763" s="1692"/>
      <c r="K763" s="1692"/>
      <c r="L763" s="1692"/>
      <c r="M763" s="1692"/>
      <c r="N763" s="1692"/>
      <c r="O763" s="1692"/>
      <c r="P763" s="1692"/>
      <c r="Q763" s="1692"/>
      <c r="R763" s="1692"/>
      <c r="S763" s="1692"/>
      <c r="T763" s="1692"/>
      <c r="U763" s="1692"/>
      <c r="V763" s="1692"/>
      <c r="W763" s="1692"/>
      <c r="X763" s="1692"/>
      <c r="Y763" s="1692"/>
      <c r="Z763" s="1692"/>
      <c r="AA763" s="1692"/>
      <c r="AB763" s="1692"/>
      <c r="AC763" s="1692"/>
      <c r="AD763" s="1692"/>
      <c r="AE763" s="1692"/>
      <c r="AF763" s="1692"/>
      <c r="AG763" s="1692"/>
      <c r="AH763" s="169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13</v>
      </c>
      <c r="CU763" s="3"/>
      <c r="CV763" s="3"/>
      <c r="CW763" s="3"/>
      <c r="CX763" s="3"/>
      <c r="CY763" s="852">
        <f>CU761*1</f>
        <v>65</v>
      </c>
      <c r="CZ763" s="3"/>
      <c r="DA763" s="3"/>
      <c r="DB763" s="3"/>
      <c r="DC763" s="3"/>
      <c r="DD763" s="852">
        <f>CZ761*2</f>
        <v>58</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136</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511">
        <f>DU763</f>
        <v>136</v>
      </c>
      <c r="P764" s="1511"/>
      <c r="Q764" s="1511"/>
      <c r="R764" s="1511"/>
      <c r="S764" s="960"/>
      <c r="T764" s="960"/>
      <c r="U764" s="118" t="s">
        <v>1860</v>
      </c>
      <c r="V764" s="1022"/>
      <c r="W764" s="1022"/>
      <c r="X764" s="1022"/>
      <c r="Y764" s="1023"/>
      <c r="Z764" s="1023"/>
      <c r="AA764" s="1023"/>
      <c r="AB764" s="1023"/>
      <c r="AC764" s="1022"/>
      <c r="AD764" s="1022"/>
      <c r="AE764" s="1022"/>
      <c r="AF764" s="1022"/>
      <c r="AG764" s="1425"/>
      <c r="AH764" s="1425"/>
      <c r="AI764" s="1425"/>
      <c r="AJ764" s="1425"/>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407" t="str">
        <f>IF(G761&lt;&gt;AG449,"! Total Low-Income Units in the Unit Mix Table above does not match the number of Total Low-Income Units on row #"&amp;TEXT(ROW(D449),"#"),"")</f>
        <v/>
      </c>
      <c r="D765" s="1407"/>
      <c r="E765" s="1407"/>
      <c r="F765" s="1407"/>
      <c r="G765" s="1407"/>
      <c r="H765" s="1407"/>
      <c r="I765" s="1407"/>
      <c r="J765" s="1407"/>
      <c r="K765" s="1407"/>
      <c r="L765" s="1407"/>
      <c r="M765" s="1407"/>
      <c r="N765" s="1407"/>
      <c r="O765" s="1407"/>
      <c r="P765" s="1407"/>
      <c r="Q765" s="1407"/>
      <c r="R765" s="1407"/>
      <c r="S765" s="1407"/>
      <c r="T765" s="1407"/>
      <c r="U765" s="1407"/>
      <c r="V765" s="1407"/>
      <c r="W765" s="1407"/>
      <c r="X765" s="1407"/>
      <c r="Y765" s="1407"/>
      <c r="Z765" s="1407"/>
      <c r="AA765" s="1407"/>
      <c r="AB765" s="1407"/>
      <c r="AC765" s="1407"/>
      <c r="AD765" s="1407"/>
      <c r="AE765" s="1407"/>
      <c r="AF765" s="1407"/>
      <c r="AG765" s="1407"/>
      <c r="AH765" s="1407"/>
      <c r="AI765" s="1407"/>
      <c r="AJ765" s="1407"/>
      <c r="AK765" s="1407"/>
      <c r="AL765" s="1407"/>
      <c r="AM765" s="1407"/>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407"/>
      <c r="D766" s="1407"/>
      <c r="E766" s="1407"/>
      <c r="F766" s="1407"/>
      <c r="G766" s="1407"/>
      <c r="H766" s="1407"/>
      <c r="I766" s="1407"/>
      <c r="J766" s="1407"/>
      <c r="K766" s="1407"/>
      <c r="L766" s="1407"/>
      <c r="M766" s="1407"/>
      <c r="N766" s="1407"/>
      <c r="O766" s="1407"/>
      <c r="P766" s="1407"/>
      <c r="Q766" s="1407"/>
      <c r="R766" s="1407"/>
      <c r="S766" s="1407"/>
      <c r="T766" s="1407"/>
      <c r="U766" s="1407"/>
      <c r="V766" s="1407"/>
      <c r="W766" s="1407"/>
      <c r="X766" s="1407"/>
      <c r="Y766" s="1407"/>
      <c r="Z766" s="1407"/>
      <c r="AA766" s="1407"/>
      <c r="AB766" s="1407"/>
      <c r="AC766" s="1407"/>
      <c r="AD766" s="1407"/>
      <c r="AE766" s="1407"/>
      <c r="AF766" s="1407"/>
      <c r="AG766" s="1407"/>
      <c r="AH766" s="1407"/>
      <c r="AI766" s="1407"/>
      <c r="AJ766" s="1407"/>
      <c r="AK766" s="1407"/>
      <c r="AL766" s="1407"/>
      <c r="AM766" s="1407"/>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03" t="s">
        <v>591</v>
      </c>
      <c r="AE767" s="1603"/>
      <c r="AF767" s="1603"/>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303" t="s">
        <v>2039</v>
      </c>
      <c r="D771" s="1303"/>
      <c r="E771" s="1303"/>
      <c r="F771" s="1303"/>
      <c r="G771" s="1303"/>
      <c r="H771" s="1303"/>
      <c r="I771" s="1303"/>
      <c r="J771" s="1303"/>
      <c r="K771" s="1303"/>
      <c r="L771" s="1303"/>
      <c r="M771" s="1303"/>
      <c r="N771" s="1303"/>
      <c r="O771" s="1303"/>
      <c r="P771" s="1303"/>
      <c r="Q771" s="1303"/>
      <c r="R771" s="1303"/>
      <c r="S771" s="1303"/>
      <c r="T771" s="1303"/>
      <c r="U771" s="1303"/>
      <c r="V771" s="1303"/>
      <c r="W771" s="1303"/>
      <c r="X771" s="1303"/>
      <c r="Y771" s="1303"/>
      <c r="Z771" s="1303"/>
      <c r="AA771" s="1303"/>
      <c r="AB771" s="1303"/>
      <c r="AC771" s="1303"/>
      <c r="AD771" s="1303"/>
      <c r="AE771" s="1303"/>
      <c r="AF771" s="1303"/>
      <c r="AG771" s="1303"/>
      <c r="AH771" s="1303"/>
      <c r="AI771" s="1303"/>
      <c r="AJ771" s="1303"/>
      <c r="AK771" s="1303"/>
      <c r="AL771" s="1303"/>
      <c r="AM771" s="1303"/>
      <c r="AN771" s="1303"/>
      <c r="AO771" s="1303"/>
      <c r="AP771" s="1303"/>
      <c r="AQ771" s="1303"/>
      <c r="AR771" s="1303"/>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303"/>
      <c r="D772" s="1303"/>
      <c r="E772" s="1303"/>
      <c r="F772" s="1303"/>
      <c r="G772" s="1303"/>
      <c r="H772" s="1303"/>
      <c r="I772" s="1303"/>
      <c r="J772" s="1303"/>
      <c r="K772" s="1303"/>
      <c r="L772" s="1303"/>
      <c r="M772" s="1303"/>
      <c r="N772" s="1303"/>
      <c r="O772" s="1303"/>
      <c r="P772" s="1303"/>
      <c r="Q772" s="1303"/>
      <c r="R772" s="1303"/>
      <c r="S772" s="1303"/>
      <c r="T772" s="1303"/>
      <c r="U772" s="1303"/>
      <c r="V772" s="1303"/>
      <c r="W772" s="1303"/>
      <c r="X772" s="1303"/>
      <c r="Y772" s="1303"/>
      <c r="Z772" s="1303"/>
      <c r="AA772" s="1303"/>
      <c r="AB772" s="1303"/>
      <c r="AC772" s="1303"/>
      <c r="AD772" s="1303"/>
      <c r="AE772" s="1303"/>
      <c r="AF772" s="1303"/>
      <c r="AG772" s="1303"/>
      <c r="AH772" s="1303"/>
      <c r="AI772" s="1303"/>
      <c r="AJ772" s="1303"/>
      <c r="AK772" s="1303"/>
      <c r="AL772" s="1303"/>
      <c r="AM772" s="1303"/>
      <c r="AN772" s="1303"/>
      <c r="AO772" s="1303"/>
      <c r="AP772" s="1303"/>
      <c r="AQ772" s="1303"/>
      <c r="AR772" s="1303"/>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303"/>
      <c r="D773" s="1303"/>
      <c r="E773" s="1303"/>
      <c r="F773" s="1303"/>
      <c r="G773" s="1303"/>
      <c r="H773" s="1303"/>
      <c r="I773" s="1303"/>
      <c r="J773" s="1303"/>
      <c r="K773" s="1303"/>
      <c r="L773" s="1303"/>
      <c r="M773" s="1303"/>
      <c r="N773" s="1303"/>
      <c r="O773" s="1303"/>
      <c r="P773" s="1303"/>
      <c r="Q773" s="1303"/>
      <c r="R773" s="1303"/>
      <c r="S773" s="1303"/>
      <c r="T773" s="1303"/>
      <c r="U773" s="1303"/>
      <c r="V773" s="1303"/>
      <c r="W773" s="1303"/>
      <c r="X773" s="1303"/>
      <c r="Y773" s="1303"/>
      <c r="Z773" s="1303"/>
      <c r="AA773" s="1303"/>
      <c r="AB773" s="1303"/>
      <c r="AC773" s="1303"/>
      <c r="AD773" s="1303"/>
      <c r="AE773" s="1303"/>
      <c r="AF773" s="1303"/>
      <c r="AG773" s="1303"/>
      <c r="AH773" s="1303"/>
      <c r="AI773" s="1303"/>
      <c r="AJ773" s="1303"/>
      <c r="AK773" s="1303"/>
      <c r="AL773" s="1303"/>
      <c r="AM773" s="1303"/>
      <c r="AN773" s="1303"/>
      <c r="AO773" s="1303"/>
      <c r="AP773" s="1303"/>
      <c r="AQ773" s="1303"/>
      <c r="AR773" s="1303"/>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303" t="s">
        <v>2040</v>
      </c>
      <c r="D774" s="1303"/>
      <c r="E774" s="1303"/>
      <c r="F774" s="1303"/>
      <c r="G774" s="1303"/>
      <c r="H774" s="1303"/>
      <c r="I774" s="1303"/>
      <c r="J774" s="1303"/>
      <c r="K774" s="1303"/>
      <c r="L774" s="1303"/>
      <c r="M774" s="1303"/>
      <c r="N774" s="1303"/>
      <c r="O774" s="1303"/>
      <c r="P774" s="1303"/>
      <c r="Q774" s="1303"/>
      <c r="R774" s="1303"/>
      <c r="S774" s="1303"/>
      <c r="T774" s="1303"/>
      <c r="U774" s="1303"/>
      <c r="V774" s="1303"/>
      <c r="W774" s="1303"/>
      <c r="X774" s="1303"/>
      <c r="Y774" s="1303"/>
      <c r="Z774" s="1303"/>
      <c r="AA774" s="1303"/>
      <c r="AB774" s="1303"/>
      <c r="AC774" s="1303"/>
      <c r="AD774" s="1303"/>
      <c r="AE774" s="1303"/>
      <c r="AF774" s="1303"/>
      <c r="AG774" s="1303"/>
      <c r="AH774" s="1303"/>
      <c r="AI774" s="1303"/>
      <c r="AJ774" s="1303"/>
      <c r="AK774" s="1303"/>
      <c r="AL774" s="1303"/>
      <c r="AM774" s="1303"/>
      <c r="AN774" s="1303"/>
      <c r="AO774" s="1303"/>
      <c r="AP774" s="1303"/>
      <c r="AQ774" s="1303"/>
      <c r="AR774" s="1303"/>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303"/>
      <c r="D775" s="1303"/>
      <c r="E775" s="1303"/>
      <c r="F775" s="1303"/>
      <c r="G775" s="1303"/>
      <c r="H775" s="1303"/>
      <c r="I775" s="1303"/>
      <c r="J775" s="1303"/>
      <c r="K775" s="1303"/>
      <c r="L775" s="1303"/>
      <c r="M775" s="1303"/>
      <c r="N775" s="1303"/>
      <c r="O775" s="1303"/>
      <c r="P775" s="1303"/>
      <c r="Q775" s="1303"/>
      <c r="R775" s="1303"/>
      <c r="S775" s="1303"/>
      <c r="T775" s="1303"/>
      <c r="U775" s="1303"/>
      <c r="V775" s="1303"/>
      <c r="W775" s="1303"/>
      <c r="X775" s="1303"/>
      <c r="Y775" s="1303"/>
      <c r="Z775" s="1303"/>
      <c r="AA775" s="1303"/>
      <c r="AB775" s="1303"/>
      <c r="AC775" s="1303"/>
      <c r="AD775" s="1303"/>
      <c r="AE775" s="1303"/>
      <c r="AF775" s="1303"/>
      <c r="AG775" s="1303"/>
      <c r="AH775" s="1303"/>
      <c r="AI775" s="1303"/>
      <c r="AJ775" s="1303"/>
      <c r="AK775" s="1303"/>
      <c r="AL775" s="1303"/>
      <c r="AM775" s="1303"/>
      <c r="AN775" s="1303"/>
      <c r="AO775" s="1303"/>
      <c r="AP775" s="1303"/>
      <c r="AQ775" s="1303"/>
      <c r="AR775" s="1303"/>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303"/>
      <c r="D776" s="1303"/>
      <c r="E776" s="1303"/>
      <c r="F776" s="1303"/>
      <c r="G776" s="1303"/>
      <c r="H776" s="1303"/>
      <c r="I776" s="1303"/>
      <c r="J776" s="1303"/>
      <c r="K776" s="1303"/>
      <c r="L776" s="1303"/>
      <c r="M776" s="1303"/>
      <c r="N776" s="1303"/>
      <c r="O776" s="1303"/>
      <c r="P776" s="1303"/>
      <c r="Q776" s="1303"/>
      <c r="R776" s="1303"/>
      <c r="S776" s="1303"/>
      <c r="T776" s="1303"/>
      <c r="U776" s="1303"/>
      <c r="V776" s="1303"/>
      <c r="W776" s="1303"/>
      <c r="X776" s="1303"/>
      <c r="Y776" s="1303"/>
      <c r="Z776" s="1303"/>
      <c r="AA776" s="1303"/>
      <c r="AB776" s="1303"/>
      <c r="AC776" s="1303"/>
      <c r="AD776" s="1303"/>
      <c r="AE776" s="1303"/>
      <c r="AF776" s="1303"/>
      <c r="AG776" s="1303"/>
      <c r="AH776" s="1303"/>
      <c r="AI776" s="1303"/>
      <c r="AJ776" s="1303"/>
      <c r="AK776" s="1303"/>
      <c r="AL776" s="1303"/>
      <c r="AM776" s="1303"/>
      <c r="AN776" s="1303"/>
      <c r="AO776" s="1303"/>
      <c r="AP776" s="1303"/>
      <c r="AQ776" s="1303"/>
      <c r="AR776" s="1303"/>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394" t="s">
        <v>389</v>
      </c>
      <c r="K777" s="1395"/>
      <c r="L777" s="1395"/>
      <c r="M777" s="1395"/>
      <c r="N777" s="1396"/>
      <c r="O777" s="1344" t="s">
        <v>285</v>
      </c>
      <c r="P777" s="1344"/>
      <c r="Q777" s="1344"/>
      <c r="R777" s="1344"/>
      <c r="S777" s="1344"/>
      <c r="T777" s="1660" t="s">
        <v>1667</v>
      </c>
      <c r="U777" s="1661"/>
      <c r="V777" s="1661"/>
      <c r="W777" s="1662"/>
      <c r="X777" s="1394" t="s">
        <v>447</v>
      </c>
      <c r="Y777" s="1395"/>
      <c r="Z777" s="1395"/>
      <c r="AA777" s="1395"/>
      <c r="AB777" s="1396"/>
      <c r="AC777" s="1394" t="s">
        <v>286</v>
      </c>
      <c r="AD777" s="1395"/>
      <c r="AE777" s="1395"/>
      <c r="AF777" s="1395"/>
      <c r="AG777" s="1396"/>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97"/>
      <c r="K778" s="1398"/>
      <c r="L778" s="1398"/>
      <c r="M778" s="1398"/>
      <c r="N778" s="1399"/>
      <c r="O778" s="1344"/>
      <c r="P778" s="1344"/>
      <c r="Q778" s="1344"/>
      <c r="R778" s="1344"/>
      <c r="S778" s="1344"/>
      <c r="T778" s="1663"/>
      <c r="U778" s="1664"/>
      <c r="V778" s="1664"/>
      <c r="W778" s="1665"/>
      <c r="X778" s="1397"/>
      <c r="Y778" s="1398"/>
      <c r="Z778" s="1398"/>
      <c r="AA778" s="1398"/>
      <c r="AB778" s="1399"/>
      <c r="AC778" s="1397"/>
      <c r="AD778" s="1398"/>
      <c r="AE778" s="1398"/>
      <c r="AF778" s="1398"/>
      <c r="AG778" s="1399"/>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97"/>
      <c r="K779" s="1398"/>
      <c r="L779" s="1398"/>
      <c r="M779" s="1398"/>
      <c r="N779" s="1399"/>
      <c r="O779" s="1344"/>
      <c r="P779" s="1344"/>
      <c r="Q779" s="1344"/>
      <c r="R779" s="1344"/>
      <c r="S779" s="1344"/>
      <c r="T779" s="1663"/>
      <c r="U779" s="1664"/>
      <c r="V779" s="1664"/>
      <c r="W779" s="1665"/>
      <c r="X779" s="1397"/>
      <c r="Y779" s="1398"/>
      <c r="Z779" s="1398"/>
      <c r="AA779" s="1398"/>
      <c r="AB779" s="1399"/>
      <c r="AC779" s="1397"/>
      <c r="AD779" s="1398"/>
      <c r="AE779" s="1398"/>
      <c r="AF779" s="1398"/>
      <c r="AG779" s="1399"/>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00"/>
      <c r="K780" s="1401"/>
      <c r="L780" s="1401"/>
      <c r="M780" s="1401"/>
      <c r="N780" s="1402"/>
      <c r="O780" s="1344"/>
      <c r="P780" s="1344"/>
      <c r="Q780" s="1344"/>
      <c r="R780" s="1344"/>
      <c r="S780" s="1344"/>
      <c r="T780" s="1667"/>
      <c r="U780" s="1668"/>
      <c r="V780" s="1668"/>
      <c r="W780" s="1669"/>
      <c r="X780" s="1400"/>
      <c r="Y780" s="1401"/>
      <c r="Z780" s="1401"/>
      <c r="AA780" s="1401"/>
      <c r="AB780" s="1402"/>
      <c r="AC780" s="1400"/>
      <c r="AD780" s="1401"/>
      <c r="AE780" s="1401"/>
      <c r="AF780" s="1401"/>
      <c r="AG780" s="1402"/>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28" t="s">
        <v>163</v>
      </c>
      <c r="K781" s="1329"/>
      <c r="L781" s="1329"/>
      <c r="M781" s="1329"/>
      <c r="N781" s="1330"/>
      <c r="O781" s="1369">
        <v>1</v>
      </c>
      <c r="P781" s="1369"/>
      <c r="Q781" s="1369"/>
      <c r="R781" s="1369"/>
      <c r="S781" s="1369"/>
      <c r="T781" s="1382">
        <v>881</v>
      </c>
      <c r="U781" s="1383"/>
      <c r="V781" s="1383"/>
      <c r="W781" s="1384"/>
      <c r="X781" s="1374"/>
      <c r="Y781" s="1375"/>
      <c r="Z781" s="1375"/>
      <c r="AA781" s="1375"/>
      <c r="AB781" s="1376"/>
      <c r="AC781" s="1377">
        <f>X781*O781</f>
        <v>0</v>
      </c>
      <c r="AD781" s="1373"/>
      <c r="AE781" s="1373"/>
      <c r="AF781" s="1373"/>
      <c r="AG781" s="1378"/>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08">
        <f>IF(J781="SRO/Studio",O781,0)</f>
        <v>0</v>
      </c>
      <c r="CQ781" s="1509"/>
      <c r="CR781" s="1509"/>
      <c r="CS781" s="1509"/>
      <c r="CT781" s="1510"/>
      <c r="CU781" s="1504">
        <f>IF(J781="1 Bedroom",O781,0)</f>
        <v>0</v>
      </c>
      <c r="CV781" s="1504"/>
      <c r="CW781" s="1504"/>
      <c r="CX781" s="1504"/>
      <c r="CY781" s="1504"/>
      <c r="CZ781" s="1504">
        <f>IF(J781="2 Bedrooms",O781,0)</f>
        <v>1</v>
      </c>
      <c r="DA781" s="1504"/>
      <c r="DB781" s="1504"/>
      <c r="DC781" s="1504"/>
      <c r="DD781" s="1504"/>
      <c r="DE781" s="1504">
        <f>IF(J781="3 Bedrooms",O781,0)</f>
        <v>0</v>
      </c>
      <c r="DF781" s="1504"/>
      <c r="DG781" s="1504"/>
      <c r="DH781" s="1504"/>
      <c r="DI781" s="1504"/>
      <c r="DJ781" s="1504">
        <f>IF(J781="4 Bedrooms",O781,0)</f>
        <v>0</v>
      </c>
      <c r="DK781" s="1504"/>
      <c r="DL781" s="1504"/>
      <c r="DM781" s="1504"/>
      <c r="DN781" s="1504"/>
      <c r="DO781" s="1504">
        <f>IF(J781="5 Bedrooms",O781,0)</f>
        <v>0</v>
      </c>
      <c r="DP781" s="1504"/>
      <c r="DQ781" s="1504"/>
      <c r="DR781" s="1504"/>
      <c r="DS781" s="1504"/>
      <c r="DT781" s="6"/>
      <c r="DU781" s="3"/>
      <c r="DV781" s="3"/>
    </row>
    <row r="782" spans="1:159" ht="12.95" customHeight="1">
      <c r="J782" s="1328"/>
      <c r="K782" s="1329"/>
      <c r="L782" s="1329"/>
      <c r="M782" s="1329"/>
      <c r="N782" s="1330"/>
      <c r="O782" s="1369"/>
      <c r="P782" s="1369"/>
      <c r="Q782" s="1369"/>
      <c r="R782" s="1369"/>
      <c r="S782" s="1369"/>
      <c r="T782" s="1382"/>
      <c r="U782" s="1383"/>
      <c r="V782" s="1383"/>
      <c r="W782" s="1384"/>
      <c r="X782" s="1374"/>
      <c r="Y782" s="1375"/>
      <c r="Z782" s="1375"/>
      <c r="AA782" s="1375"/>
      <c r="AB782" s="1376"/>
      <c r="AC782" s="1377">
        <f>X782*O782</f>
        <v>0</v>
      </c>
      <c r="AD782" s="1373"/>
      <c r="AE782" s="1373"/>
      <c r="AF782" s="1373"/>
      <c r="AG782" s="1378"/>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08">
        <f>IF(J782="SRO/Studio",O782,0)</f>
        <v>0</v>
      </c>
      <c r="CQ782" s="1509"/>
      <c r="CR782" s="1509"/>
      <c r="CS782" s="1509"/>
      <c r="CT782" s="1510"/>
      <c r="CU782" s="1504">
        <f>IF(J782="1 Bedroom",O782,0)</f>
        <v>0</v>
      </c>
      <c r="CV782" s="1504"/>
      <c r="CW782" s="1504"/>
      <c r="CX782" s="1504"/>
      <c r="CY782" s="1504"/>
      <c r="CZ782" s="1504">
        <f>IF(J782="2 Bedrooms",O782,0)</f>
        <v>0</v>
      </c>
      <c r="DA782" s="1504"/>
      <c r="DB782" s="1504"/>
      <c r="DC782" s="1504"/>
      <c r="DD782" s="1504"/>
      <c r="DE782" s="1504">
        <f>IF(J782="3 Bedrooms",O782,0)</f>
        <v>0</v>
      </c>
      <c r="DF782" s="1504"/>
      <c r="DG782" s="1504"/>
      <c r="DH782" s="1504"/>
      <c r="DI782" s="1504"/>
      <c r="DJ782" s="1504">
        <f>IF(J782="4 Bedrooms",O782,0)</f>
        <v>0</v>
      </c>
      <c r="DK782" s="1504"/>
      <c r="DL782" s="1504"/>
      <c r="DM782" s="1504"/>
      <c r="DN782" s="1504"/>
      <c r="DO782" s="1504">
        <f>IF(J782="5 Bedrooms",O782,0)</f>
        <v>0</v>
      </c>
      <c r="DP782" s="1504"/>
      <c r="DQ782" s="1504"/>
      <c r="DR782" s="1504"/>
      <c r="DS782" s="1504"/>
      <c r="DT782" s="6"/>
      <c r="DU782" s="3"/>
      <c r="DV782" s="3"/>
    </row>
    <row r="783" spans="1:159" ht="12.95" customHeight="1">
      <c r="J783" s="1328"/>
      <c r="K783" s="1329"/>
      <c r="L783" s="1329"/>
      <c r="M783" s="1329"/>
      <c r="N783" s="1330"/>
      <c r="O783" s="1369"/>
      <c r="P783" s="1369"/>
      <c r="Q783" s="1369"/>
      <c r="R783" s="1369"/>
      <c r="S783" s="1369"/>
      <c r="T783" s="1382"/>
      <c r="U783" s="1383"/>
      <c r="V783" s="1383"/>
      <c r="W783" s="1384"/>
      <c r="X783" s="1374"/>
      <c r="Y783" s="1375"/>
      <c r="Z783" s="1375"/>
      <c r="AA783" s="1375"/>
      <c r="AB783" s="1376"/>
      <c r="AC783" s="1377">
        <f>X783*O783</f>
        <v>0</v>
      </c>
      <c r="AD783" s="1373"/>
      <c r="AE783" s="1373"/>
      <c r="AF783" s="1373"/>
      <c r="AG783" s="1378"/>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08">
        <f>IF(J783="SRO/Studio",O783,0)</f>
        <v>0</v>
      </c>
      <c r="CQ783" s="1509"/>
      <c r="CR783" s="1509"/>
      <c r="CS783" s="1509"/>
      <c r="CT783" s="1510"/>
      <c r="CU783" s="1504">
        <f>IF(J783="1 Bedroom",O783,0)</f>
        <v>0</v>
      </c>
      <c r="CV783" s="1504"/>
      <c r="CW783" s="1504"/>
      <c r="CX783" s="1504"/>
      <c r="CY783" s="1504"/>
      <c r="CZ783" s="1504">
        <f>IF(J783="2 Bedrooms",O783,0)</f>
        <v>0</v>
      </c>
      <c r="DA783" s="1504"/>
      <c r="DB783" s="1504"/>
      <c r="DC783" s="1504"/>
      <c r="DD783" s="1504"/>
      <c r="DE783" s="1504">
        <f>IF(J783="3 Bedrooms",O783,0)</f>
        <v>0</v>
      </c>
      <c r="DF783" s="1504"/>
      <c r="DG783" s="1504"/>
      <c r="DH783" s="1504"/>
      <c r="DI783" s="1504"/>
      <c r="DJ783" s="1504">
        <f>IF(J783="4 Bedrooms",O783,0)</f>
        <v>0</v>
      </c>
      <c r="DK783" s="1504"/>
      <c r="DL783" s="1504"/>
      <c r="DM783" s="1504"/>
      <c r="DN783" s="1504"/>
      <c r="DO783" s="1504">
        <f>IF(J783="5 Bedrooms",O783,0)</f>
        <v>0</v>
      </c>
      <c r="DP783" s="1504"/>
      <c r="DQ783" s="1504"/>
      <c r="DR783" s="1504"/>
      <c r="DS783" s="1504"/>
      <c r="DT783" s="1002"/>
    </row>
    <row r="784" spans="1:159" ht="12.95" customHeight="1">
      <c r="J784" s="1328"/>
      <c r="K784" s="1329"/>
      <c r="L784" s="1329"/>
      <c r="M784" s="1329"/>
      <c r="N784" s="1330"/>
      <c r="O784" s="1369"/>
      <c r="P784" s="1369"/>
      <c r="Q784" s="1369"/>
      <c r="R784" s="1369"/>
      <c r="S784" s="1369"/>
      <c r="T784" s="1382"/>
      <c r="U784" s="1383"/>
      <c r="V784" s="1383"/>
      <c r="W784" s="1384"/>
      <c r="X784" s="1374"/>
      <c r="Y784" s="1375"/>
      <c r="Z784" s="1375"/>
      <c r="AA784" s="1375"/>
      <c r="AB784" s="1376"/>
      <c r="AC784" s="1377">
        <f>X784*O784</f>
        <v>0</v>
      </c>
      <c r="AD784" s="1373"/>
      <c r="AE784" s="1373"/>
      <c r="AF784" s="1373"/>
      <c r="AG784" s="1378"/>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08">
        <f>IF(J784="SRO/Studio",O784,0)</f>
        <v>0</v>
      </c>
      <c r="CQ784" s="1509"/>
      <c r="CR784" s="1509"/>
      <c r="CS784" s="1509"/>
      <c r="CT784" s="1510"/>
      <c r="CU784" s="1504">
        <f>IF(J784="1 Bedroom",O784,0)</f>
        <v>0</v>
      </c>
      <c r="CV784" s="1504"/>
      <c r="CW784" s="1504"/>
      <c r="CX784" s="1504"/>
      <c r="CY784" s="1504"/>
      <c r="CZ784" s="1504">
        <f>IF(J784="2 Bedrooms",O784,0)</f>
        <v>0</v>
      </c>
      <c r="DA784" s="1504"/>
      <c r="DB784" s="1504"/>
      <c r="DC784" s="1504"/>
      <c r="DD784" s="1504"/>
      <c r="DE784" s="1504">
        <f>IF(J784="3 Bedrooms",O784,0)</f>
        <v>0</v>
      </c>
      <c r="DF784" s="1504"/>
      <c r="DG784" s="1504"/>
      <c r="DH784" s="1504"/>
      <c r="DI784" s="1504"/>
      <c r="DJ784" s="1504">
        <f>IF(J784="4 Bedrooms",O784,0)</f>
        <v>0</v>
      </c>
      <c r="DK784" s="1504"/>
      <c r="DL784" s="1504"/>
      <c r="DM784" s="1504"/>
      <c r="DN784" s="1504"/>
      <c r="DO784" s="1504">
        <f>IF(J784="5 Bedrooms",O784,0)</f>
        <v>0</v>
      </c>
      <c r="DP784" s="1504"/>
      <c r="DQ784" s="1504"/>
      <c r="DR784" s="1504"/>
      <c r="DS784" s="1504"/>
    </row>
    <row r="785" spans="1:154" ht="12.95" customHeight="1">
      <c r="J785" s="1630" t="s">
        <v>125</v>
      </c>
      <c r="K785" s="1631"/>
      <c r="L785" s="1631"/>
      <c r="M785" s="1631"/>
      <c r="N785" s="1632"/>
      <c r="O785" s="1512">
        <f>SUM(O781:S784)</f>
        <v>1</v>
      </c>
      <c r="P785" s="1695"/>
      <c r="Q785" s="1695"/>
      <c r="R785" s="1695"/>
      <c r="S785" s="1513"/>
      <c r="X785" s="1630" t="s">
        <v>124</v>
      </c>
      <c r="Y785" s="1631"/>
      <c r="Z785" s="1631"/>
      <c r="AA785" s="1631"/>
      <c r="AB785" s="1632"/>
      <c r="AC785" s="1377">
        <f>SUM(AC781:AG784)</f>
        <v>0</v>
      </c>
      <c r="AD785" s="1373"/>
      <c r="AE785" s="1373"/>
      <c r="AF785" s="1373"/>
      <c r="AG785" s="1378"/>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12">
        <f>SUM(CP781:CT784)</f>
        <v>0</v>
      </c>
      <c r="CQ785" s="1695"/>
      <c r="CR785" s="1695"/>
      <c r="CS785" s="1695"/>
      <c r="CT785" s="1513"/>
      <c r="CU785" s="1514">
        <f>SUM(CU781:CY784)</f>
        <v>0</v>
      </c>
      <c r="CV785" s="1515"/>
      <c r="CW785" s="1515"/>
      <c r="CX785" s="1515"/>
      <c r="CY785" s="1516"/>
      <c r="CZ785" s="1514">
        <f>SUM(CZ781:DD784)</f>
        <v>1</v>
      </c>
      <c r="DA785" s="1515"/>
      <c r="DB785" s="1515"/>
      <c r="DC785" s="1515"/>
      <c r="DD785" s="1516"/>
      <c r="DE785" s="1514">
        <f>SUM(DE781:DI784)</f>
        <v>0</v>
      </c>
      <c r="DF785" s="1515"/>
      <c r="DG785" s="1515"/>
      <c r="DH785" s="1515"/>
      <c r="DI785" s="1516"/>
      <c r="DJ785" s="1514">
        <f>SUM(DJ781:DN784)</f>
        <v>0</v>
      </c>
      <c r="DK785" s="1515"/>
      <c r="DL785" s="1515"/>
      <c r="DM785" s="1515"/>
      <c r="DN785" s="1516"/>
      <c r="DO785" s="1514">
        <f>SUM(DO781:DS784)</f>
        <v>0</v>
      </c>
      <c r="DP785" s="1515"/>
      <c r="DQ785" s="1515"/>
      <c r="DR785" s="1515"/>
      <c r="DS785" s="1516"/>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1830</v>
      </c>
    </row>
    <row r="787" spans="1:154" ht="12.95" customHeight="1">
      <c r="B787" s="56"/>
      <c r="C787" s="56"/>
      <c r="D787" s="56"/>
      <c r="E787" s="56"/>
      <c r="F787" s="56"/>
      <c r="G787" s="6"/>
      <c r="H787" s="6"/>
      <c r="I787" s="6"/>
      <c r="J787" s="1492" t="s">
        <v>669</v>
      </c>
      <c r="K787" s="1492"/>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394" t="s">
        <v>389</v>
      </c>
      <c r="K791" s="1395"/>
      <c r="L791" s="1395"/>
      <c r="M791" s="1395"/>
      <c r="N791" s="1396"/>
      <c r="O791" s="1344" t="s">
        <v>285</v>
      </c>
      <c r="P791" s="1344"/>
      <c r="Q791" s="1344"/>
      <c r="R791" s="1344"/>
      <c r="S791" s="1344"/>
      <c r="T791" s="1660" t="s">
        <v>1667</v>
      </c>
      <c r="U791" s="1661"/>
      <c r="V791" s="1661"/>
      <c r="W791" s="1662"/>
      <c r="X791" s="1394" t="s">
        <v>447</v>
      </c>
      <c r="Y791" s="1395"/>
      <c r="Z791" s="1395"/>
      <c r="AA791" s="1395"/>
      <c r="AB791" s="1396"/>
      <c r="AC791" s="1394" t="s">
        <v>286</v>
      </c>
      <c r="AD791" s="1395"/>
      <c r="AE791" s="1395"/>
      <c r="AF791" s="1395"/>
      <c r="AG791" s="139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97"/>
      <c r="K792" s="1398"/>
      <c r="L792" s="1398"/>
      <c r="M792" s="1398"/>
      <c r="N792" s="1399"/>
      <c r="O792" s="1344"/>
      <c r="P792" s="1344"/>
      <c r="Q792" s="1344"/>
      <c r="R792" s="1344"/>
      <c r="S792" s="1344"/>
      <c r="T792" s="1663"/>
      <c r="U792" s="1664"/>
      <c r="V792" s="1664"/>
      <c r="W792" s="1665"/>
      <c r="X792" s="1397"/>
      <c r="Y792" s="1398"/>
      <c r="Z792" s="1398"/>
      <c r="AA792" s="1398"/>
      <c r="AB792" s="1399"/>
      <c r="AC792" s="1397"/>
      <c r="AD792" s="1398"/>
      <c r="AE792" s="1398"/>
      <c r="AF792" s="1398"/>
      <c r="AG792" s="139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97"/>
      <c r="K793" s="1398"/>
      <c r="L793" s="1398"/>
      <c r="M793" s="1398"/>
      <c r="N793" s="1399"/>
      <c r="O793" s="1344"/>
      <c r="P793" s="1344"/>
      <c r="Q793" s="1344"/>
      <c r="R793" s="1344"/>
      <c r="S793" s="1344"/>
      <c r="T793" s="1663"/>
      <c r="U793" s="1664"/>
      <c r="V793" s="1664"/>
      <c r="W793" s="1665"/>
      <c r="X793" s="1397"/>
      <c r="Y793" s="1398"/>
      <c r="Z793" s="1398"/>
      <c r="AA793" s="1398"/>
      <c r="AB793" s="1399"/>
      <c r="AC793" s="1397"/>
      <c r="AD793" s="1398"/>
      <c r="AE793" s="1398"/>
      <c r="AF793" s="1398"/>
      <c r="AG793" s="139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00"/>
      <c r="K794" s="1401"/>
      <c r="L794" s="1401"/>
      <c r="M794" s="1401"/>
      <c r="N794" s="1402"/>
      <c r="O794" s="1344"/>
      <c r="P794" s="1344"/>
      <c r="Q794" s="1344"/>
      <c r="R794" s="1344"/>
      <c r="S794" s="1344"/>
      <c r="T794" s="1667"/>
      <c r="U794" s="1668"/>
      <c r="V794" s="1668"/>
      <c r="W794" s="1669"/>
      <c r="X794" s="1400"/>
      <c r="Y794" s="1401"/>
      <c r="Z794" s="1401"/>
      <c r="AA794" s="1401"/>
      <c r="AB794" s="1402"/>
      <c r="AC794" s="1400"/>
      <c r="AD794" s="1401"/>
      <c r="AE794" s="1401"/>
      <c r="AF794" s="1401"/>
      <c r="AG794" s="140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28"/>
      <c r="K795" s="1329"/>
      <c r="L795" s="1329"/>
      <c r="M795" s="1329"/>
      <c r="N795" s="1330"/>
      <c r="O795" s="1369"/>
      <c r="P795" s="1369"/>
      <c r="Q795" s="1369"/>
      <c r="R795" s="1369"/>
      <c r="S795" s="1369"/>
      <c r="T795" s="1382"/>
      <c r="U795" s="1383"/>
      <c r="V795" s="1383"/>
      <c r="W795" s="1384"/>
      <c r="X795" s="1374"/>
      <c r="Y795" s="1375"/>
      <c r="Z795" s="1375"/>
      <c r="AA795" s="1375"/>
      <c r="AB795" s="1376"/>
      <c r="AC795" s="1377">
        <f t="shared" ref="AC795:AC804" si="41">X795*O795</f>
        <v>0</v>
      </c>
      <c r="AD795" s="1373"/>
      <c r="AE795" s="1373"/>
      <c r="AF795" s="1373"/>
      <c r="AG795" s="137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08">
        <f t="shared" ref="CP795:CP804" si="42">IF(J795="SRO/Studio",O795,0)</f>
        <v>0</v>
      </c>
      <c r="CQ795" s="1509"/>
      <c r="CR795" s="1509"/>
      <c r="CS795" s="1509"/>
      <c r="CT795" s="1510"/>
      <c r="CU795" s="1508">
        <f t="shared" ref="CU795:CU804" si="43">IF(J795="1 Bedroom",O795,0)</f>
        <v>0</v>
      </c>
      <c r="CV795" s="1509"/>
      <c r="CW795" s="1509"/>
      <c r="CX795" s="1509"/>
      <c r="CY795" s="1510"/>
      <c r="CZ795" s="1508">
        <f t="shared" ref="CZ795:CZ804" si="44">IF(J795="2 Bedrooms",O795,0)</f>
        <v>0</v>
      </c>
      <c r="DA795" s="1509"/>
      <c r="DB795" s="1509"/>
      <c r="DC795" s="1509"/>
      <c r="DD795" s="1510"/>
      <c r="DE795" s="1508">
        <f t="shared" ref="DE795:DE804" si="45">IF(J795="3 Bedrooms",O795,0)</f>
        <v>0</v>
      </c>
      <c r="DF795" s="1509"/>
      <c r="DG795" s="1509"/>
      <c r="DH795" s="1509"/>
      <c r="DI795" s="1510"/>
      <c r="DJ795" s="1508">
        <f t="shared" ref="DJ795:DJ804" si="46">IF(J795="4 Bedrooms",O795,0)</f>
        <v>0</v>
      </c>
      <c r="DK795" s="1509"/>
      <c r="DL795" s="1509"/>
      <c r="DM795" s="1509"/>
      <c r="DN795" s="1510"/>
      <c r="DO795" s="1508">
        <f t="shared" ref="DO795:DO804" si="47">IF(J795="5 Bedrooms",O795,0)</f>
        <v>0</v>
      </c>
      <c r="DP795" s="1509"/>
      <c r="DQ795" s="1509"/>
      <c r="DR795" s="1509"/>
      <c r="DS795" s="1510"/>
      <c r="DT795" s="6"/>
      <c r="DU795" s="1508">
        <f t="shared" ref="DU795:DU804" si="48">IF(AND(CP795&gt;=1,AH795&gt;=0.1,AH795&lt;=1),O795,0)</f>
        <v>0</v>
      </c>
      <c r="DV795" s="1509"/>
      <c r="DW795" s="1509"/>
      <c r="DX795" s="1509"/>
      <c r="DY795" s="1510"/>
      <c r="DZ795" s="1508">
        <f t="shared" ref="DZ795:DZ804" si="49">IF(AND(CU795&gt;=1,AH795&gt;=0.1,AH795&lt;=1),O795,0)</f>
        <v>0</v>
      </c>
      <c r="EA795" s="1509"/>
      <c r="EB795" s="1509"/>
      <c r="EC795" s="1509"/>
      <c r="ED795" s="1510"/>
      <c r="EE795" s="1508">
        <f t="shared" ref="EE795:EE804" si="50">IF(AND(CZ795&gt;=1,AH795&gt;=0.1,AH795&lt;=1),O795,0)</f>
        <v>0</v>
      </c>
      <c r="EF795" s="1509"/>
      <c r="EG795" s="1509"/>
      <c r="EH795" s="1509"/>
      <c r="EI795" s="1510"/>
      <c r="EJ795" s="1508">
        <f t="shared" ref="EJ795:EJ804" si="51">IF(AND(DE795&gt;=1,AH795&gt;=0.1,AH795&lt;=1),O795,0)</f>
        <v>0</v>
      </c>
      <c r="EK795" s="1509"/>
      <c r="EL795" s="1509"/>
      <c r="EM795" s="1509"/>
      <c r="EN795" s="1510"/>
      <c r="EO795" s="1508">
        <f t="shared" ref="EO795:EO804" si="52">IF(AND(DJ795&gt;=1,AH795&gt;=0.1,AH795&lt;=1),O795,0)</f>
        <v>0</v>
      </c>
      <c r="EP795" s="1509"/>
      <c r="EQ795" s="1509"/>
      <c r="ER795" s="1509"/>
      <c r="ES795" s="1510"/>
      <c r="ET795" s="1508">
        <f t="shared" ref="ET795:ET804" si="53">IF(AND(DO795&gt;=1,AH795&gt;=0.1,AH795&lt;=1),O795,0)</f>
        <v>0</v>
      </c>
      <c r="EU795" s="1509"/>
      <c r="EV795" s="1509"/>
      <c r="EW795" s="1509"/>
      <c r="EX795" s="1510"/>
    </row>
    <row r="796" spans="1:154" s="14" customFormat="1" ht="12.95" customHeight="1">
      <c r="A796"/>
      <c r="B796"/>
      <c r="C796"/>
      <c r="D796"/>
      <c r="E796"/>
      <c r="F796"/>
      <c r="G796"/>
      <c r="H796"/>
      <c r="I796"/>
      <c r="J796" s="1328"/>
      <c r="K796" s="1329"/>
      <c r="L796" s="1329"/>
      <c r="M796" s="1329"/>
      <c r="N796" s="1330"/>
      <c r="O796" s="1369"/>
      <c r="P796" s="1369"/>
      <c r="Q796" s="1369"/>
      <c r="R796" s="1369"/>
      <c r="S796" s="1369"/>
      <c r="T796" s="1382"/>
      <c r="U796" s="1383"/>
      <c r="V796" s="1383"/>
      <c r="W796" s="1384"/>
      <c r="X796" s="1374"/>
      <c r="Y796" s="1375"/>
      <c r="Z796" s="1375"/>
      <c r="AA796" s="1375"/>
      <c r="AB796" s="1376"/>
      <c r="AC796" s="1377">
        <f t="shared" si="41"/>
        <v>0</v>
      </c>
      <c r="AD796" s="1373"/>
      <c r="AE796" s="1373"/>
      <c r="AF796" s="1373"/>
      <c r="AG796" s="137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08">
        <f t="shared" si="42"/>
        <v>0</v>
      </c>
      <c r="CQ796" s="1509"/>
      <c r="CR796" s="1509"/>
      <c r="CS796" s="1509"/>
      <c r="CT796" s="1510"/>
      <c r="CU796" s="1508">
        <f t="shared" si="43"/>
        <v>0</v>
      </c>
      <c r="CV796" s="1509"/>
      <c r="CW796" s="1509"/>
      <c r="CX796" s="1509"/>
      <c r="CY796" s="1510"/>
      <c r="CZ796" s="1508">
        <f t="shared" si="44"/>
        <v>0</v>
      </c>
      <c r="DA796" s="1509"/>
      <c r="DB796" s="1509"/>
      <c r="DC796" s="1509"/>
      <c r="DD796" s="1510"/>
      <c r="DE796" s="1508">
        <f t="shared" si="45"/>
        <v>0</v>
      </c>
      <c r="DF796" s="1509"/>
      <c r="DG796" s="1509"/>
      <c r="DH796" s="1509"/>
      <c r="DI796" s="1510"/>
      <c r="DJ796" s="1508">
        <f t="shared" si="46"/>
        <v>0</v>
      </c>
      <c r="DK796" s="1509"/>
      <c r="DL796" s="1509"/>
      <c r="DM796" s="1509"/>
      <c r="DN796" s="1510"/>
      <c r="DO796" s="1508">
        <f t="shared" si="47"/>
        <v>0</v>
      </c>
      <c r="DP796" s="1509"/>
      <c r="DQ796" s="1509"/>
      <c r="DR796" s="1509"/>
      <c r="DS796" s="1510"/>
      <c r="DT796" s="6"/>
      <c r="DU796" s="1508">
        <f t="shared" si="48"/>
        <v>0</v>
      </c>
      <c r="DV796" s="1509"/>
      <c r="DW796" s="1509"/>
      <c r="DX796" s="1509"/>
      <c r="DY796" s="1510"/>
      <c r="DZ796" s="1508">
        <f t="shared" si="49"/>
        <v>0</v>
      </c>
      <c r="EA796" s="1509"/>
      <c r="EB796" s="1509"/>
      <c r="EC796" s="1509"/>
      <c r="ED796" s="1510"/>
      <c r="EE796" s="1508">
        <f t="shared" si="50"/>
        <v>0</v>
      </c>
      <c r="EF796" s="1509"/>
      <c r="EG796" s="1509"/>
      <c r="EH796" s="1509"/>
      <c r="EI796" s="1510"/>
      <c r="EJ796" s="1508">
        <f t="shared" si="51"/>
        <v>0</v>
      </c>
      <c r="EK796" s="1509"/>
      <c r="EL796" s="1509"/>
      <c r="EM796" s="1509"/>
      <c r="EN796" s="1510"/>
      <c r="EO796" s="1508">
        <f t="shared" si="52"/>
        <v>0</v>
      </c>
      <c r="EP796" s="1509"/>
      <c r="EQ796" s="1509"/>
      <c r="ER796" s="1509"/>
      <c r="ES796" s="1510"/>
      <c r="ET796" s="1508">
        <f t="shared" si="53"/>
        <v>0</v>
      </c>
      <c r="EU796" s="1509"/>
      <c r="EV796" s="1509"/>
      <c r="EW796" s="1509"/>
      <c r="EX796" s="1510"/>
    </row>
    <row r="797" spans="1:154" s="14" customFormat="1" ht="12.95" customHeight="1">
      <c r="A797"/>
      <c r="B797"/>
      <c r="C797"/>
      <c r="D797"/>
      <c r="E797"/>
      <c r="F797"/>
      <c r="G797"/>
      <c r="H797"/>
      <c r="I797"/>
      <c r="J797" s="1328"/>
      <c r="K797" s="1329"/>
      <c r="L797" s="1329"/>
      <c r="M797" s="1329"/>
      <c r="N797" s="1330"/>
      <c r="O797" s="1369"/>
      <c r="P797" s="1369"/>
      <c r="Q797" s="1369"/>
      <c r="R797" s="1369"/>
      <c r="S797" s="1369"/>
      <c r="T797" s="1382"/>
      <c r="U797" s="1383"/>
      <c r="V797" s="1383"/>
      <c r="W797" s="1384"/>
      <c r="X797" s="1374"/>
      <c r="Y797" s="1375"/>
      <c r="Z797" s="1375"/>
      <c r="AA797" s="1375"/>
      <c r="AB797" s="1376"/>
      <c r="AC797" s="1377">
        <f t="shared" si="41"/>
        <v>0</v>
      </c>
      <c r="AD797" s="1373"/>
      <c r="AE797" s="1373"/>
      <c r="AF797" s="1373"/>
      <c r="AG797" s="137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08">
        <f t="shared" si="42"/>
        <v>0</v>
      </c>
      <c r="CQ797" s="1509"/>
      <c r="CR797" s="1509"/>
      <c r="CS797" s="1509"/>
      <c r="CT797" s="1510"/>
      <c r="CU797" s="1508">
        <f t="shared" si="43"/>
        <v>0</v>
      </c>
      <c r="CV797" s="1509"/>
      <c r="CW797" s="1509"/>
      <c r="CX797" s="1509"/>
      <c r="CY797" s="1510"/>
      <c r="CZ797" s="1508">
        <f t="shared" si="44"/>
        <v>0</v>
      </c>
      <c r="DA797" s="1509"/>
      <c r="DB797" s="1509"/>
      <c r="DC797" s="1509"/>
      <c r="DD797" s="1510"/>
      <c r="DE797" s="1508">
        <f t="shared" si="45"/>
        <v>0</v>
      </c>
      <c r="DF797" s="1509"/>
      <c r="DG797" s="1509"/>
      <c r="DH797" s="1509"/>
      <c r="DI797" s="1510"/>
      <c r="DJ797" s="1508">
        <f t="shared" si="46"/>
        <v>0</v>
      </c>
      <c r="DK797" s="1509"/>
      <c r="DL797" s="1509"/>
      <c r="DM797" s="1509"/>
      <c r="DN797" s="1510"/>
      <c r="DO797" s="1508">
        <f t="shared" si="47"/>
        <v>0</v>
      </c>
      <c r="DP797" s="1509"/>
      <c r="DQ797" s="1509"/>
      <c r="DR797" s="1509"/>
      <c r="DS797" s="1510"/>
      <c r="DT797" s="6"/>
      <c r="DU797" s="1508">
        <f t="shared" si="48"/>
        <v>0</v>
      </c>
      <c r="DV797" s="1509"/>
      <c r="DW797" s="1509"/>
      <c r="DX797" s="1509"/>
      <c r="DY797" s="1510"/>
      <c r="DZ797" s="1508">
        <f t="shared" si="49"/>
        <v>0</v>
      </c>
      <c r="EA797" s="1509"/>
      <c r="EB797" s="1509"/>
      <c r="EC797" s="1509"/>
      <c r="ED797" s="1510"/>
      <c r="EE797" s="1508">
        <f t="shared" si="50"/>
        <v>0</v>
      </c>
      <c r="EF797" s="1509"/>
      <c r="EG797" s="1509"/>
      <c r="EH797" s="1509"/>
      <c r="EI797" s="1510"/>
      <c r="EJ797" s="1508">
        <f t="shared" si="51"/>
        <v>0</v>
      </c>
      <c r="EK797" s="1509"/>
      <c r="EL797" s="1509"/>
      <c r="EM797" s="1509"/>
      <c r="EN797" s="1510"/>
      <c r="EO797" s="1508">
        <f t="shared" si="52"/>
        <v>0</v>
      </c>
      <c r="EP797" s="1509"/>
      <c r="EQ797" s="1509"/>
      <c r="ER797" s="1509"/>
      <c r="ES797" s="1510"/>
      <c r="ET797" s="1508">
        <f t="shared" si="53"/>
        <v>0</v>
      </c>
      <c r="EU797" s="1509"/>
      <c r="EV797" s="1509"/>
      <c r="EW797" s="1509"/>
      <c r="EX797" s="1510"/>
    </row>
    <row r="798" spans="1:154" s="14" customFormat="1" ht="12.95" customHeight="1">
      <c r="A798"/>
      <c r="B798"/>
      <c r="C798"/>
      <c r="D798"/>
      <c r="E798"/>
      <c r="F798"/>
      <c r="G798"/>
      <c r="H798"/>
      <c r="I798"/>
      <c r="J798" s="1328"/>
      <c r="K798" s="1329"/>
      <c r="L798" s="1329"/>
      <c r="M798" s="1329"/>
      <c r="N798" s="1330"/>
      <c r="O798" s="1369"/>
      <c r="P798" s="1369"/>
      <c r="Q798" s="1369"/>
      <c r="R798" s="1369"/>
      <c r="S798" s="1369"/>
      <c r="T798" s="1382"/>
      <c r="U798" s="1383"/>
      <c r="V798" s="1383"/>
      <c r="W798" s="1384"/>
      <c r="X798" s="1374"/>
      <c r="Y798" s="1375"/>
      <c r="Z798" s="1375"/>
      <c r="AA798" s="1375"/>
      <c r="AB798" s="1376"/>
      <c r="AC798" s="1377">
        <f t="shared" si="41"/>
        <v>0</v>
      </c>
      <c r="AD798" s="1373"/>
      <c r="AE798" s="1373"/>
      <c r="AF798" s="1373"/>
      <c r="AG798" s="137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08">
        <f t="shared" si="42"/>
        <v>0</v>
      </c>
      <c r="CQ798" s="1509"/>
      <c r="CR798" s="1509"/>
      <c r="CS798" s="1509"/>
      <c r="CT798" s="1510"/>
      <c r="CU798" s="1508">
        <f t="shared" si="43"/>
        <v>0</v>
      </c>
      <c r="CV798" s="1509"/>
      <c r="CW798" s="1509"/>
      <c r="CX798" s="1509"/>
      <c r="CY798" s="1510"/>
      <c r="CZ798" s="1508">
        <f t="shared" si="44"/>
        <v>0</v>
      </c>
      <c r="DA798" s="1509"/>
      <c r="DB798" s="1509"/>
      <c r="DC798" s="1509"/>
      <c r="DD798" s="1510"/>
      <c r="DE798" s="1508">
        <f t="shared" si="45"/>
        <v>0</v>
      </c>
      <c r="DF798" s="1509"/>
      <c r="DG798" s="1509"/>
      <c r="DH798" s="1509"/>
      <c r="DI798" s="1510"/>
      <c r="DJ798" s="1508">
        <f t="shared" si="46"/>
        <v>0</v>
      </c>
      <c r="DK798" s="1509"/>
      <c r="DL798" s="1509"/>
      <c r="DM798" s="1509"/>
      <c r="DN798" s="1510"/>
      <c r="DO798" s="1508">
        <f t="shared" si="47"/>
        <v>0</v>
      </c>
      <c r="DP798" s="1509"/>
      <c r="DQ798" s="1509"/>
      <c r="DR798" s="1509"/>
      <c r="DS798" s="1510"/>
      <c r="DT798" s="6"/>
      <c r="DU798" s="1508">
        <f t="shared" si="48"/>
        <v>0</v>
      </c>
      <c r="DV798" s="1509"/>
      <c r="DW798" s="1509"/>
      <c r="DX798" s="1509"/>
      <c r="DY798" s="1510"/>
      <c r="DZ798" s="1508">
        <f t="shared" si="49"/>
        <v>0</v>
      </c>
      <c r="EA798" s="1509"/>
      <c r="EB798" s="1509"/>
      <c r="EC798" s="1509"/>
      <c r="ED798" s="1510"/>
      <c r="EE798" s="1508">
        <f t="shared" si="50"/>
        <v>0</v>
      </c>
      <c r="EF798" s="1509"/>
      <c r="EG798" s="1509"/>
      <c r="EH798" s="1509"/>
      <c r="EI798" s="1510"/>
      <c r="EJ798" s="1508">
        <f t="shared" si="51"/>
        <v>0</v>
      </c>
      <c r="EK798" s="1509"/>
      <c r="EL798" s="1509"/>
      <c r="EM798" s="1509"/>
      <c r="EN798" s="1510"/>
      <c r="EO798" s="1508">
        <f t="shared" si="52"/>
        <v>0</v>
      </c>
      <c r="EP798" s="1509"/>
      <c r="EQ798" s="1509"/>
      <c r="ER798" s="1509"/>
      <c r="ES798" s="1510"/>
      <c r="ET798" s="1508">
        <f t="shared" si="53"/>
        <v>0</v>
      </c>
      <c r="EU798" s="1509"/>
      <c r="EV798" s="1509"/>
      <c r="EW798" s="1509"/>
      <c r="EX798" s="1510"/>
    </row>
    <row r="799" spans="1:154" s="14" customFormat="1" ht="12.95" customHeight="1">
      <c r="A799"/>
      <c r="B799"/>
      <c r="C799"/>
      <c r="D799"/>
      <c r="E799"/>
      <c r="F799"/>
      <c r="G799"/>
      <c r="H799"/>
      <c r="I799"/>
      <c r="J799" s="1328"/>
      <c r="K799" s="1329"/>
      <c r="L799" s="1329"/>
      <c r="M799" s="1329"/>
      <c r="N799" s="1330"/>
      <c r="O799" s="1369"/>
      <c r="P799" s="1369"/>
      <c r="Q799" s="1369"/>
      <c r="R799" s="1369"/>
      <c r="S799" s="1369"/>
      <c r="T799" s="1382"/>
      <c r="U799" s="1383"/>
      <c r="V799" s="1383"/>
      <c r="W799" s="1384"/>
      <c r="X799" s="1374"/>
      <c r="Y799" s="1375"/>
      <c r="Z799" s="1375"/>
      <c r="AA799" s="1375"/>
      <c r="AB799" s="1376"/>
      <c r="AC799" s="1377">
        <f t="shared" si="41"/>
        <v>0</v>
      </c>
      <c r="AD799" s="1373"/>
      <c r="AE799" s="1373"/>
      <c r="AF799" s="1373"/>
      <c r="AG799" s="137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08">
        <f t="shared" si="42"/>
        <v>0</v>
      </c>
      <c r="CQ799" s="1509"/>
      <c r="CR799" s="1509"/>
      <c r="CS799" s="1509"/>
      <c r="CT799" s="1510"/>
      <c r="CU799" s="1508">
        <f t="shared" si="43"/>
        <v>0</v>
      </c>
      <c r="CV799" s="1509"/>
      <c r="CW799" s="1509"/>
      <c r="CX799" s="1509"/>
      <c r="CY799" s="1510"/>
      <c r="CZ799" s="1508">
        <f t="shared" si="44"/>
        <v>0</v>
      </c>
      <c r="DA799" s="1509"/>
      <c r="DB799" s="1509"/>
      <c r="DC799" s="1509"/>
      <c r="DD799" s="1510"/>
      <c r="DE799" s="1508">
        <f t="shared" si="45"/>
        <v>0</v>
      </c>
      <c r="DF799" s="1509"/>
      <c r="DG799" s="1509"/>
      <c r="DH799" s="1509"/>
      <c r="DI799" s="1510"/>
      <c r="DJ799" s="1508">
        <f t="shared" si="46"/>
        <v>0</v>
      </c>
      <c r="DK799" s="1509"/>
      <c r="DL799" s="1509"/>
      <c r="DM799" s="1509"/>
      <c r="DN799" s="1510"/>
      <c r="DO799" s="1508">
        <f t="shared" si="47"/>
        <v>0</v>
      </c>
      <c r="DP799" s="1509"/>
      <c r="DQ799" s="1509"/>
      <c r="DR799" s="1509"/>
      <c r="DS799" s="1510"/>
      <c r="DT799" s="6"/>
      <c r="DU799" s="1508">
        <f t="shared" si="48"/>
        <v>0</v>
      </c>
      <c r="DV799" s="1509"/>
      <c r="DW799" s="1509"/>
      <c r="DX799" s="1509"/>
      <c r="DY799" s="1510"/>
      <c r="DZ799" s="1508">
        <f t="shared" si="49"/>
        <v>0</v>
      </c>
      <c r="EA799" s="1509"/>
      <c r="EB799" s="1509"/>
      <c r="EC799" s="1509"/>
      <c r="ED799" s="1510"/>
      <c r="EE799" s="1508">
        <f t="shared" si="50"/>
        <v>0</v>
      </c>
      <c r="EF799" s="1509"/>
      <c r="EG799" s="1509"/>
      <c r="EH799" s="1509"/>
      <c r="EI799" s="1510"/>
      <c r="EJ799" s="1508">
        <f t="shared" si="51"/>
        <v>0</v>
      </c>
      <c r="EK799" s="1509"/>
      <c r="EL799" s="1509"/>
      <c r="EM799" s="1509"/>
      <c r="EN799" s="1510"/>
      <c r="EO799" s="1508">
        <f t="shared" si="52"/>
        <v>0</v>
      </c>
      <c r="EP799" s="1509"/>
      <c r="EQ799" s="1509"/>
      <c r="ER799" s="1509"/>
      <c r="ES799" s="1510"/>
      <c r="ET799" s="1508">
        <f t="shared" si="53"/>
        <v>0</v>
      </c>
      <c r="EU799" s="1509"/>
      <c r="EV799" s="1509"/>
      <c r="EW799" s="1509"/>
      <c r="EX799" s="1510"/>
    </row>
    <row r="800" spans="1:154" s="14" customFormat="1" ht="12.95" customHeight="1">
      <c r="A800"/>
      <c r="B800"/>
      <c r="C800"/>
      <c r="D800"/>
      <c r="E800"/>
      <c r="F800"/>
      <c r="G800"/>
      <c r="H800"/>
      <c r="I800"/>
      <c r="J800" s="1328"/>
      <c r="K800" s="1329"/>
      <c r="L800" s="1329"/>
      <c r="M800" s="1329"/>
      <c r="N800" s="1330"/>
      <c r="O800" s="1369"/>
      <c r="P800" s="1369"/>
      <c r="Q800" s="1369"/>
      <c r="R800" s="1369"/>
      <c r="S800" s="1369"/>
      <c r="T800" s="1382"/>
      <c r="U800" s="1383"/>
      <c r="V800" s="1383"/>
      <c r="W800" s="1384"/>
      <c r="X800" s="1374"/>
      <c r="Y800" s="1375"/>
      <c r="Z800" s="1375"/>
      <c r="AA800" s="1375"/>
      <c r="AB800" s="1376"/>
      <c r="AC800" s="1377">
        <f t="shared" si="41"/>
        <v>0</v>
      </c>
      <c r="AD800" s="1373"/>
      <c r="AE800" s="1373"/>
      <c r="AF800" s="1373"/>
      <c r="AG800" s="137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08">
        <f t="shared" si="42"/>
        <v>0</v>
      </c>
      <c r="CQ800" s="1509"/>
      <c r="CR800" s="1509"/>
      <c r="CS800" s="1509"/>
      <c r="CT800" s="1510"/>
      <c r="CU800" s="1508">
        <f t="shared" si="43"/>
        <v>0</v>
      </c>
      <c r="CV800" s="1509"/>
      <c r="CW800" s="1509"/>
      <c r="CX800" s="1509"/>
      <c r="CY800" s="1510"/>
      <c r="CZ800" s="1508">
        <f t="shared" si="44"/>
        <v>0</v>
      </c>
      <c r="DA800" s="1509"/>
      <c r="DB800" s="1509"/>
      <c r="DC800" s="1509"/>
      <c r="DD800" s="1510"/>
      <c r="DE800" s="1508">
        <f t="shared" si="45"/>
        <v>0</v>
      </c>
      <c r="DF800" s="1509"/>
      <c r="DG800" s="1509"/>
      <c r="DH800" s="1509"/>
      <c r="DI800" s="1510"/>
      <c r="DJ800" s="1508">
        <f t="shared" si="46"/>
        <v>0</v>
      </c>
      <c r="DK800" s="1509"/>
      <c r="DL800" s="1509"/>
      <c r="DM800" s="1509"/>
      <c r="DN800" s="1510"/>
      <c r="DO800" s="1508">
        <f t="shared" si="47"/>
        <v>0</v>
      </c>
      <c r="DP800" s="1509"/>
      <c r="DQ800" s="1509"/>
      <c r="DR800" s="1509"/>
      <c r="DS800" s="1510"/>
      <c r="DT800" s="6"/>
      <c r="DU800" s="1508">
        <f t="shared" si="48"/>
        <v>0</v>
      </c>
      <c r="DV800" s="1509"/>
      <c r="DW800" s="1509"/>
      <c r="DX800" s="1509"/>
      <c r="DY800" s="1510"/>
      <c r="DZ800" s="1508">
        <f t="shared" si="49"/>
        <v>0</v>
      </c>
      <c r="EA800" s="1509"/>
      <c r="EB800" s="1509"/>
      <c r="EC800" s="1509"/>
      <c r="ED800" s="1510"/>
      <c r="EE800" s="1508">
        <f t="shared" si="50"/>
        <v>0</v>
      </c>
      <c r="EF800" s="1509"/>
      <c r="EG800" s="1509"/>
      <c r="EH800" s="1509"/>
      <c r="EI800" s="1510"/>
      <c r="EJ800" s="1508">
        <f t="shared" si="51"/>
        <v>0</v>
      </c>
      <c r="EK800" s="1509"/>
      <c r="EL800" s="1509"/>
      <c r="EM800" s="1509"/>
      <c r="EN800" s="1510"/>
      <c r="EO800" s="1508">
        <f t="shared" si="52"/>
        <v>0</v>
      </c>
      <c r="EP800" s="1509"/>
      <c r="EQ800" s="1509"/>
      <c r="ER800" s="1509"/>
      <c r="ES800" s="1510"/>
      <c r="ET800" s="1508">
        <f t="shared" si="53"/>
        <v>0</v>
      </c>
      <c r="EU800" s="1509"/>
      <c r="EV800" s="1509"/>
      <c r="EW800" s="1509"/>
      <c r="EX800" s="1510"/>
    </row>
    <row r="801" spans="1:154" s="14" customFormat="1" ht="12.95" customHeight="1">
      <c r="A801"/>
      <c r="B801"/>
      <c r="C801"/>
      <c r="D801"/>
      <c r="E801"/>
      <c r="F801"/>
      <c r="G801"/>
      <c r="H801"/>
      <c r="I801"/>
      <c r="J801" s="1328"/>
      <c r="K801" s="1329"/>
      <c r="L801" s="1329"/>
      <c r="M801" s="1329"/>
      <c r="N801" s="1330"/>
      <c r="O801" s="1369"/>
      <c r="P801" s="1369"/>
      <c r="Q801" s="1369"/>
      <c r="R801" s="1369"/>
      <c r="S801" s="1369"/>
      <c r="T801" s="1382"/>
      <c r="U801" s="1383"/>
      <c r="V801" s="1383"/>
      <c r="W801" s="1384"/>
      <c r="X801" s="1374"/>
      <c r="Y801" s="1375"/>
      <c r="Z801" s="1375"/>
      <c r="AA801" s="1375"/>
      <c r="AB801" s="1376"/>
      <c r="AC801" s="1377">
        <f t="shared" si="41"/>
        <v>0</v>
      </c>
      <c r="AD801" s="1373"/>
      <c r="AE801" s="1373"/>
      <c r="AF801" s="1373"/>
      <c r="AG801" s="137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08">
        <f t="shared" si="42"/>
        <v>0</v>
      </c>
      <c r="CQ801" s="1509"/>
      <c r="CR801" s="1509"/>
      <c r="CS801" s="1509"/>
      <c r="CT801" s="1510"/>
      <c r="CU801" s="1508">
        <f t="shared" si="43"/>
        <v>0</v>
      </c>
      <c r="CV801" s="1509"/>
      <c r="CW801" s="1509"/>
      <c r="CX801" s="1509"/>
      <c r="CY801" s="1510"/>
      <c r="CZ801" s="1508">
        <f t="shared" si="44"/>
        <v>0</v>
      </c>
      <c r="DA801" s="1509"/>
      <c r="DB801" s="1509"/>
      <c r="DC801" s="1509"/>
      <c r="DD801" s="1510"/>
      <c r="DE801" s="1508">
        <f t="shared" si="45"/>
        <v>0</v>
      </c>
      <c r="DF801" s="1509"/>
      <c r="DG801" s="1509"/>
      <c r="DH801" s="1509"/>
      <c r="DI801" s="1510"/>
      <c r="DJ801" s="1508">
        <f t="shared" si="46"/>
        <v>0</v>
      </c>
      <c r="DK801" s="1509"/>
      <c r="DL801" s="1509"/>
      <c r="DM801" s="1509"/>
      <c r="DN801" s="1510"/>
      <c r="DO801" s="1508">
        <f t="shared" si="47"/>
        <v>0</v>
      </c>
      <c r="DP801" s="1509"/>
      <c r="DQ801" s="1509"/>
      <c r="DR801" s="1509"/>
      <c r="DS801" s="1510"/>
      <c r="DT801" s="6"/>
      <c r="DU801" s="1508">
        <f t="shared" si="48"/>
        <v>0</v>
      </c>
      <c r="DV801" s="1509"/>
      <c r="DW801" s="1509"/>
      <c r="DX801" s="1509"/>
      <c r="DY801" s="1510"/>
      <c r="DZ801" s="1508">
        <f t="shared" si="49"/>
        <v>0</v>
      </c>
      <c r="EA801" s="1509"/>
      <c r="EB801" s="1509"/>
      <c r="EC801" s="1509"/>
      <c r="ED801" s="1510"/>
      <c r="EE801" s="1508">
        <f t="shared" si="50"/>
        <v>0</v>
      </c>
      <c r="EF801" s="1509"/>
      <c r="EG801" s="1509"/>
      <c r="EH801" s="1509"/>
      <c r="EI801" s="1510"/>
      <c r="EJ801" s="1508">
        <f t="shared" si="51"/>
        <v>0</v>
      </c>
      <c r="EK801" s="1509"/>
      <c r="EL801" s="1509"/>
      <c r="EM801" s="1509"/>
      <c r="EN801" s="1510"/>
      <c r="EO801" s="1508">
        <f t="shared" si="52"/>
        <v>0</v>
      </c>
      <c r="EP801" s="1509"/>
      <c r="EQ801" s="1509"/>
      <c r="ER801" s="1509"/>
      <c r="ES801" s="1510"/>
      <c r="ET801" s="1508">
        <f t="shared" si="53"/>
        <v>0</v>
      </c>
      <c r="EU801" s="1509"/>
      <c r="EV801" s="1509"/>
      <c r="EW801" s="1509"/>
      <c r="EX801" s="1510"/>
    </row>
    <row r="802" spans="1:154" s="14" customFormat="1" ht="12.95" customHeight="1">
      <c r="A802"/>
      <c r="B802"/>
      <c r="C802"/>
      <c r="D802"/>
      <c r="E802"/>
      <c r="F802"/>
      <c r="G802"/>
      <c r="H802"/>
      <c r="I802"/>
      <c r="J802" s="1328"/>
      <c r="K802" s="1329"/>
      <c r="L802" s="1329"/>
      <c r="M802" s="1329"/>
      <c r="N802" s="1330"/>
      <c r="O802" s="1369"/>
      <c r="P802" s="1369"/>
      <c r="Q802" s="1369"/>
      <c r="R802" s="1369"/>
      <c r="S802" s="1369"/>
      <c r="T802" s="1382"/>
      <c r="U802" s="1383"/>
      <c r="V802" s="1383"/>
      <c r="W802" s="1384"/>
      <c r="X802" s="1374"/>
      <c r="Y802" s="1375"/>
      <c r="Z802" s="1375"/>
      <c r="AA802" s="1375"/>
      <c r="AB802" s="1376"/>
      <c r="AC802" s="1377">
        <f t="shared" si="41"/>
        <v>0</v>
      </c>
      <c r="AD802" s="1373"/>
      <c r="AE802" s="1373"/>
      <c r="AF802" s="1373"/>
      <c r="AG802" s="137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08">
        <f t="shared" si="42"/>
        <v>0</v>
      </c>
      <c r="CQ802" s="1509"/>
      <c r="CR802" s="1509"/>
      <c r="CS802" s="1509"/>
      <c r="CT802" s="1510"/>
      <c r="CU802" s="1508">
        <f t="shared" si="43"/>
        <v>0</v>
      </c>
      <c r="CV802" s="1509"/>
      <c r="CW802" s="1509"/>
      <c r="CX802" s="1509"/>
      <c r="CY802" s="1510"/>
      <c r="CZ802" s="1508">
        <f t="shared" si="44"/>
        <v>0</v>
      </c>
      <c r="DA802" s="1509"/>
      <c r="DB802" s="1509"/>
      <c r="DC802" s="1509"/>
      <c r="DD802" s="1510"/>
      <c r="DE802" s="1508">
        <f t="shared" si="45"/>
        <v>0</v>
      </c>
      <c r="DF802" s="1509"/>
      <c r="DG802" s="1509"/>
      <c r="DH802" s="1509"/>
      <c r="DI802" s="1510"/>
      <c r="DJ802" s="1508">
        <f t="shared" si="46"/>
        <v>0</v>
      </c>
      <c r="DK802" s="1509"/>
      <c r="DL802" s="1509"/>
      <c r="DM802" s="1509"/>
      <c r="DN802" s="1510"/>
      <c r="DO802" s="1508">
        <f t="shared" si="47"/>
        <v>0</v>
      </c>
      <c r="DP802" s="1509"/>
      <c r="DQ802" s="1509"/>
      <c r="DR802" s="1509"/>
      <c r="DS802" s="1510"/>
      <c r="DT802" s="6"/>
      <c r="DU802" s="1508">
        <f t="shared" si="48"/>
        <v>0</v>
      </c>
      <c r="DV802" s="1509"/>
      <c r="DW802" s="1509"/>
      <c r="DX802" s="1509"/>
      <c r="DY802" s="1510"/>
      <c r="DZ802" s="1508">
        <f t="shared" si="49"/>
        <v>0</v>
      </c>
      <c r="EA802" s="1509"/>
      <c r="EB802" s="1509"/>
      <c r="EC802" s="1509"/>
      <c r="ED802" s="1510"/>
      <c r="EE802" s="1508">
        <f t="shared" si="50"/>
        <v>0</v>
      </c>
      <c r="EF802" s="1509"/>
      <c r="EG802" s="1509"/>
      <c r="EH802" s="1509"/>
      <c r="EI802" s="1510"/>
      <c r="EJ802" s="1508">
        <f t="shared" si="51"/>
        <v>0</v>
      </c>
      <c r="EK802" s="1509"/>
      <c r="EL802" s="1509"/>
      <c r="EM802" s="1509"/>
      <c r="EN802" s="1510"/>
      <c r="EO802" s="1508">
        <f t="shared" si="52"/>
        <v>0</v>
      </c>
      <c r="EP802" s="1509"/>
      <c r="EQ802" s="1509"/>
      <c r="ER802" s="1509"/>
      <c r="ES802" s="1510"/>
      <c r="ET802" s="1508">
        <f t="shared" si="53"/>
        <v>0</v>
      </c>
      <c r="EU802" s="1509"/>
      <c r="EV802" s="1509"/>
      <c r="EW802" s="1509"/>
      <c r="EX802" s="1510"/>
    </row>
    <row r="803" spans="1:154" s="14" customFormat="1" ht="12.95" customHeight="1">
      <c r="A803"/>
      <c r="B803"/>
      <c r="C803"/>
      <c r="D803"/>
      <c r="E803"/>
      <c r="F803"/>
      <c r="G803"/>
      <c r="H803"/>
      <c r="I803"/>
      <c r="J803" s="1328"/>
      <c r="K803" s="1329"/>
      <c r="L803" s="1329"/>
      <c r="M803" s="1329"/>
      <c r="N803" s="1330"/>
      <c r="O803" s="1369"/>
      <c r="P803" s="1369"/>
      <c r="Q803" s="1369"/>
      <c r="R803" s="1369"/>
      <c r="S803" s="1369"/>
      <c r="T803" s="1382"/>
      <c r="U803" s="1383"/>
      <c r="V803" s="1383"/>
      <c r="W803" s="1384"/>
      <c r="X803" s="1374"/>
      <c r="Y803" s="1375"/>
      <c r="Z803" s="1375"/>
      <c r="AA803" s="1375"/>
      <c r="AB803" s="1376"/>
      <c r="AC803" s="1377">
        <f t="shared" si="41"/>
        <v>0</v>
      </c>
      <c r="AD803" s="1373"/>
      <c r="AE803" s="1373"/>
      <c r="AF803" s="1373"/>
      <c r="AG803" s="137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08">
        <f t="shared" si="42"/>
        <v>0</v>
      </c>
      <c r="CQ803" s="1509"/>
      <c r="CR803" s="1509"/>
      <c r="CS803" s="1509"/>
      <c r="CT803" s="1510"/>
      <c r="CU803" s="1508">
        <f t="shared" si="43"/>
        <v>0</v>
      </c>
      <c r="CV803" s="1509"/>
      <c r="CW803" s="1509"/>
      <c r="CX803" s="1509"/>
      <c r="CY803" s="1510"/>
      <c r="CZ803" s="1508">
        <f t="shared" si="44"/>
        <v>0</v>
      </c>
      <c r="DA803" s="1509"/>
      <c r="DB803" s="1509"/>
      <c r="DC803" s="1509"/>
      <c r="DD803" s="1510"/>
      <c r="DE803" s="1508">
        <f t="shared" si="45"/>
        <v>0</v>
      </c>
      <c r="DF803" s="1509"/>
      <c r="DG803" s="1509"/>
      <c r="DH803" s="1509"/>
      <c r="DI803" s="1510"/>
      <c r="DJ803" s="1508">
        <f t="shared" si="46"/>
        <v>0</v>
      </c>
      <c r="DK803" s="1509"/>
      <c r="DL803" s="1509"/>
      <c r="DM803" s="1509"/>
      <c r="DN803" s="1510"/>
      <c r="DO803" s="1508">
        <f t="shared" si="47"/>
        <v>0</v>
      </c>
      <c r="DP803" s="1509"/>
      <c r="DQ803" s="1509"/>
      <c r="DR803" s="1509"/>
      <c r="DS803" s="1510"/>
      <c r="DT803" s="6"/>
      <c r="DU803" s="1508">
        <f t="shared" si="48"/>
        <v>0</v>
      </c>
      <c r="DV803" s="1509"/>
      <c r="DW803" s="1509"/>
      <c r="DX803" s="1509"/>
      <c r="DY803" s="1510"/>
      <c r="DZ803" s="1508">
        <f t="shared" si="49"/>
        <v>0</v>
      </c>
      <c r="EA803" s="1509"/>
      <c r="EB803" s="1509"/>
      <c r="EC803" s="1509"/>
      <c r="ED803" s="1510"/>
      <c r="EE803" s="1508">
        <f t="shared" si="50"/>
        <v>0</v>
      </c>
      <c r="EF803" s="1509"/>
      <c r="EG803" s="1509"/>
      <c r="EH803" s="1509"/>
      <c r="EI803" s="1510"/>
      <c r="EJ803" s="1508">
        <f t="shared" si="51"/>
        <v>0</v>
      </c>
      <c r="EK803" s="1509"/>
      <c r="EL803" s="1509"/>
      <c r="EM803" s="1509"/>
      <c r="EN803" s="1510"/>
      <c r="EO803" s="1508">
        <f t="shared" si="52"/>
        <v>0</v>
      </c>
      <c r="EP803" s="1509"/>
      <c r="EQ803" s="1509"/>
      <c r="ER803" s="1509"/>
      <c r="ES803" s="1510"/>
      <c r="ET803" s="1508">
        <f t="shared" si="53"/>
        <v>0</v>
      </c>
      <c r="EU803" s="1509"/>
      <c r="EV803" s="1509"/>
      <c r="EW803" s="1509"/>
      <c r="EX803" s="1510"/>
    </row>
    <row r="804" spans="1:154" s="4" customFormat="1" ht="12.95" customHeight="1">
      <c r="A804"/>
      <c r="B804"/>
      <c r="C804"/>
      <c r="D804"/>
      <c r="E804"/>
      <c r="F804"/>
      <c r="G804"/>
      <c r="H804"/>
      <c r="I804"/>
      <c r="J804" s="1328"/>
      <c r="K804" s="1329"/>
      <c r="L804" s="1329"/>
      <c r="M804" s="1329"/>
      <c r="N804" s="1330"/>
      <c r="O804" s="1369"/>
      <c r="P804" s="1369"/>
      <c r="Q804" s="1369"/>
      <c r="R804" s="1369"/>
      <c r="S804" s="1369"/>
      <c r="T804" s="1382"/>
      <c r="U804" s="1383"/>
      <c r="V804" s="1383"/>
      <c r="W804" s="1384"/>
      <c r="X804" s="1374"/>
      <c r="Y804" s="1375"/>
      <c r="Z804" s="1375"/>
      <c r="AA804" s="1375"/>
      <c r="AB804" s="1376"/>
      <c r="AC804" s="1377">
        <f t="shared" si="41"/>
        <v>0</v>
      </c>
      <c r="AD804" s="1373"/>
      <c r="AE804" s="1373"/>
      <c r="AF804" s="1373"/>
      <c r="AG804" s="1378"/>
      <c r="AH804"/>
      <c r="AI804"/>
      <c r="AJ804"/>
      <c r="AK804"/>
      <c r="AL804"/>
      <c r="AM804"/>
      <c r="AN804"/>
      <c r="AO804"/>
      <c r="AP804"/>
      <c r="AQ804"/>
      <c r="AR804"/>
      <c r="AS804"/>
      <c r="AT804"/>
      <c r="AU804"/>
      <c r="AV804"/>
      <c r="AW804"/>
      <c r="AX804"/>
      <c r="AY804"/>
      <c r="AZ804" s="3"/>
      <c r="CP804" s="1508">
        <f t="shared" si="42"/>
        <v>0</v>
      </c>
      <c r="CQ804" s="1509"/>
      <c r="CR804" s="1509"/>
      <c r="CS804" s="1509"/>
      <c r="CT804" s="1510"/>
      <c r="CU804" s="1508">
        <f t="shared" si="43"/>
        <v>0</v>
      </c>
      <c r="CV804" s="1509"/>
      <c r="CW804" s="1509"/>
      <c r="CX804" s="1509"/>
      <c r="CY804" s="1510"/>
      <c r="CZ804" s="1508">
        <f t="shared" si="44"/>
        <v>0</v>
      </c>
      <c r="DA804" s="1509"/>
      <c r="DB804" s="1509"/>
      <c r="DC804" s="1509"/>
      <c r="DD804" s="1510"/>
      <c r="DE804" s="1508">
        <f t="shared" si="45"/>
        <v>0</v>
      </c>
      <c r="DF804" s="1509"/>
      <c r="DG804" s="1509"/>
      <c r="DH804" s="1509"/>
      <c r="DI804" s="1510"/>
      <c r="DJ804" s="1508">
        <f t="shared" si="46"/>
        <v>0</v>
      </c>
      <c r="DK804" s="1509"/>
      <c r="DL804" s="1509"/>
      <c r="DM804" s="1509"/>
      <c r="DN804" s="1510"/>
      <c r="DO804" s="1508">
        <f t="shared" si="47"/>
        <v>0</v>
      </c>
      <c r="DP804" s="1509"/>
      <c r="DQ804" s="1509"/>
      <c r="DR804" s="1509"/>
      <c r="DS804" s="1510"/>
      <c r="DT804" s="6"/>
      <c r="DU804" s="1508">
        <f t="shared" si="48"/>
        <v>0</v>
      </c>
      <c r="DV804" s="1509"/>
      <c r="DW804" s="1509"/>
      <c r="DX804" s="1509"/>
      <c r="DY804" s="1510"/>
      <c r="DZ804" s="1508">
        <f t="shared" si="49"/>
        <v>0</v>
      </c>
      <c r="EA804" s="1509"/>
      <c r="EB804" s="1509"/>
      <c r="EC804" s="1509"/>
      <c r="ED804" s="1510"/>
      <c r="EE804" s="1508">
        <f t="shared" si="50"/>
        <v>0</v>
      </c>
      <c r="EF804" s="1509"/>
      <c r="EG804" s="1509"/>
      <c r="EH804" s="1509"/>
      <c r="EI804" s="1510"/>
      <c r="EJ804" s="1508">
        <f t="shared" si="51"/>
        <v>0</v>
      </c>
      <c r="EK804" s="1509"/>
      <c r="EL804" s="1509"/>
      <c r="EM804" s="1509"/>
      <c r="EN804" s="1510"/>
      <c r="EO804" s="1508">
        <f t="shared" si="52"/>
        <v>0</v>
      </c>
      <c r="EP804" s="1509"/>
      <c r="EQ804" s="1509"/>
      <c r="ER804" s="1509"/>
      <c r="ES804" s="1510"/>
      <c r="ET804" s="1508">
        <f t="shared" si="53"/>
        <v>0</v>
      </c>
      <c r="EU804" s="1509"/>
      <c r="EV804" s="1509"/>
      <c r="EW804" s="1509"/>
      <c r="EX804" s="1510"/>
    </row>
    <row r="805" spans="1:154" s="4" customFormat="1" ht="12.95" customHeight="1">
      <c r="A805"/>
      <c r="B805"/>
      <c r="C805"/>
      <c r="D805"/>
      <c r="E805"/>
      <c r="F805"/>
      <c r="G805"/>
      <c r="H805"/>
      <c r="I805"/>
      <c r="J805" s="1630" t="s">
        <v>125</v>
      </c>
      <c r="K805" s="1631"/>
      <c r="L805" s="1631"/>
      <c r="M805" s="1631"/>
      <c r="N805" s="1632"/>
      <c r="O805" s="1694">
        <f>SUM(O795:S804)</f>
        <v>0</v>
      </c>
      <c r="P805" s="1694"/>
      <c r="Q805" s="1694"/>
      <c r="R805" s="1694"/>
      <c r="S805" s="1694"/>
      <c r="T805"/>
      <c r="U805"/>
      <c r="V805"/>
      <c r="W805"/>
      <c r="X805" s="893" t="s">
        <v>124</v>
      </c>
      <c r="Y805" s="11"/>
      <c r="Z805" s="11"/>
      <c r="AA805" s="11"/>
      <c r="AB805" s="900"/>
      <c r="AC805" s="1377">
        <f>SUM(AC795:AG804)</f>
        <v>0</v>
      </c>
      <c r="AD805" s="1373"/>
      <c r="AE805" s="1373"/>
      <c r="AF805" s="1373"/>
      <c r="AG805" s="1378"/>
      <c r="AH805"/>
      <c r="AI805"/>
      <c r="AJ805"/>
      <c r="AK805"/>
      <c r="AL805"/>
      <c r="AM805"/>
      <c r="AN805"/>
      <c r="AO805"/>
      <c r="AP805"/>
      <c r="AQ805"/>
      <c r="AR805"/>
      <c r="AS805"/>
      <c r="AT805"/>
      <c r="AU805"/>
      <c r="AV805"/>
      <c r="AW805"/>
      <c r="AX805"/>
      <c r="AY805"/>
      <c r="AZ805" s="3"/>
      <c r="BA805"/>
      <c r="CP805" s="1512">
        <f>SUM(CP795:CT804)</f>
        <v>0</v>
      </c>
      <c r="CQ805" s="1695"/>
      <c r="CR805" s="1695"/>
      <c r="CS805" s="1695"/>
      <c r="CT805" s="1513"/>
      <c r="CU805" s="1514">
        <f>SUM(CU795:CY804)</f>
        <v>0</v>
      </c>
      <c r="CV805" s="1515"/>
      <c r="CW805" s="1515"/>
      <c r="CX805" s="1515"/>
      <c r="CY805" s="1516"/>
      <c r="CZ805" s="1514">
        <f>SUM(CZ795:DD804)</f>
        <v>0</v>
      </c>
      <c r="DA805" s="1515"/>
      <c r="DB805" s="1515"/>
      <c r="DC805" s="1515"/>
      <c r="DD805" s="1516"/>
      <c r="DE805" s="1514">
        <f>SUM(DE795:DI804)</f>
        <v>0</v>
      </c>
      <c r="DF805" s="1515"/>
      <c r="DG805" s="1515"/>
      <c r="DH805" s="1515"/>
      <c r="DI805" s="1516"/>
      <c r="DJ805" s="1514">
        <f>SUM(DJ795:DN804)</f>
        <v>0</v>
      </c>
      <c r="DK805" s="1515"/>
      <c r="DL805" s="1515"/>
      <c r="DM805" s="1515"/>
      <c r="DN805" s="1516"/>
      <c r="DO805" s="1514">
        <f>SUM(DO795:DS804)</f>
        <v>0</v>
      </c>
      <c r="DP805" s="1515"/>
      <c r="DQ805" s="1515"/>
      <c r="DR805" s="1515"/>
      <c r="DS805" s="1516"/>
      <c r="DT805" s="1002"/>
      <c r="DU805" s="1512">
        <f>SUM(DU795:DY804)</f>
        <v>0</v>
      </c>
      <c r="DV805" s="1695"/>
      <c r="DW805" s="1695"/>
      <c r="DX805" s="1695"/>
      <c r="DY805" s="1513"/>
      <c r="DZ805" s="1512">
        <f>SUM(DZ795:ED804)</f>
        <v>0</v>
      </c>
      <c r="EA805" s="1695"/>
      <c r="EB805" s="1695"/>
      <c r="EC805" s="1695"/>
      <c r="ED805" s="1513"/>
      <c r="EE805" s="1512">
        <f>SUM(EE795:EI804)</f>
        <v>0</v>
      </c>
      <c r="EF805" s="1695"/>
      <c r="EG805" s="1695"/>
      <c r="EH805" s="1695"/>
      <c r="EI805" s="1513"/>
      <c r="EJ805" s="1512">
        <f>SUM(EJ795:EN804)</f>
        <v>0</v>
      </c>
      <c r="EK805" s="1695"/>
      <c r="EL805" s="1695"/>
      <c r="EM805" s="1695"/>
      <c r="EN805" s="1513"/>
      <c r="EO805" s="1512">
        <f>SUM(EO795:ES804)</f>
        <v>0</v>
      </c>
      <c r="EP805" s="1695"/>
      <c r="EQ805" s="1695"/>
      <c r="ER805" s="1695"/>
      <c r="ES805" s="1513"/>
      <c r="ET805" s="1512">
        <f>SUM(ET795:EX804)</f>
        <v>0</v>
      </c>
      <c r="EU805" s="1695"/>
      <c r="EV805" s="1695"/>
      <c r="EW805" s="1695"/>
      <c r="EX805" s="1513"/>
    </row>
    <row r="806" spans="1:154" s="4" customFormat="1" ht="12.95" customHeight="1">
      <c r="A806"/>
      <c r="B806"/>
      <c r="C806" s="1666" t="str">
        <f>IF(O805&lt;&gt;AG447,"! Total market rate units in the Unit Mix Table above does not match the number of  market rate units on row #"&amp;TEXT(ROW(D447),"#"),"")</f>
        <v/>
      </c>
      <c r="D806" s="1666"/>
      <c r="E806" s="1666"/>
      <c r="F806" s="1666"/>
      <c r="G806" s="1666"/>
      <c r="H806" s="1666"/>
      <c r="I806" s="1666"/>
      <c r="J806" s="1666"/>
      <c r="K806" s="1666"/>
      <c r="L806" s="1666"/>
      <c r="M806" s="1666"/>
      <c r="N806" s="1666"/>
      <c r="O806" s="1666"/>
      <c r="P806" s="1666"/>
      <c r="Q806" s="1666"/>
      <c r="R806" s="1666"/>
      <c r="S806" s="1666"/>
      <c r="T806" s="1666"/>
      <c r="U806" s="1666"/>
      <c r="V806" s="1666"/>
      <c r="W806" s="1666"/>
      <c r="X806" s="1666"/>
      <c r="Y806" s="1666"/>
      <c r="Z806" s="1666"/>
      <c r="AA806" s="1666"/>
      <c r="AB806" s="1666"/>
      <c r="AC806" s="1666"/>
      <c r="AD806" s="1666"/>
      <c r="AE806" s="1666"/>
      <c r="AF806" s="1666"/>
      <c r="AG806" s="1666"/>
      <c r="AH806" s="1666"/>
      <c r="AI806" s="1666"/>
      <c r="AJ806" s="1666"/>
      <c r="AK806" s="1666"/>
      <c r="AL806" s="1666"/>
      <c r="AM806" s="1666"/>
      <c r="AN806" s="1666"/>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66"/>
      <c r="D807" s="1666"/>
      <c r="E807" s="1666"/>
      <c r="F807" s="1666"/>
      <c r="G807" s="1666"/>
      <c r="H807" s="1666"/>
      <c r="I807" s="1666"/>
      <c r="J807" s="1666"/>
      <c r="K807" s="1666"/>
      <c r="L807" s="1666"/>
      <c r="M807" s="1666"/>
      <c r="N807" s="1666"/>
      <c r="O807" s="1666"/>
      <c r="P807" s="1666"/>
      <c r="Q807" s="1666"/>
      <c r="R807" s="1666"/>
      <c r="S807" s="1666"/>
      <c r="T807" s="1666"/>
      <c r="U807" s="1666"/>
      <c r="V807" s="1666"/>
      <c r="W807" s="1666"/>
      <c r="X807" s="1666"/>
      <c r="Y807" s="1666"/>
      <c r="Z807" s="1666"/>
      <c r="AA807" s="1666"/>
      <c r="AB807" s="1666"/>
      <c r="AC807" s="1666"/>
      <c r="AD807" s="1666"/>
      <c r="AE807" s="1666"/>
      <c r="AF807" s="1666"/>
      <c r="AG807" s="1666"/>
      <c r="AH807" s="1666"/>
      <c r="AI807" s="1666"/>
      <c r="AJ807" s="1666"/>
      <c r="AK807" s="1666"/>
      <c r="AL807" s="1666"/>
      <c r="AM807" s="1666"/>
      <c r="AN807" s="1666"/>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814">
        <f>SUM(DU805:EX805)</f>
        <v>0</v>
      </c>
      <c r="EU807" s="1815"/>
      <c r="EV807" s="1815"/>
      <c r="EW807" s="1815"/>
      <c r="EX807" s="1816"/>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36">
        <f>O761+AC785+AC805</f>
        <v>212675</v>
      </c>
      <c r="Z808" s="1636"/>
      <c r="AA808" s="1636"/>
      <c r="AB808" s="1636"/>
      <c r="AC808" s="1636"/>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6">
        <f>(O761+AC785+AC805)*12</f>
        <v>2552100</v>
      </c>
      <c r="Z809" s="1636"/>
      <c r="AA809" s="1636"/>
      <c r="AB809" s="1636"/>
      <c r="AC809" s="1636"/>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14">
        <f>CP761+CP785+CP805</f>
        <v>13</v>
      </c>
      <c r="CQ810" s="1515"/>
      <c r="CR810" s="1515"/>
      <c r="CS810" s="1515"/>
      <c r="CT810" s="1516"/>
      <c r="CU810" s="1514">
        <f>CU761+CU785+CU805</f>
        <v>65</v>
      </c>
      <c r="CV810" s="1515"/>
      <c r="CW810" s="1515"/>
      <c r="CX810" s="1515"/>
      <c r="CY810" s="1516"/>
      <c r="CZ810" s="1514">
        <f>CZ761+CZ785+CZ805</f>
        <v>30</v>
      </c>
      <c r="DA810" s="1515"/>
      <c r="DB810" s="1515"/>
      <c r="DC810" s="1515"/>
      <c r="DD810" s="1516"/>
      <c r="DE810" s="1514">
        <f>DE761+DE785+DE805</f>
        <v>0</v>
      </c>
      <c r="DF810" s="1515"/>
      <c r="DG810" s="1515"/>
      <c r="DH810" s="1515"/>
      <c r="DI810" s="1516"/>
      <c r="DJ810" s="1514">
        <f>DJ761+DJ785+DJ805</f>
        <v>0</v>
      </c>
      <c r="DK810" s="1515"/>
      <c r="DL810" s="1515"/>
      <c r="DM810" s="1515"/>
      <c r="DN810" s="1516"/>
      <c r="DO810" s="1506">
        <f>DO805+DO785+DO761</f>
        <v>0</v>
      </c>
      <c r="DP810" s="1517"/>
      <c r="DQ810" s="1517"/>
      <c r="DR810" s="1517"/>
      <c r="DS810" s="1507"/>
      <c r="DT810" s="3"/>
      <c r="DU810" s="852">
        <f>DU763+DU808</f>
        <v>136</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97"/>
      <c r="AA814" s="1598"/>
      <c r="AB814" s="1598"/>
      <c r="AC814" s="1598"/>
      <c r="AD814" s="1598"/>
      <c r="AE814" s="1599"/>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91"/>
      <c r="AA815" s="1598"/>
      <c r="AB815" s="1598"/>
      <c r="AC815" s="1598"/>
      <c r="AD815" s="1598"/>
      <c r="AE815" s="1599"/>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3">
        <v>0</v>
      </c>
      <c r="AA816" s="1574"/>
      <c r="AB816" s="1574"/>
      <c r="AC816" s="1574"/>
      <c r="AD816" s="1574"/>
      <c r="AE816" s="157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99">
        <f>'Subsidy Contract Calculation'!J40</f>
        <v>0</v>
      </c>
      <c r="AA817" s="1500"/>
      <c r="AB817" s="1500"/>
      <c r="AC817" s="1500"/>
      <c r="AD817" s="1500"/>
      <c r="AE817" s="1501"/>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6">
        <v>16200</v>
      </c>
      <c r="AA821" s="1437"/>
      <c r="AB821" s="1437"/>
      <c r="AC821" s="1437"/>
      <c r="AD821" s="1437"/>
      <c r="AE821" s="1438"/>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6"/>
      <c r="AA822" s="1437"/>
      <c r="AB822" s="1437"/>
      <c r="AC822" s="1437"/>
      <c r="AD822" s="1437"/>
      <c r="AE822" s="1438"/>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6"/>
      <c r="AA823" s="1437"/>
      <c r="AB823" s="1437"/>
      <c r="AC823" s="1437"/>
      <c r="AD823" s="1437"/>
      <c r="AE823" s="1438"/>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04" t="s">
        <v>334</v>
      </c>
      <c r="Q824" s="1605"/>
      <c r="R824" s="1605"/>
      <c r="S824" s="1605"/>
      <c r="T824" s="1605"/>
      <c r="U824" s="1605"/>
      <c r="V824" s="1605"/>
      <c r="W824" s="1605"/>
      <c r="X824" s="1605"/>
      <c r="Y824" s="1606"/>
      <c r="Z824" s="1436"/>
      <c r="AA824" s="1437"/>
      <c r="AB824" s="1437"/>
      <c r="AC824" s="1437"/>
      <c r="AD824" s="1437"/>
      <c r="AE824" s="1438"/>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99">
        <f>SUM(Z821:AE824)</f>
        <v>16200</v>
      </c>
      <c r="AA825" s="1500"/>
      <c r="AB825" s="1500"/>
      <c r="AC825" s="1500"/>
      <c r="AD825" s="1500"/>
      <c r="AE825" s="1501"/>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99">
        <f>Z825+Y809+Z817</f>
        <v>2568300</v>
      </c>
      <c r="AA826" s="1500"/>
      <c r="AB826" s="1500"/>
      <c r="AC826" s="1500"/>
      <c r="AD826" s="1500"/>
      <c r="AE826" s="1501"/>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551" t="s">
        <v>126</v>
      </c>
      <c r="N831" s="1551"/>
      <c r="O831" s="1551"/>
      <c r="P831" s="1628"/>
      <c r="Q831" s="1638" t="s">
        <v>290</v>
      </c>
      <c r="R831" s="1638"/>
      <c r="S831" s="1638"/>
      <c r="T831" s="1638"/>
      <c r="U831" s="1638" t="s">
        <v>291</v>
      </c>
      <c r="V831" s="1638"/>
      <c r="W831" s="1638"/>
      <c r="X831" s="1638"/>
      <c r="Y831" s="1638" t="s">
        <v>292</v>
      </c>
      <c r="Z831" s="1638"/>
      <c r="AA831" s="1638"/>
      <c r="AB831" s="1638"/>
      <c r="AC831" s="1638" t="s">
        <v>361</v>
      </c>
      <c r="AD831" s="1638"/>
      <c r="AE831" s="1638"/>
      <c r="AF831" s="1638"/>
      <c r="AG831" s="1672" t="s">
        <v>335</v>
      </c>
      <c r="AH831" s="1672"/>
      <c r="AI831" s="1672"/>
      <c r="AJ831" s="1672"/>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555"/>
      <c r="N832" s="1555"/>
      <c r="O832" s="1555"/>
      <c r="P832" s="1593"/>
      <c r="Q832" s="1638"/>
      <c r="R832" s="1638"/>
      <c r="S832" s="1638"/>
      <c r="T832" s="1638"/>
      <c r="U832" s="1638"/>
      <c r="V832" s="1638"/>
      <c r="W832" s="1638"/>
      <c r="X832" s="1638"/>
      <c r="Y832" s="1638"/>
      <c r="Z832" s="1638"/>
      <c r="AA832" s="1638"/>
      <c r="AB832" s="1638"/>
      <c r="AC832" s="1638"/>
      <c r="AD832" s="1638"/>
      <c r="AE832" s="1638"/>
      <c r="AF832" s="1638"/>
      <c r="AG832" s="1672"/>
      <c r="AH832" s="1672"/>
      <c r="AI832" s="1672"/>
      <c r="AJ832" s="1672"/>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79" t="s">
        <v>40</v>
      </c>
      <c r="D833" s="1439"/>
      <c r="E833" s="1439"/>
      <c r="F833" s="1439"/>
      <c r="G833" s="1439"/>
      <c r="H833" s="1439"/>
      <c r="I833" s="48"/>
      <c r="J833" s="48"/>
      <c r="K833" s="48"/>
      <c r="L833" s="49"/>
      <c r="M833" s="1607">
        <v>16</v>
      </c>
      <c r="N833" s="1607"/>
      <c r="O833" s="1607"/>
      <c r="P833" s="1607"/>
      <c r="Q833" s="1607">
        <v>19</v>
      </c>
      <c r="R833" s="1607"/>
      <c r="S833" s="1607"/>
      <c r="T833" s="1607"/>
      <c r="U833" s="1607">
        <v>25</v>
      </c>
      <c r="V833" s="1607"/>
      <c r="W833" s="1607"/>
      <c r="X833" s="1607"/>
      <c r="Y833" s="1607"/>
      <c r="Z833" s="1607"/>
      <c r="AA833" s="1607"/>
      <c r="AB833" s="1607"/>
      <c r="AC833" s="1608"/>
      <c r="AD833" s="1609"/>
      <c r="AE833" s="1609"/>
      <c r="AF833" s="1610"/>
      <c r="AG833" s="1608"/>
      <c r="AH833" s="1609"/>
      <c r="AI833" s="1609"/>
      <c r="AJ833" s="1610"/>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670" t="s">
        <v>41</v>
      </c>
      <c r="D834" s="1671"/>
      <c r="E834" s="1671"/>
      <c r="F834" s="1671"/>
      <c r="G834" s="1671"/>
      <c r="H834" s="1671"/>
      <c r="I834" s="5"/>
      <c r="J834" s="5"/>
      <c r="K834" s="5"/>
      <c r="L834" s="46"/>
      <c r="M834" s="1607"/>
      <c r="N834" s="1607"/>
      <c r="O834" s="1607"/>
      <c r="P834" s="1607"/>
      <c r="Q834" s="1607"/>
      <c r="R834" s="1607"/>
      <c r="S834" s="1607"/>
      <c r="T834" s="1607"/>
      <c r="U834" s="1607"/>
      <c r="V834" s="1607"/>
      <c r="W834" s="1607"/>
      <c r="X834" s="1607"/>
      <c r="Y834" s="1607"/>
      <c r="Z834" s="1607"/>
      <c r="AA834" s="1607"/>
      <c r="AB834" s="1607"/>
      <c r="AC834" s="1608"/>
      <c r="AD834" s="1609"/>
      <c r="AE834" s="1609"/>
      <c r="AF834" s="1610"/>
      <c r="AG834" s="1608"/>
      <c r="AH834" s="1609"/>
      <c r="AI834" s="1609"/>
      <c r="AJ834" s="1610"/>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670" t="s">
        <v>42</v>
      </c>
      <c r="D835" s="1671"/>
      <c r="E835" s="1671"/>
      <c r="F835" s="1671"/>
      <c r="G835" s="1671"/>
      <c r="H835" s="1671"/>
      <c r="I835" s="60"/>
      <c r="J835" s="60"/>
      <c r="K835" s="60"/>
      <c r="L835" s="61"/>
      <c r="M835" s="1607">
        <v>10</v>
      </c>
      <c r="N835" s="1607"/>
      <c r="O835" s="1607"/>
      <c r="P835" s="1607"/>
      <c r="Q835" s="1607">
        <v>12</v>
      </c>
      <c r="R835" s="1607"/>
      <c r="S835" s="1607"/>
      <c r="T835" s="1607"/>
      <c r="U835" s="1607">
        <v>17</v>
      </c>
      <c r="V835" s="1607"/>
      <c r="W835" s="1607"/>
      <c r="X835" s="1607"/>
      <c r="Y835" s="1607"/>
      <c r="Z835" s="1607"/>
      <c r="AA835" s="1607"/>
      <c r="AB835" s="1607"/>
      <c r="AC835" s="1608"/>
      <c r="AD835" s="1609"/>
      <c r="AE835" s="1609"/>
      <c r="AF835" s="1610"/>
      <c r="AG835" s="1608"/>
      <c r="AH835" s="1609"/>
      <c r="AI835" s="1609"/>
      <c r="AJ835" s="1610"/>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670" t="s">
        <v>762</v>
      </c>
      <c r="D836" s="1671"/>
      <c r="E836" s="1671"/>
      <c r="F836" s="1671"/>
      <c r="G836" s="1671"/>
      <c r="H836" s="1671"/>
      <c r="I836" s="60"/>
      <c r="J836" s="60"/>
      <c r="K836" s="60"/>
      <c r="L836" s="61"/>
      <c r="M836" s="1607"/>
      <c r="N836" s="1607"/>
      <c r="O836" s="1607"/>
      <c r="P836" s="1607"/>
      <c r="Q836" s="1607"/>
      <c r="R836" s="1607"/>
      <c r="S836" s="1607"/>
      <c r="T836" s="1607"/>
      <c r="U836" s="1607"/>
      <c r="V836" s="1607"/>
      <c r="W836" s="1607"/>
      <c r="X836" s="1607"/>
      <c r="Y836" s="1607"/>
      <c r="Z836" s="1607"/>
      <c r="AA836" s="1607"/>
      <c r="AB836" s="1607"/>
      <c r="AC836" s="1608"/>
      <c r="AD836" s="1609"/>
      <c r="AE836" s="1609"/>
      <c r="AF836" s="1610"/>
      <c r="AG836" s="1608"/>
      <c r="AH836" s="1609"/>
      <c r="AI836" s="1609"/>
      <c r="AJ836" s="1610"/>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670" t="s">
        <v>459</v>
      </c>
      <c r="D837" s="1671"/>
      <c r="E837" s="1671"/>
      <c r="F837" s="1671"/>
      <c r="G837" s="1671"/>
      <c r="H837" s="1671"/>
      <c r="I837" s="60"/>
      <c r="J837" s="60"/>
      <c r="K837" s="60"/>
      <c r="L837" s="61"/>
      <c r="M837" s="1607">
        <v>37</v>
      </c>
      <c r="N837" s="1607"/>
      <c r="O837" s="1607"/>
      <c r="P837" s="1607"/>
      <c r="Q837" s="1607">
        <v>44</v>
      </c>
      <c r="R837" s="1607"/>
      <c r="S837" s="1607"/>
      <c r="T837" s="1607"/>
      <c r="U837" s="1607">
        <v>61</v>
      </c>
      <c r="V837" s="1607"/>
      <c r="W837" s="1607"/>
      <c r="X837" s="1607"/>
      <c r="Y837" s="1607"/>
      <c r="Z837" s="1607"/>
      <c r="AA837" s="1607"/>
      <c r="AB837" s="1607"/>
      <c r="AC837" s="1608"/>
      <c r="AD837" s="1609"/>
      <c r="AE837" s="1609"/>
      <c r="AF837" s="1610"/>
      <c r="AG837" s="1608"/>
      <c r="AH837" s="1609"/>
      <c r="AI837" s="1609"/>
      <c r="AJ837" s="1610"/>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82" t="s">
        <v>783</v>
      </c>
      <c r="D838" s="1671"/>
      <c r="E838" s="1671"/>
      <c r="F838" s="1671"/>
      <c r="G838" s="1671"/>
      <c r="H838" s="1671"/>
      <c r="I838" s="60"/>
      <c r="J838" s="60"/>
      <c r="K838" s="60"/>
      <c r="L838" s="61"/>
      <c r="M838" s="1607"/>
      <c r="N838" s="1607"/>
      <c r="O838" s="1607"/>
      <c r="P838" s="1607"/>
      <c r="Q838" s="1607"/>
      <c r="R838" s="1607"/>
      <c r="S838" s="1607"/>
      <c r="T838" s="1607"/>
      <c r="U838" s="1607"/>
      <c r="V838" s="1607"/>
      <c r="W838" s="1607"/>
      <c r="X838" s="1607"/>
      <c r="Y838" s="1607"/>
      <c r="Z838" s="1607"/>
      <c r="AA838" s="1607"/>
      <c r="AB838" s="1607"/>
      <c r="AC838" s="1608"/>
      <c r="AD838" s="1609"/>
      <c r="AE838" s="1609"/>
      <c r="AF838" s="1610"/>
      <c r="AG838" s="1608"/>
      <c r="AH838" s="1609"/>
      <c r="AI838" s="1609"/>
      <c r="AJ838" s="1610"/>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04" t="s">
        <v>334</v>
      </c>
      <c r="G839" s="1605"/>
      <c r="H839" s="1605"/>
      <c r="I839" s="1605"/>
      <c r="J839" s="1605"/>
      <c r="K839" s="1605"/>
      <c r="L839" s="1605"/>
      <c r="M839" s="1607"/>
      <c r="N839" s="1607"/>
      <c r="O839" s="1607"/>
      <c r="P839" s="1607"/>
      <c r="Q839" s="1607"/>
      <c r="R839" s="1607"/>
      <c r="S839" s="1607"/>
      <c r="T839" s="1607"/>
      <c r="U839" s="1607"/>
      <c r="V839" s="1607"/>
      <c r="W839" s="1607"/>
      <c r="X839" s="1607"/>
      <c r="Y839" s="1607"/>
      <c r="Z839" s="1607"/>
      <c r="AA839" s="1607"/>
      <c r="AB839" s="1607"/>
      <c r="AC839" s="1608"/>
      <c r="AD839" s="1609"/>
      <c r="AE839" s="1609"/>
      <c r="AF839" s="1610"/>
      <c r="AG839" s="1608"/>
      <c r="AH839" s="1609"/>
      <c r="AI839" s="1609"/>
      <c r="AJ839" s="1610"/>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630" t="s">
        <v>124</v>
      </c>
      <c r="D840" s="1631"/>
      <c r="E840" s="1631"/>
      <c r="F840" s="1631"/>
      <c r="G840" s="1631"/>
      <c r="H840" s="1631"/>
      <c r="I840" s="1631"/>
      <c r="J840" s="1631"/>
      <c r="K840" s="1631"/>
      <c r="L840" s="1632"/>
      <c r="M840" s="1627">
        <f>SUM(M833:P839)</f>
        <v>63</v>
      </c>
      <c r="N840" s="1627"/>
      <c r="O840" s="1627"/>
      <c r="P840" s="1627"/>
      <c r="Q840" s="1627">
        <f>SUM(Q833:T839)</f>
        <v>75</v>
      </c>
      <c r="R840" s="1627"/>
      <c r="S840" s="1627"/>
      <c r="T840" s="1627"/>
      <c r="U840" s="1627">
        <f>SUM(U833:X839)</f>
        <v>103</v>
      </c>
      <c r="V840" s="1627"/>
      <c r="W840" s="1627"/>
      <c r="X840" s="1627"/>
      <c r="Y840" s="1627">
        <f>SUM(Y833:AB839)</f>
        <v>0</v>
      </c>
      <c r="Z840" s="1627"/>
      <c r="AA840" s="1627"/>
      <c r="AB840" s="1627"/>
      <c r="AC840" s="1627">
        <f>SUM(AC833:AF839)</f>
        <v>0</v>
      </c>
      <c r="AD840" s="1627"/>
      <c r="AE840" s="1627"/>
      <c r="AF840" s="1627"/>
      <c r="AG840" s="1627">
        <f>SUM(AG833:AJ839)</f>
        <v>0</v>
      </c>
      <c r="AH840" s="1627"/>
      <c r="AI840" s="1627"/>
      <c r="AJ840" s="1627"/>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73" t="s">
        <v>2805</v>
      </c>
      <c r="D845" s="1674"/>
      <c r="E845" s="1674"/>
      <c r="F845" s="1674"/>
      <c r="G845" s="1674"/>
      <c r="H845" s="1674"/>
      <c r="I845" s="1674"/>
      <c r="J845" s="1674"/>
      <c r="K845" s="1674"/>
      <c r="L845" s="1674"/>
      <c r="M845" s="1674"/>
      <c r="N845" s="1674"/>
      <c r="O845" s="1674"/>
      <c r="P845" s="1674"/>
      <c r="Q845" s="1674"/>
      <c r="R845" s="1674"/>
      <c r="S845" s="1674"/>
      <c r="T845" s="1674"/>
      <c r="U845" s="1674"/>
      <c r="V845" s="1674"/>
      <c r="W845" s="1674"/>
      <c r="X845" s="1674"/>
      <c r="Y845" s="1674"/>
      <c r="Z845" s="1674"/>
      <c r="AA845" s="1674"/>
      <c r="AB845" s="1674"/>
      <c r="AC845" s="1674"/>
      <c r="AD845" s="1674"/>
      <c r="AE845" s="1674"/>
      <c r="AF845" s="1674"/>
      <c r="AG845" s="1674"/>
      <c r="AH845" s="1674"/>
      <c r="AI845" s="1674"/>
      <c r="AJ845" s="1675"/>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37"/>
      <c r="BJ849" s="1637"/>
      <c r="BK849" s="1637"/>
      <c r="BL849" s="1637"/>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495">
        <v>2100</v>
      </c>
      <c r="X850" s="1495"/>
      <c r="Y850" s="1495"/>
      <c r="Z850" s="1495"/>
      <c r="AA850" s="1495"/>
      <c r="AB850" s="1495"/>
      <c r="AC850" s="1495"/>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495">
        <v>5000</v>
      </c>
      <c r="X851" s="1495"/>
      <c r="Y851" s="1495"/>
      <c r="Z851" s="1495"/>
      <c r="AA851" s="1495"/>
      <c r="AB851" s="1495"/>
      <c r="AC851" s="1495"/>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495">
        <v>5000</v>
      </c>
      <c r="X852" s="1495"/>
      <c r="Y852" s="1495"/>
      <c r="Z852" s="1495"/>
      <c r="AA852" s="1495"/>
      <c r="AB852" s="1495"/>
      <c r="AC852" s="1495"/>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495"/>
      <c r="X853" s="1495"/>
      <c r="Y853" s="1495"/>
      <c r="Z853" s="1495"/>
      <c r="AA853" s="1495"/>
      <c r="AB853" s="1495"/>
      <c r="AC853" s="1495"/>
      <c r="AZ853" s="30"/>
      <c r="BA853" s="30"/>
      <c r="BB853" s="14"/>
      <c r="BC853" s="14"/>
      <c r="BD853" s="14"/>
      <c r="BE853" s="14"/>
      <c r="BF853" s="14"/>
      <c r="BG853" s="14"/>
      <c r="BH853" s="14"/>
      <c r="BI853" s="14"/>
      <c r="BJ853" s="14"/>
      <c r="BK853" s="14"/>
      <c r="BL853" s="14"/>
    </row>
    <row r="854" spans="1:64" ht="12.95" customHeight="1">
      <c r="J854" s="45" t="s">
        <v>170</v>
      </c>
      <c r="K854" s="5"/>
      <c r="L854" s="5"/>
      <c r="M854" s="1604" t="s">
        <v>2803</v>
      </c>
      <c r="N854" s="1605"/>
      <c r="O854" s="1605"/>
      <c r="P854" s="1605"/>
      <c r="Q854" s="1605"/>
      <c r="R854" s="1605"/>
      <c r="S854" s="1605"/>
      <c r="T854" s="1605"/>
      <c r="U854" s="1605"/>
      <c r="V854" s="1606"/>
      <c r="W854" s="1495">
        <f>1500+5000+13372</f>
        <v>19872</v>
      </c>
      <c r="X854" s="1495"/>
      <c r="Y854" s="1495"/>
      <c r="Z854" s="1495"/>
      <c r="AA854" s="1495"/>
      <c r="AB854" s="1495"/>
      <c r="AC854" s="1495"/>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99">
        <f>SUM(W850:W854)</f>
        <v>31972</v>
      </c>
      <c r="X855" s="1500"/>
      <c r="Y855" s="1500"/>
      <c r="Z855" s="1500"/>
      <c r="AA855" s="1500"/>
      <c r="AB855" s="1500"/>
      <c r="AC855" s="1501"/>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25"/>
      <c r="BH856" s="1625"/>
      <c r="BI856" s="1625"/>
      <c r="BJ856" s="1625"/>
      <c r="BK856" s="1625"/>
      <c r="BL856" s="1625"/>
    </row>
    <row r="857" spans="1:64" ht="12.95" customHeight="1">
      <c r="C857" s="2" t="s">
        <v>344</v>
      </c>
      <c r="J857" s="1630" t="s">
        <v>345</v>
      </c>
      <c r="K857" s="1631"/>
      <c r="L857" s="1631"/>
      <c r="M857" s="1631"/>
      <c r="N857" s="1631"/>
      <c r="O857" s="1631"/>
      <c r="P857" s="1631"/>
      <c r="Q857" s="1631"/>
      <c r="R857" s="1631"/>
      <c r="S857" s="1631"/>
      <c r="T857" s="1631"/>
      <c r="U857" s="1631"/>
      <c r="V857" s="1632"/>
      <c r="W857" s="1436">
        <v>84800</v>
      </c>
      <c r="X857" s="1437"/>
      <c r="Y857" s="1437"/>
      <c r="Z857" s="1437"/>
      <c r="AA857" s="1437"/>
      <c r="AB857" s="1437"/>
      <c r="AC857" s="1438"/>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629"/>
      <c r="X859" s="1629"/>
      <c r="Y859" s="1629"/>
      <c r="Z859" s="1629"/>
      <c r="AA859" s="1629"/>
      <c r="AB859" s="1629"/>
      <c r="AC859" s="1629"/>
      <c r="AZ859" s="1686"/>
      <c r="BA859" s="1686"/>
      <c r="BB859" s="14"/>
      <c r="BC859" s="14"/>
    </row>
    <row r="860" spans="1:64" ht="12.95" customHeight="1">
      <c r="J860" s="45" t="s">
        <v>351</v>
      </c>
      <c r="K860" s="5"/>
      <c r="L860" s="5"/>
      <c r="M860" s="5"/>
      <c r="N860" s="5"/>
      <c r="O860" s="5"/>
      <c r="P860" s="5"/>
      <c r="Q860" s="5"/>
      <c r="R860" s="5"/>
      <c r="S860" s="5"/>
      <c r="T860" s="5"/>
      <c r="U860" s="5"/>
      <c r="V860" s="46"/>
      <c r="W860" s="1629"/>
      <c r="X860" s="1629"/>
      <c r="Y860" s="1629"/>
      <c r="Z860" s="1629"/>
      <c r="AA860" s="1629"/>
      <c r="AB860" s="1629"/>
      <c r="AC860" s="1629"/>
      <c r="AZ860" s="30"/>
      <c r="BA860" s="30"/>
      <c r="BB860" s="14"/>
      <c r="BC860" s="14"/>
    </row>
    <row r="861" spans="1:64" ht="12.95" customHeight="1">
      <c r="J861" s="45" t="s">
        <v>459</v>
      </c>
      <c r="K861" s="5"/>
      <c r="L861" s="5"/>
      <c r="M861" s="5"/>
      <c r="N861" s="5"/>
      <c r="O861" s="5"/>
      <c r="P861" s="5"/>
      <c r="Q861" s="5"/>
      <c r="R861" s="5"/>
      <c r="S861" s="5"/>
      <c r="T861" s="5"/>
      <c r="U861" s="5"/>
      <c r="V861" s="46"/>
      <c r="W861" s="1629">
        <v>72900</v>
      </c>
      <c r="X861" s="1629"/>
      <c r="Y861" s="1629"/>
      <c r="Z861" s="1629"/>
      <c r="AA861" s="1629"/>
      <c r="AB861" s="1629"/>
      <c r="AC861" s="1629"/>
      <c r="AZ861" s="30"/>
      <c r="BA861" s="30"/>
      <c r="BB861" s="14"/>
      <c r="BC861" s="14"/>
    </row>
    <row r="862" spans="1:64" ht="12.95" customHeight="1">
      <c r="J862" s="62" t="s">
        <v>620</v>
      </c>
      <c r="K862" s="5"/>
      <c r="L862" s="5"/>
      <c r="M862" s="5"/>
      <c r="N862" s="5"/>
      <c r="O862" s="5"/>
      <c r="P862" s="5"/>
      <c r="Q862" s="5"/>
      <c r="R862" s="5"/>
      <c r="S862" s="5"/>
      <c r="T862" s="5"/>
      <c r="U862" s="5"/>
      <c r="V862" s="46"/>
      <c r="W862" s="1629">
        <v>64800</v>
      </c>
      <c r="X862" s="1629"/>
      <c r="Y862" s="1629"/>
      <c r="Z862" s="1629"/>
      <c r="AA862" s="1629"/>
      <c r="AB862" s="1629"/>
      <c r="AC862" s="1629"/>
      <c r="AZ862" s="34"/>
      <c r="BA862" s="34"/>
      <c r="BB862" s="34"/>
      <c r="BC862" s="34"/>
    </row>
    <row r="863" spans="1:64" ht="12.95" customHeight="1">
      <c r="J863" s="63"/>
      <c r="K863" s="48"/>
      <c r="L863" s="48"/>
      <c r="M863" s="48"/>
      <c r="N863" s="48"/>
      <c r="O863" s="48"/>
      <c r="P863" s="48"/>
      <c r="Q863" s="48"/>
      <c r="R863" s="48"/>
      <c r="S863" s="48"/>
      <c r="T863" s="48"/>
      <c r="U863" s="48"/>
      <c r="V863" s="54" t="s">
        <v>272</v>
      </c>
      <c r="W863" s="1676">
        <f>SUM(W859:W862)</f>
        <v>137700</v>
      </c>
      <c r="X863" s="1676"/>
      <c r="Y863" s="1676"/>
      <c r="Z863" s="1676"/>
      <c r="AA863" s="1676"/>
      <c r="AB863" s="1676"/>
      <c r="AC863" s="1676"/>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11">
        <v>51840</v>
      </c>
      <c r="X865" s="1612"/>
      <c r="Y865" s="1612"/>
      <c r="Z865" s="1612"/>
      <c r="AA865" s="1612"/>
      <c r="AB865" s="1612"/>
      <c r="AC865" s="1613"/>
      <c r="AD865" s="524"/>
      <c r="AZ865" s="34"/>
      <c r="BA865" s="34"/>
      <c r="BB865" s="34"/>
      <c r="BC865" s="34"/>
    </row>
    <row r="866" spans="3:55" ht="12.95" customHeight="1">
      <c r="C866" s="2" t="s">
        <v>347</v>
      </c>
      <c r="J866" s="121" t="s">
        <v>1643</v>
      </c>
      <c r="K866" s="5"/>
      <c r="L866" s="5"/>
      <c r="M866" s="5"/>
      <c r="N866" s="5"/>
      <c r="O866" s="5"/>
      <c r="P866" s="5"/>
      <c r="Q866" s="5"/>
      <c r="R866" s="5"/>
      <c r="S866" s="5"/>
      <c r="T866" s="1677"/>
      <c r="U866" s="1648"/>
      <c r="V866" s="1678"/>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11">
        <v>48600</v>
      </c>
      <c r="X867" s="1612"/>
      <c r="Y867" s="1612"/>
      <c r="Z867" s="1612"/>
      <c r="AA867" s="1612"/>
      <c r="AB867" s="1612"/>
      <c r="AC867" s="1613"/>
      <c r="AD867" s="529"/>
      <c r="AZ867" s="34"/>
      <c r="BA867" s="34"/>
      <c r="BB867" s="34"/>
      <c r="BC867" s="34"/>
    </row>
    <row r="868" spans="3:55" ht="12.95" customHeight="1">
      <c r="C868" s="2"/>
      <c r="J868" s="121" t="s">
        <v>1644</v>
      </c>
      <c r="K868" s="5"/>
      <c r="L868" s="5"/>
      <c r="M868" s="5"/>
      <c r="N868" s="5"/>
      <c r="O868" s="5"/>
      <c r="P868" s="5"/>
      <c r="Q868" s="5"/>
      <c r="R868" s="5"/>
      <c r="S868" s="5"/>
      <c r="T868" s="1677"/>
      <c r="U868" s="1648"/>
      <c r="V868" s="1678"/>
      <c r="W868" s="865"/>
      <c r="X868" s="866"/>
      <c r="Y868" s="866"/>
      <c r="Z868" s="866"/>
      <c r="AA868" s="866"/>
      <c r="AB868" s="866"/>
      <c r="AC868" s="867"/>
      <c r="AD868" s="529"/>
      <c r="AZ868" s="34"/>
      <c r="BA868" s="34"/>
      <c r="BB868" s="34"/>
      <c r="BC868" s="34"/>
    </row>
    <row r="869" spans="3:55" ht="12.95" customHeight="1">
      <c r="J869" s="45" t="s">
        <v>170</v>
      </c>
      <c r="K869" s="5"/>
      <c r="L869" s="5"/>
      <c r="M869" s="1604" t="s">
        <v>2802</v>
      </c>
      <c r="N869" s="1605"/>
      <c r="O869" s="1605"/>
      <c r="P869" s="1605"/>
      <c r="Q869" s="1605"/>
      <c r="R869" s="1605"/>
      <c r="S869" s="1605"/>
      <c r="T869" s="1605"/>
      <c r="U869" s="1605"/>
      <c r="V869" s="1606"/>
      <c r="W869" s="1611">
        <f>2000+23100</f>
        <v>25100</v>
      </c>
      <c r="X869" s="1612"/>
      <c r="Y869" s="1612"/>
      <c r="Z869" s="1612"/>
      <c r="AA869" s="1612"/>
      <c r="AB869" s="1612"/>
      <c r="AC869" s="1613"/>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679">
        <f>SUM(W865:W869)</f>
        <v>125540</v>
      </c>
      <c r="X870" s="1680"/>
      <c r="Y870" s="1680"/>
      <c r="Z870" s="1680"/>
      <c r="AA870" s="1680"/>
      <c r="AB870" s="1680"/>
      <c r="AC870" s="1681"/>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11">
        <v>48600</v>
      </c>
      <c r="X872" s="1612"/>
      <c r="Y872" s="1612"/>
      <c r="Z872" s="1612"/>
      <c r="AA872" s="1612"/>
      <c r="AB872" s="1612"/>
      <c r="AC872" s="1613"/>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495"/>
      <c r="X874" s="1495"/>
      <c r="Y874" s="1495"/>
      <c r="Z874" s="1495"/>
      <c r="AA874" s="1495"/>
      <c r="AB874" s="1495"/>
      <c r="AC874" s="1495"/>
      <c r="AU874" s="14"/>
      <c r="AZ874" s="34"/>
      <c r="BA874" s="34"/>
      <c r="BB874" s="34"/>
      <c r="BC874" s="34"/>
    </row>
    <row r="875" spans="3:55" ht="12.95" customHeight="1">
      <c r="J875" s="45" t="s">
        <v>522</v>
      </c>
      <c r="K875" s="5"/>
      <c r="L875" s="5"/>
      <c r="M875" s="5"/>
      <c r="N875" s="5"/>
      <c r="O875" s="5"/>
      <c r="P875" s="5"/>
      <c r="Q875" s="5"/>
      <c r="R875" s="5"/>
      <c r="S875" s="5"/>
      <c r="T875" s="5"/>
      <c r="U875" s="5"/>
      <c r="V875" s="46"/>
      <c r="W875" s="1495">
        <v>97200</v>
      </c>
      <c r="X875" s="1495"/>
      <c r="Y875" s="1495"/>
      <c r="Z875" s="1495"/>
      <c r="AA875" s="1495"/>
      <c r="AB875" s="1495"/>
      <c r="AC875" s="1495"/>
      <c r="AU875" s="4"/>
      <c r="AZ875" s="34"/>
      <c r="BA875" s="34"/>
      <c r="BB875" s="34"/>
      <c r="BC875" s="34"/>
    </row>
    <row r="876" spans="3:55" ht="12.95" customHeight="1">
      <c r="J876" s="45" t="s">
        <v>521</v>
      </c>
      <c r="K876" s="5"/>
      <c r="L876" s="5"/>
      <c r="M876" s="5"/>
      <c r="N876" s="5"/>
      <c r="O876" s="5"/>
      <c r="P876" s="5"/>
      <c r="Q876" s="5"/>
      <c r="R876" s="5"/>
      <c r="S876" s="5"/>
      <c r="T876" s="5"/>
      <c r="U876" s="5"/>
      <c r="V876" s="46"/>
      <c r="W876" s="1495">
        <v>48600</v>
      </c>
      <c r="X876" s="1495"/>
      <c r="Y876" s="1495"/>
      <c r="Z876" s="1495"/>
      <c r="AA876" s="1495"/>
      <c r="AB876" s="1495"/>
      <c r="AC876" s="1495"/>
      <c r="AU876" s="4"/>
      <c r="AZ876" s="34"/>
      <c r="BA876" s="34"/>
      <c r="BB876" s="34"/>
      <c r="BC876" s="34"/>
    </row>
    <row r="877" spans="3:55" ht="12.95" customHeight="1">
      <c r="J877" s="45" t="s">
        <v>520</v>
      </c>
      <c r="K877" s="5"/>
      <c r="L877" s="5"/>
      <c r="M877" s="5"/>
      <c r="N877" s="5"/>
      <c r="O877" s="5"/>
      <c r="P877" s="5"/>
      <c r="Q877" s="5"/>
      <c r="R877" s="5"/>
      <c r="S877" s="5"/>
      <c r="T877" s="5"/>
      <c r="U877" s="5"/>
      <c r="V877" s="46"/>
      <c r="W877" s="1495">
        <v>1600</v>
      </c>
      <c r="X877" s="1495"/>
      <c r="Y877" s="1495"/>
      <c r="Z877" s="1495"/>
      <c r="AA877" s="1495"/>
      <c r="AB877" s="1495"/>
      <c r="AC877" s="1495"/>
      <c r="AU877" s="4"/>
      <c r="AZ877" s="34"/>
      <c r="BA877" s="34"/>
      <c r="BB877" s="34"/>
      <c r="BC877" s="34"/>
    </row>
    <row r="878" spans="3:55" ht="12.95" customHeight="1">
      <c r="J878" s="45" t="s">
        <v>519</v>
      </c>
      <c r="K878" s="5"/>
      <c r="L878" s="5"/>
      <c r="M878" s="5"/>
      <c r="N878" s="5"/>
      <c r="O878" s="5"/>
      <c r="P878" s="5"/>
      <c r="Q878" s="5"/>
      <c r="R878" s="5"/>
      <c r="S878" s="5"/>
      <c r="T878" s="5"/>
      <c r="U878" s="5"/>
      <c r="V878" s="46"/>
      <c r="W878" s="1495">
        <v>40500</v>
      </c>
      <c r="X878" s="1495"/>
      <c r="Y878" s="1495"/>
      <c r="Z878" s="1495"/>
      <c r="AA878" s="1495"/>
      <c r="AB878" s="1495"/>
      <c r="AC878" s="1495"/>
      <c r="AU878" s="4"/>
      <c r="AZ878" s="34"/>
      <c r="BA878" s="34"/>
      <c r="BB878" s="34"/>
      <c r="BC878" s="34"/>
    </row>
    <row r="879" spans="3:55" ht="12.95" customHeight="1">
      <c r="J879" s="45" t="s">
        <v>518</v>
      </c>
      <c r="K879" s="5"/>
      <c r="L879" s="5"/>
      <c r="M879" s="5"/>
      <c r="N879" s="5"/>
      <c r="O879" s="5"/>
      <c r="P879" s="5"/>
      <c r="Q879" s="5"/>
      <c r="R879" s="5"/>
      <c r="S879" s="5"/>
      <c r="T879" s="5"/>
      <c r="U879" s="5"/>
      <c r="V879" s="46"/>
      <c r="W879" s="1495"/>
      <c r="X879" s="1495"/>
      <c r="Y879" s="1495"/>
      <c r="Z879" s="1495"/>
      <c r="AA879" s="1495"/>
      <c r="AB879" s="1495"/>
      <c r="AC879" s="1495"/>
      <c r="AU879" s="4"/>
      <c r="AZ879" s="34"/>
      <c r="BA879" s="34"/>
      <c r="BB879" s="34"/>
      <c r="BC879" s="34"/>
    </row>
    <row r="880" spans="3:55" ht="12.95" customHeight="1">
      <c r="J880" s="45" t="s">
        <v>170</v>
      </c>
      <c r="K880" s="5"/>
      <c r="L880" s="5"/>
      <c r="M880" s="1604" t="s">
        <v>2807</v>
      </c>
      <c r="N880" s="1605"/>
      <c r="O880" s="1605"/>
      <c r="P880" s="1605"/>
      <c r="Q880" s="1605"/>
      <c r="R880" s="1605"/>
      <c r="S880" s="1605"/>
      <c r="T880" s="1605"/>
      <c r="U880" s="1605"/>
      <c r="V880" s="1606"/>
      <c r="W880" s="1495">
        <f>48600+16200</f>
        <v>64800</v>
      </c>
      <c r="X880" s="1495"/>
      <c r="Y880" s="1495"/>
      <c r="Z880" s="1495"/>
      <c r="AA880" s="1495"/>
      <c r="AB880" s="1495"/>
      <c r="AC880" s="1495"/>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636">
        <f>SUM(W874:W880)</f>
        <v>252700</v>
      </c>
      <c r="X881" s="1636"/>
      <c r="Y881" s="1636"/>
      <c r="Z881" s="1636"/>
      <c r="AA881" s="1636"/>
      <c r="AB881" s="1636"/>
      <c r="AC881" s="1636"/>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604"/>
      <c r="N883" s="1605"/>
      <c r="O883" s="1605"/>
      <c r="P883" s="1605"/>
      <c r="Q883" s="1605"/>
      <c r="R883" s="1605"/>
      <c r="S883" s="1605"/>
      <c r="T883" s="1605"/>
      <c r="U883" s="1605"/>
      <c r="V883" s="1606"/>
      <c r="W883" s="1436"/>
      <c r="X883" s="1437"/>
      <c r="Y883" s="1437"/>
      <c r="Z883" s="1437"/>
      <c r="AA883" s="1437"/>
      <c r="AB883" s="1437"/>
      <c r="AC883" s="1438"/>
      <c r="AD883" s="529"/>
      <c r="AV883" s="14"/>
      <c r="AW883" s="14"/>
      <c r="AX883" s="14"/>
      <c r="AY883" s="14"/>
      <c r="AZ883" s="34"/>
      <c r="BA883" s="34"/>
      <c r="BB883" s="34"/>
      <c r="BC883" s="34"/>
    </row>
    <row r="884" spans="3:55" ht="12.95" customHeight="1">
      <c r="C884" s="2" t="s">
        <v>1243</v>
      </c>
      <c r="J884" s="45" t="s">
        <v>170</v>
      </c>
      <c r="K884" s="5"/>
      <c r="L884" s="5"/>
      <c r="M884" s="1604"/>
      <c r="N884" s="1605"/>
      <c r="O884" s="1605"/>
      <c r="P884" s="1605"/>
      <c r="Q884" s="1605"/>
      <c r="R884" s="1605"/>
      <c r="S884" s="1605"/>
      <c r="T884" s="1605"/>
      <c r="U884" s="1605"/>
      <c r="V884" s="1606"/>
      <c r="W884" s="1436"/>
      <c r="X884" s="1437"/>
      <c r="Y884" s="1437"/>
      <c r="Z884" s="1437"/>
      <c r="AA884" s="1437"/>
      <c r="AB884" s="1437"/>
      <c r="AC884" s="1438"/>
      <c r="AD884" s="529"/>
      <c r="AV884" s="14"/>
      <c r="AW884" s="14"/>
      <c r="AX884" s="14"/>
      <c r="AY884" s="14"/>
      <c r="AZ884" s="34"/>
      <c r="BA884" s="34"/>
      <c r="BB884" s="34"/>
      <c r="BC884" s="34"/>
    </row>
    <row r="885" spans="3:55" ht="12.95" customHeight="1">
      <c r="J885" s="45" t="s">
        <v>170</v>
      </c>
      <c r="K885" s="5"/>
      <c r="L885" s="5"/>
      <c r="M885" s="1604"/>
      <c r="N885" s="1605"/>
      <c r="O885" s="1605"/>
      <c r="P885" s="1605"/>
      <c r="Q885" s="1605"/>
      <c r="R885" s="1605"/>
      <c r="S885" s="1605"/>
      <c r="T885" s="1605"/>
      <c r="U885" s="1605"/>
      <c r="V885" s="1606"/>
      <c r="W885" s="1436"/>
      <c r="X885" s="1437"/>
      <c r="Y885" s="1437"/>
      <c r="Z885" s="1437"/>
      <c r="AA885" s="1437"/>
      <c r="AB885" s="1437"/>
      <c r="AC885" s="1438"/>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04"/>
      <c r="N886" s="1605"/>
      <c r="O886" s="1605"/>
      <c r="P886" s="1605"/>
      <c r="Q886" s="1605"/>
      <c r="R886" s="1605"/>
      <c r="S886" s="1605"/>
      <c r="T886" s="1605"/>
      <c r="U886" s="1605"/>
      <c r="V886" s="1606"/>
      <c r="W886" s="1436"/>
      <c r="X886" s="1437"/>
      <c r="Y886" s="1437"/>
      <c r="Z886" s="1437"/>
      <c r="AA886" s="1437"/>
      <c r="AB886" s="1437"/>
      <c r="AC886" s="1438"/>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04" t="s">
        <v>334</v>
      </c>
      <c r="N887" s="1605"/>
      <c r="O887" s="1605"/>
      <c r="P887" s="1605"/>
      <c r="Q887" s="1605"/>
      <c r="R887" s="1605"/>
      <c r="S887" s="1605"/>
      <c r="T887" s="1605"/>
      <c r="U887" s="1605"/>
      <c r="V887" s="1606"/>
      <c r="W887" s="1436"/>
      <c r="X887" s="1437"/>
      <c r="Y887" s="1437"/>
      <c r="Z887" s="1437"/>
      <c r="AA887" s="1437"/>
      <c r="AB887" s="1437"/>
      <c r="AC887" s="1438"/>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99">
        <f>SUM(W883:W887)</f>
        <v>0</v>
      </c>
      <c r="X888" s="1500"/>
      <c r="Y888" s="1500"/>
      <c r="Z888" s="1500"/>
      <c r="AA888" s="1500"/>
      <c r="AB888" s="1500"/>
      <c r="AC888" s="1501"/>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500">
        <f>W855+W863+W870+W872+W881+W888+W857</f>
        <v>681312</v>
      </c>
      <c r="AD892" s="1500"/>
      <c r="AE892" s="1500"/>
      <c r="AF892" s="1500"/>
      <c r="AG892" s="1500"/>
      <c r="AH892" s="1501"/>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87">
        <f>O805+O785+G761</f>
        <v>108</v>
      </c>
      <c r="AD893" s="1687"/>
      <c r="AE893" s="1687"/>
      <c r="AF893" s="1687"/>
      <c r="AG893" s="1687"/>
      <c r="AH893" s="1688"/>
      <c r="AL893" s="4"/>
      <c r="AM893" s="4"/>
      <c r="AN893" s="4"/>
      <c r="AO893" s="4"/>
      <c r="AP893" s="4"/>
      <c r="AQ893" s="4"/>
      <c r="AR893" s="4"/>
      <c r="AS893" s="4"/>
      <c r="AT893" s="4"/>
      <c r="AZ893" s="34"/>
      <c r="BA893" s="34"/>
      <c r="BB893" s="34"/>
      <c r="BC893" s="34"/>
    </row>
    <row r="894" spans="3:55" ht="12.95" customHeight="1">
      <c r="C894" s="41"/>
      <c r="D894" s="42"/>
      <c r="E894" s="1684" t="s">
        <v>32</v>
      </c>
      <c r="F894" s="1684"/>
      <c r="G894" s="1684"/>
      <c r="H894" s="1684"/>
      <c r="I894" s="1684"/>
      <c r="J894" s="1684"/>
      <c r="K894" s="1684"/>
      <c r="L894" s="1684"/>
      <c r="M894" s="1684"/>
      <c r="N894" s="1684"/>
      <c r="O894" s="1684"/>
      <c r="P894" s="1684"/>
      <c r="Q894" s="1684"/>
      <c r="R894" s="1684"/>
      <c r="S894" s="1684"/>
      <c r="T894" s="1684"/>
      <c r="U894" s="1684"/>
      <c r="V894" s="1684"/>
      <c r="W894" s="1684"/>
      <c r="X894" s="1684"/>
      <c r="Y894" s="1684"/>
      <c r="Z894" s="1684"/>
      <c r="AA894" s="1684"/>
      <c r="AB894" s="1685"/>
      <c r="AC894" s="1636">
        <f>IF(ISERROR((ROUNDDOWN(AC892/AC893,0))),0,(ROUNDDOWN(AC892/AC893,0)))</f>
        <v>6308</v>
      </c>
      <c r="AD894" s="1636"/>
      <c r="AE894" s="1636"/>
      <c r="AF894" s="1636"/>
      <c r="AG894" s="1636"/>
      <c r="AH894" s="1636"/>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89"/>
      <c r="AD895" s="1690"/>
      <c r="AE895" s="1690"/>
      <c r="AF895" s="1690"/>
      <c r="AG895" s="1690"/>
      <c r="AH895" s="1690"/>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438"/>
      <c r="AD896" s="1495"/>
      <c r="AE896" s="1495"/>
      <c r="AF896" s="1495"/>
      <c r="AG896" s="1495"/>
      <c r="AH896" s="1495"/>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437">
        <v>18000</v>
      </c>
      <c r="AD897" s="1437"/>
      <c r="AE897" s="1437"/>
      <c r="AF897" s="1437"/>
      <c r="AG897" s="1437"/>
      <c r="AH897" s="1438"/>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7">
        <v>27000</v>
      </c>
      <c r="AD898" s="1437"/>
      <c r="AE898" s="1437"/>
      <c r="AF898" s="1437"/>
      <c r="AG898" s="1437"/>
      <c r="AH898" s="1438"/>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608">
        <v>15750</v>
      </c>
      <c r="AD899" s="1609"/>
      <c r="AE899" s="1609"/>
      <c r="AF899" s="1609"/>
      <c r="AG899" s="1609"/>
      <c r="AH899" s="1610"/>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7">
        <v>67938</v>
      </c>
      <c r="AD900" s="1437"/>
      <c r="AE900" s="1437"/>
      <c r="AF900" s="1437"/>
      <c r="AG900" s="1437"/>
      <c r="AH900" s="1438"/>
      <c r="AZ900" s="34"/>
      <c r="BA900" s="34"/>
      <c r="BB900" s="34"/>
      <c r="BC900" s="34"/>
    </row>
    <row r="901" spans="1:58" ht="12.95" hidden="1" customHeight="1">
      <c r="C901" s="1630" t="s">
        <v>2181</v>
      </c>
      <c r="D901" s="1631"/>
      <c r="E901" s="1631"/>
      <c r="F901" s="1631"/>
      <c r="G901" s="1631"/>
      <c r="H901" s="1631"/>
      <c r="I901" s="1631"/>
      <c r="J901" s="1631"/>
      <c r="K901" s="1631"/>
      <c r="L901" s="1631"/>
      <c r="M901" s="1631"/>
      <c r="N901" s="1631"/>
      <c r="O901" s="1631"/>
      <c r="P901" s="1631"/>
      <c r="Q901" s="1631"/>
      <c r="R901" s="1631"/>
      <c r="S901" s="1631"/>
      <c r="T901" s="1631"/>
      <c r="U901" s="1631"/>
      <c r="V901" s="1631"/>
      <c r="W901" s="1631"/>
      <c r="X901" s="1631"/>
      <c r="Y901" s="1631"/>
      <c r="Z901" s="1631"/>
      <c r="AA901" s="1631"/>
      <c r="AB901" s="1632"/>
      <c r="AC901" s="1437"/>
      <c r="AD901" s="1437"/>
      <c r="AE901" s="1437"/>
      <c r="AF901" s="1437"/>
      <c r="AG901" s="1437"/>
      <c r="AH901" s="1438"/>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437"/>
      <c r="AD902" s="1437"/>
      <c r="AE902" s="1437"/>
      <c r="AF902" s="1437"/>
      <c r="AG902" s="1437"/>
      <c r="AH902" s="1438"/>
      <c r="AZ902" s="34"/>
      <c r="BA902" s="34"/>
      <c r="BB902" s="34"/>
      <c r="BC902" s="34"/>
    </row>
    <row r="903" spans="1:58" ht="12.95" customHeight="1">
      <c r="C903" s="1614" t="s">
        <v>956</v>
      </c>
      <c r="D903" s="1615"/>
      <c r="E903" s="1615"/>
      <c r="F903" s="1615"/>
      <c r="G903" s="1615"/>
      <c r="H903" s="1615"/>
      <c r="I903" s="1615"/>
      <c r="J903" s="1615"/>
      <c r="K903" s="1615"/>
      <c r="L903" s="1615"/>
      <c r="M903" s="1615"/>
      <c r="N903" s="1615"/>
      <c r="O903" s="1615"/>
      <c r="P903" s="1615"/>
      <c r="Q903" s="1615"/>
      <c r="R903" s="1615"/>
      <c r="S903" s="1615"/>
      <c r="T903" s="1615"/>
      <c r="U903" s="1615"/>
      <c r="V903" s="1615"/>
      <c r="W903" s="1615"/>
      <c r="X903" s="1615"/>
      <c r="Y903" s="1615"/>
      <c r="Z903" s="1615"/>
      <c r="AA903" s="1615"/>
      <c r="AB903" s="1616"/>
      <c r="AC903" s="1495"/>
      <c r="AD903" s="1495"/>
      <c r="AE903" s="1495"/>
      <c r="AF903" s="1495"/>
      <c r="AG903" s="1495"/>
      <c r="AH903" s="1495"/>
      <c r="AZ903" s="34"/>
      <c r="BA903" s="34"/>
      <c r="BB903" s="34"/>
      <c r="BC903" s="34"/>
    </row>
    <row r="904" spans="1:58" ht="12.95" customHeight="1">
      <c r="C904" s="1614" t="s">
        <v>956</v>
      </c>
      <c r="D904" s="1615"/>
      <c r="E904" s="1615"/>
      <c r="F904" s="1615"/>
      <c r="G904" s="1615"/>
      <c r="H904" s="1615"/>
      <c r="I904" s="1615"/>
      <c r="J904" s="1615"/>
      <c r="K904" s="1615"/>
      <c r="L904" s="1615"/>
      <c r="M904" s="1615"/>
      <c r="N904" s="1615"/>
      <c r="O904" s="1615"/>
      <c r="P904" s="1615"/>
      <c r="Q904" s="1615"/>
      <c r="R904" s="1615"/>
      <c r="S904" s="1615"/>
      <c r="T904" s="1615"/>
      <c r="U904" s="1615"/>
      <c r="V904" s="1615"/>
      <c r="W904" s="1615"/>
      <c r="X904" s="1615"/>
      <c r="Y904" s="1615"/>
      <c r="Z904" s="1615"/>
      <c r="AA904" s="1615"/>
      <c r="AB904" s="1616"/>
      <c r="AC904" s="1495"/>
      <c r="AD904" s="1495"/>
      <c r="AE904" s="1495"/>
      <c r="AF904" s="1495"/>
      <c r="AG904" s="1495"/>
      <c r="AH904" s="1495"/>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36"/>
      <c r="AA908" s="1437"/>
      <c r="AB908" s="1437"/>
      <c r="AC908" s="1437"/>
      <c r="AD908" s="1437"/>
      <c r="AE908" s="1438"/>
      <c r="AF908" s="529"/>
      <c r="AZ908" s="34"/>
      <c r="BB908" s="30"/>
      <c r="BC908" s="807"/>
      <c r="BD908" s="1626"/>
      <c r="BE908" s="1626"/>
      <c r="BF908" s="14"/>
    </row>
    <row r="909" spans="1:58" ht="12.95" customHeight="1">
      <c r="H909" s="121" t="s">
        <v>239</v>
      </c>
      <c r="I909" s="5"/>
      <c r="J909" s="5"/>
      <c r="K909" s="5"/>
      <c r="L909" s="5"/>
      <c r="M909" s="5"/>
      <c r="N909" s="5"/>
      <c r="O909" s="5"/>
      <c r="P909" s="5"/>
      <c r="Q909" s="5"/>
      <c r="R909" s="5"/>
      <c r="S909" s="5"/>
      <c r="T909" s="5"/>
      <c r="U909" s="5"/>
      <c r="V909" s="5"/>
      <c r="W909" s="5"/>
      <c r="X909" s="5"/>
      <c r="Y909" s="5"/>
      <c r="Z909" s="1436"/>
      <c r="AA909" s="1437"/>
      <c r="AB909" s="1437"/>
      <c r="AC909" s="1437"/>
      <c r="AD909" s="1437"/>
      <c r="AE909" s="1438"/>
      <c r="AZ909" s="34"/>
      <c r="BB909" s="30"/>
      <c r="BC909" s="807"/>
      <c r="BD909" s="1626"/>
      <c r="BE909" s="1626"/>
      <c r="BF909" s="14"/>
    </row>
    <row r="910" spans="1:58" ht="12.95" customHeight="1">
      <c r="H910" s="121" t="s">
        <v>240</v>
      </c>
      <c r="I910" s="5"/>
      <c r="J910" s="5"/>
      <c r="K910" s="5"/>
      <c r="L910" s="5"/>
      <c r="M910" s="5"/>
      <c r="N910" s="5"/>
      <c r="O910" s="5"/>
      <c r="P910" s="5"/>
      <c r="Q910" s="5"/>
      <c r="R910" s="5"/>
      <c r="S910" s="5"/>
      <c r="T910" s="5"/>
      <c r="U910" s="5"/>
      <c r="V910" s="5"/>
      <c r="W910" s="5"/>
      <c r="X910" s="5"/>
      <c r="Y910" s="5"/>
      <c r="Z910" s="1436"/>
      <c r="AA910" s="1437"/>
      <c r="AB910" s="1437"/>
      <c r="AC910" s="1437"/>
      <c r="AD910" s="1437"/>
      <c r="AE910" s="1438"/>
      <c r="AZ910" s="34"/>
      <c r="BB910" s="30"/>
      <c r="BC910" s="807"/>
      <c r="BD910" s="1625"/>
      <c r="BE910" s="1625"/>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99">
        <f>Z908-(Z909+Z910)</f>
        <v>0</v>
      </c>
      <c r="AA911" s="1500"/>
      <c r="AB911" s="1500"/>
      <c r="AC911" s="1500"/>
      <c r="AD911" s="1500"/>
      <c r="AE911" s="1501"/>
      <c r="AZ911" s="34"/>
      <c r="BB911" s="30"/>
      <c r="BC911" s="807"/>
      <c r="BD911" s="1625"/>
      <c r="BE911" s="1625"/>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5"/>
      <c r="BE912" s="1625"/>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6"/>
      <c r="BE913" s="1625"/>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3"/>
      <c r="BE914" s="1683"/>
      <c r="BF914" s="1683"/>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37"/>
      <c r="BE915" s="1637"/>
      <c r="BF915" s="1637"/>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5"/>
      <c r="BE916" s="1625"/>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6"/>
      <c r="BE917" s="1625"/>
      <c r="BF917" s="14"/>
    </row>
    <row r="918" spans="1:58" ht="12.95" customHeight="1">
      <c r="AZ918" s="34"/>
      <c r="BB918" s="30"/>
      <c r="BC918" s="807"/>
    </row>
    <row r="919" spans="1:58" ht="12.95" customHeight="1">
      <c r="A919" s="1486" t="s">
        <v>96</v>
      </c>
      <c r="B919" s="1486"/>
      <c r="C919" s="1486"/>
      <c r="D919" s="1486"/>
      <c r="E919" s="1486"/>
      <c r="F919" s="1486"/>
      <c r="G919" s="1486"/>
      <c r="H919" s="1486"/>
      <c r="I919" s="1486"/>
      <c r="J919" s="1486"/>
      <c r="K919" s="1486"/>
      <c r="L919" s="1486"/>
      <c r="M919" s="1486"/>
      <c r="N919" s="1486"/>
      <c r="O919" s="1486"/>
      <c r="P919" s="1486"/>
      <c r="Q919" s="1486"/>
      <c r="R919" s="1486"/>
      <c r="S919" s="1486"/>
      <c r="T919" s="1486"/>
      <c r="U919" s="1486"/>
      <c r="V919" s="1486"/>
      <c r="W919" s="1486"/>
      <c r="X919" s="1486"/>
      <c r="Y919" s="1486"/>
      <c r="Z919" s="1486"/>
      <c r="AA919" s="1486"/>
      <c r="AB919" s="1486"/>
      <c r="AC919" s="1486"/>
      <c r="AD919" s="1486"/>
      <c r="AE919" s="1486"/>
      <c r="AF919" s="1486"/>
      <c r="AG919" s="1486"/>
      <c r="AH919" s="1486"/>
      <c r="AI919" s="1486"/>
      <c r="AJ919" s="1486"/>
      <c r="AK919" s="1486"/>
      <c r="AL919" s="1486"/>
      <c r="AM919" s="1486"/>
      <c r="AN919" s="1486"/>
      <c r="AO919" s="1486"/>
      <c r="AP919" s="1486"/>
      <c r="AQ919" s="1486"/>
      <c r="AR919" s="1486"/>
      <c r="AS919" s="1486"/>
      <c r="AT919" s="1486"/>
      <c r="AZ919" s="34"/>
      <c r="BA919" s="34"/>
      <c r="BB919" s="30"/>
      <c r="BC919" s="30"/>
      <c r="BD919" s="1626"/>
      <c r="BE919" s="1625"/>
      <c r="BF919" s="902"/>
    </row>
    <row r="920" spans="1:58" ht="12.95" customHeight="1">
      <c r="A920" s="1486"/>
      <c r="B920" s="1486"/>
      <c r="C920" s="1486"/>
      <c r="D920" s="1486"/>
      <c r="E920" s="1486"/>
      <c r="F920" s="1486"/>
      <c r="G920" s="1486"/>
      <c r="H920" s="1486"/>
      <c r="I920" s="1486"/>
      <c r="J920" s="1486"/>
      <c r="K920" s="1486"/>
      <c r="L920" s="1486"/>
      <c r="M920" s="1486"/>
      <c r="N920" s="1486"/>
      <c r="O920" s="1486"/>
      <c r="P920" s="1486"/>
      <c r="Q920" s="1486"/>
      <c r="R920" s="1486"/>
      <c r="S920" s="1486"/>
      <c r="T920" s="1486"/>
      <c r="U920" s="1486"/>
      <c r="V920" s="1486"/>
      <c r="W920" s="1486"/>
      <c r="X920" s="1486"/>
      <c r="Y920" s="1486"/>
      <c r="Z920" s="1486"/>
      <c r="AA920" s="1486"/>
      <c r="AB920" s="1486"/>
      <c r="AC920" s="1486"/>
      <c r="AD920" s="1486"/>
      <c r="AE920" s="1486"/>
      <c r="AF920" s="1486"/>
      <c r="AG920" s="1486"/>
      <c r="AH920" s="1486"/>
      <c r="AI920" s="1486"/>
      <c r="AJ920" s="1486"/>
      <c r="AK920" s="1486"/>
      <c r="AL920" s="1486"/>
      <c r="AM920" s="1486"/>
      <c r="AN920" s="1486"/>
      <c r="AO920" s="1486"/>
      <c r="AP920" s="1486"/>
      <c r="AQ920" s="1486"/>
      <c r="AR920" s="1486"/>
      <c r="AS920" s="1486"/>
      <c r="AT920" s="1486"/>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33" t="s">
        <v>792</v>
      </c>
      <c r="G924" s="1634"/>
      <c r="H924" s="1634"/>
      <c r="I924" s="1634"/>
      <c r="J924" s="1634"/>
      <c r="K924" s="1634"/>
      <c r="L924" s="1634"/>
      <c r="M924" s="1634"/>
      <c r="N924" s="1634"/>
      <c r="O924" s="1634"/>
      <c r="P924" s="1634"/>
      <c r="Q924" s="1634"/>
      <c r="R924" s="1634"/>
      <c r="S924" s="1634"/>
      <c r="T924" s="1635"/>
      <c r="U924" s="1550" t="s">
        <v>31</v>
      </c>
      <c r="V924" s="1551"/>
      <c r="W924" s="1551"/>
      <c r="X924" s="1551"/>
      <c r="Y924" s="1551"/>
      <c r="Z924" s="1551"/>
      <c r="AA924" s="43"/>
      <c r="AB924" s="105"/>
      <c r="AC924" s="105"/>
      <c r="AD924" s="105"/>
      <c r="AE924" s="105"/>
      <c r="AF924" s="106"/>
      <c r="AZ924" s="34"/>
      <c r="BA924" s="34"/>
      <c r="BB924" s="34"/>
      <c r="BC924" s="34"/>
    </row>
    <row r="925" spans="1:58" ht="12.95" customHeight="1">
      <c r="B925" s="2"/>
      <c r="F925" s="1552" t="s">
        <v>818</v>
      </c>
      <c r="G925" s="1553"/>
      <c r="H925" s="1553"/>
      <c r="I925" s="1553"/>
      <c r="J925" s="1553"/>
      <c r="K925" s="1553"/>
      <c r="L925" s="1553"/>
      <c r="M925" s="1553"/>
      <c r="N925" s="1553"/>
      <c r="O925" s="1553"/>
      <c r="P925" s="1553"/>
      <c r="Q925" s="1553"/>
      <c r="R925" s="1553"/>
      <c r="S925" s="1553"/>
      <c r="T925" s="1592"/>
      <c r="U925" s="1552"/>
      <c r="V925" s="1553"/>
      <c r="W925" s="1553"/>
      <c r="X925" s="1553"/>
      <c r="Y925" s="1553"/>
      <c r="Z925" s="1553"/>
      <c r="AA925" s="44"/>
      <c r="AB925" s="4"/>
      <c r="AC925" s="4"/>
      <c r="AD925" s="4"/>
      <c r="AE925" s="4"/>
      <c r="AF925" s="107"/>
      <c r="AZ925" s="34"/>
      <c r="BA925" s="34"/>
      <c r="BB925" s="34"/>
      <c r="BC925" s="34"/>
    </row>
    <row r="926" spans="1:58" ht="12.95" customHeight="1">
      <c r="B926" s="2"/>
      <c r="F926" s="1554"/>
      <c r="G926" s="1555"/>
      <c r="H926" s="1555"/>
      <c r="I926" s="1555"/>
      <c r="J926" s="1555"/>
      <c r="K926" s="1555"/>
      <c r="L926" s="1555"/>
      <c r="M926" s="1555"/>
      <c r="N926" s="1555"/>
      <c r="O926" s="1555"/>
      <c r="P926" s="1555"/>
      <c r="Q926" s="1555"/>
      <c r="R926" s="1555"/>
      <c r="S926" s="1555"/>
      <c r="T926" s="1593"/>
      <c r="U926" s="1554"/>
      <c r="V926" s="1555"/>
      <c r="W926" s="1555"/>
      <c r="X926" s="1555"/>
      <c r="Y926" s="1555"/>
      <c r="Z926" s="1555"/>
      <c r="AA926" s="108"/>
      <c r="AB926" s="1623" t="s">
        <v>391</v>
      </c>
      <c r="AC926" s="1623"/>
      <c r="AD926" s="1623"/>
      <c r="AE926" s="1623"/>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325" t="s">
        <v>545</v>
      </c>
      <c r="V927" s="1326"/>
      <c r="W927" s="1326"/>
      <c r="X927" s="1326"/>
      <c r="Y927" s="1326"/>
      <c r="Z927" s="1327"/>
      <c r="AA927" s="1391">
        <v>14900000</v>
      </c>
      <c r="AB927" s="1392"/>
      <c r="AC927" s="1392"/>
      <c r="AD927" s="1392"/>
      <c r="AE927" s="1392"/>
      <c r="AF927" s="1393"/>
      <c r="AG927" s="1186" t="str">
        <f>IF(NOT(AA927=AW927),"!","")</f>
        <v/>
      </c>
      <c r="AH927" s="3"/>
      <c r="AW927" s="1313">
        <f>SUMIF($M$562:$M$573,"Loan, Tax-Exempt",$AM$562:$AM$573)</f>
        <v>14900000</v>
      </c>
      <c r="AX927" s="1313"/>
      <c r="AY927" s="1313"/>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325" t="s">
        <v>591</v>
      </c>
      <c r="V928" s="1326"/>
      <c r="W928" s="1326"/>
      <c r="X928" s="1326"/>
      <c r="Y928" s="1326"/>
      <c r="Z928" s="1327"/>
      <c r="AA928" s="1391"/>
      <c r="AB928" s="1392"/>
      <c r="AC928" s="1392"/>
      <c r="AD928" s="1392"/>
      <c r="AE928" s="1392"/>
      <c r="AF928" s="1393"/>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325" t="s">
        <v>591</v>
      </c>
      <c r="V929" s="1326"/>
      <c r="W929" s="1326"/>
      <c r="X929" s="1326"/>
      <c r="Y929" s="1326"/>
      <c r="Z929" s="1327"/>
      <c r="AA929" s="1391"/>
      <c r="AB929" s="1392"/>
      <c r="AC929" s="1392"/>
      <c r="AD929" s="1392"/>
      <c r="AE929" s="1392"/>
      <c r="AF929" s="1393"/>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325" t="s">
        <v>591</v>
      </c>
      <c r="V930" s="1326"/>
      <c r="W930" s="1326"/>
      <c r="X930" s="1326"/>
      <c r="Y930" s="1326"/>
      <c r="Z930" s="1327"/>
      <c r="AA930" s="1391"/>
      <c r="AB930" s="1392"/>
      <c r="AC930" s="1392"/>
      <c r="AD930" s="1392"/>
      <c r="AE930" s="1392"/>
      <c r="AF930" s="1393"/>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325" t="s">
        <v>591</v>
      </c>
      <c r="V931" s="1326"/>
      <c r="W931" s="1326"/>
      <c r="X931" s="1326"/>
      <c r="Y931" s="1326"/>
      <c r="Z931" s="1327"/>
      <c r="AA931" s="1391"/>
      <c r="AB931" s="1392"/>
      <c r="AC931" s="1392"/>
      <c r="AD931" s="1392"/>
      <c r="AE931" s="1392"/>
      <c r="AF931" s="1393"/>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325" t="s">
        <v>591</v>
      </c>
      <c r="V932" s="1326"/>
      <c r="W932" s="1326"/>
      <c r="X932" s="1326"/>
      <c r="Y932" s="1326"/>
      <c r="Z932" s="1327"/>
      <c r="AA932" s="1391"/>
      <c r="AB932" s="1392"/>
      <c r="AC932" s="1392"/>
      <c r="AD932" s="1392"/>
      <c r="AE932" s="1392"/>
      <c r="AF932" s="1393"/>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325" t="s">
        <v>591</v>
      </c>
      <c r="V933" s="1326"/>
      <c r="W933" s="1326"/>
      <c r="X933" s="1326"/>
      <c r="Y933" s="1326"/>
      <c r="Z933" s="1327"/>
      <c r="AA933" s="1391"/>
      <c r="AB933" s="1392"/>
      <c r="AC933" s="1392"/>
      <c r="AD933" s="1392"/>
      <c r="AE933" s="1392"/>
      <c r="AF933" s="1393"/>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325" t="s">
        <v>591</v>
      </c>
      <c r="V934" s="1326"/>
      <c r="W934" s="1326"/>
      <c r="X934" s="1326"/>
      <c r="Y934" s="1326"/>
      <c r="Z934" s="1327"/>
      <c r="AA934" s="1391"/>
      <c r="AB934" s="1392"/>
      <c r="AC934" s="1392"/>
      <c r="AD934" s="1392"/>
      <c r="AE934" s="1392"/>
      <c r="AF934" s="1393"/>
      <c r="AZ934" s="34"/>
      <c r="BA934" s="34"/>
      <c r="BB934" s="34"/>
      <c r="BC934" s="34"/>
    </row>
    <row r="935" spans="6:55" ht="12.95" customHeight="1">
      <c r="F935" s="1594" t="s">
        <v>2141</v>
      </c>
      <c r="G935" s="1595"/>
      <c r="H935" s="1595"/>
      <c r="I935" s="1595"/>
      <c r="J935" s="1595"/>
      <c r="K935" s="1595"/>
      <c r="L935" s="1595"/>
      <c r="M935" s="1595"/>
      <c r="N935" s="1595"/>
      <c r="O935" s="1595"/>
      <c r="P935" s="1595"/>
      <c r="Q935" s="1595"/>
      <c r="R935" s="1595"/>
      <c r="S935" s="1595"/>
      <c r="T935" s="1596"/>
      <c r="U935" s="1325" t="s">
        <v>591</v>
      </c>
      <c r="V935" s="1326"/>
      <c r="W935" s="1326"/>
      <c r="X935" s="1326"/>
      <c r="Y935" s="1326"/>
      <c r="Z935" s="1327"/>
      <c r="AA935" s="1391"/>
      <c r="AB935" s="1392"/>
      <c r="AC935" s="1392"/>
      <c r="AD935" s="1392"/>
      <c r="AE935" s="1392"/>
      <c r="AF935" s="1393"/>
      <c r="AZ935" s="34"/>
      <c r="BA935" s="34"/>
      <c r="BB935" s="34"/>
      <c r="BC935" s="34"/>
    </row>
    <row r="936" spans="6:55" ht="12.95" customHeight="1">
      <c r="F936" s="1594" t="s">
        <v>679</v>
      </c>
      <c r="G936" s="1595"/>
      <c r="H936" s="1595"/>
      <c r="I936" s="1595"/>
      <c r="J936" s="1595"/>
      <c r="K936" s="1595"/>
      <c r="L936" s="1595"/>
      <c r="M936" s="1595"/>
      <c r="N936" s="1595"/>
      <c r="O936" s="1595"/>
      <c r="P936" s="1595"/>
      <c r="Q936" s="1595"/>
      <c r="R936" s="1595"/>
      <c r="S936" s="1595"/>
      <c r="T936" s="1596"/>
      <c r="U936" s="1325" t="s">
        <v>591</v>
      </c>
      <c r="V936" s="1326"/>
      <c r="W936" s="1326"/>
      <c r="X936" s="1326"/>
      <c r="Y936" s="1326"/>
      <c r="Z936" s="1327"/>
      <c r="AA936" s="1391"/>
      <c r="AB936" s="1392"/>
      <c r="AC936" s="1392"/>
      <c r="AD936" s="1392"/>
      <c r="AE936" s="1392"/>
      <c r="AF936" s="1393"/>
      <c r="AU936" s="2"/>
      <c r="AZ936" s="34"/>
      <c r="BA936" s="34"/>
      <c r="BB936" s="34"/>
      <c r="BC936" s="34"/>
    </row>
    <row r="937" spans="6:55" ht="12.95" customHeight="1">
      <c r="F937" s="1594" t="s">
        <v>2142</v>
      </c>
      <c r="G937" s="1595"/>
      <c r="H937" s="1595"/>
      <c r="I937" s="1595"/>
      <c r="J937" s="1595"/>
      <c r="K937" s="1595"/>
      <c r="L937" s="1595"/>
      <c r="M937" s="1595"/>
      <c r="N937" s="1595"/>
      <c r="O937" s="1595"/>
      <c r="P937" s="1595"/>
      <c r="Q937" s="1595"/>
      <c r="R937" s="1595"/>
      <c r="S937" s="1595"/>
      <c r="T937" s="1596"/>
      <c r="U937" s="1325" t="s">
        <v>591</v>
      </c>
      <c r="V937" s="1326"/>
      <c r="W937" s="1326"/>
      <c r="X937" s="1326"/>
      <c r="Y937" s="1326"/>
      <c r="Z937" s="1327"/>
      <c r="AA937" s="1391"/>
      <c r="AB937" s="1392"/>
      <c r="AC937" s="1392"/>
      <c r="AD937" s="1392"/>
      <c r="AE937" s="1392"/>
      <c r="AF937" s="1393"/>
      <c r="AU937" s="2"/>
      <c r="AZ937" s="34"/>
      <c r="BA937" s="34"/>
      <c r="BB937" s="34"/>
      <c r="BC937" s="34"/>
    </row>
    <row r="938" spans="6:55" ht="12.95" customHeight="1">
      <c r="F938" s="1594" t="s">
        <v>2143</v>
      </c>
      <c r="G938" s="1595"/>
      <c r="H938" s="1595"/>
      <c r="I938" s="1595"/>
      <c r="J938" s="1595"/>
      <c r="K938" s="1595"/>
      <c r="L938" s="1595"/>
      <c r="M938" s="1595"/>
      <c r="N938" s="1595"/>
      <c r="O938" s="1595"/>
      <c r="P938" s="1595"/>
      <c r="Q938" s="1595"/>
      <c r="R938" s="1595"/>
      <c r="S938" s="1595"/>
      <c r="T938" s="1596"/>
      <c r="U938" s="1325" t="s">
        <v>591</v>
      </c>
      <c r="V938" s="1326"/>
      <c r="W938" s="1326"/>
      <c r="X938" s="1326"/>
      <c r="Y938" s="1326"/>
      <c r="Z938" s="1327"/>
      <c r="AA938" s="1391"/>
      <c r="AB938" s="1392"/>
      <c r="AC938" s="1392"/>
      <c r="AD938" s="1392"/>
      <c r="AE938" s="1392"/>
      <c r="AF938" s="1393"/>
      <c r="AU938" s="2"/>
      <c r="AZ938" s="34"/>
      <c r="BA938" s="34"/>
      <c r="BB938" s="34"/>
      <c r="BC938" s="34"/>
    </row>
    <row r="939" spans="6:55" ht="12.95" customHeight="1">
      <c r="F939" s="1594" t="s">
        <v>2144</v>
      </c>
      <c r="G939" s="1595"/>
      <c r="H939" s="1595"/>
      <c r="I939" s="1595"/>
      <c r="J939" s="1595"/>
      <c r="K939" s="1595"/>
      <c r="L939" s="1595"/>
      <c r="M939" s="1595"/>
      <c r="N939" s="1595"/>
      <c r="O939" s="1595"/>
      <c r="P939" s="1595"/>
      <c r="Q939" s="1595"/>
      <c r="R939" s="1595"/>
      <c r="S939" s="1595"/>
      <c r="T939" s="1596"/>
      <c r="U939" s="1325" t="s">
        <v>591</v>
      </c>
      <c r="V939" s="1326"/>
      <c r="W939" s="1326"/>
      <c r="X939" s="1326"/>
      <c r="Y939" s="1326"/>
      <c r="Z939" s="1327"/>
      <c r="AA939" s="1391"/>
      <c r="AB939" s="1392"/>
      <c r="AC939" s="1392"/>
      <c r="AD939" s="1392"/>
      <c r="AE939" s="1392"/>
      <c r="AF939" s="1393"/>
      <c r="AU939" s="2"/>
      <c r="AZ939" s="34"/>
      <c r="BA939" s="34"/>
      <c r="BB939" s="34"/>
      <c r="BC939" s="34"/>
    </row>
    <row r="940" spans="6:55" ht="12.95" customHeight="1">
      <c r="F940" s="1594" t="s">
        <v>2145</v>
      </c>
      <c r="G940" s="1595"/>
      <c r="H940" s="1595"/>
      <c r="I940" s="1595"/>
      <c r="J940" s="1595"/>
      <c r="K940" s="1595"/>
      <c r="L940" s="1595"/>
      <c r="M940" s="1595"/>
      <c r="N940" s="1595"/>
      <c r="O940" s="1595"/>
      <c r="P940" s="1595"/>
      <c r="Q940" s="1595"/>
      <c r="R940" s="1595"/>
      <c r="S940" s="1595"/>
      <c r="T940" s="1596"/>
      <c r="U940" s="1325" t="s">
        <v>591</v>
      </c>
      <c r="V940" s="1326"/>
      <c r="W940" s="1326"/>
      <c r="X940" s="1326"/>
      <c r="Y940" s="1326"/>
      <c r="Z940" s="1327"/>
      <c r="AA940" s="1391"/>
      <c r="AB940" s="1392"/>
      <c r="AC940" s="1392"/>
      <c r="AD940" s="1392"/>
      <c r="AE940" s="1392"/>
      <c r="AF940" s="1393"/>
      <c r="AU940" s="2"/>
      <c r="AZ940" s="34"/>
      <c r="BA940" s="34"/>
      <c r="BB940" s="34"/>
      <c r="BC940" s="34"/>
    </row>
    <row r="941" spans="6:55" ht="12.95" customHeight="1">
      <c r="F941" s="1594" t="s">
        <v>2146</v>
      </c>
      <c r="G941" s="1595"/>
      <c r="H941" s="1595"/>
      <c r="I941" s="1595"/>
      <c r="J941" s="1595"/>
      <c r="K941" s="1595"/>
      <c r="L941" s="1595"/>
      <c r="M941" s="1595"/>
      <c r="N941" s="1595"/>
      <c r="O941" s="1595"/>
      <c r="P941" s="1595"/>
      <c r="Q941" s="1595"/>
      <c r="R941" s="1595"/>
      <c r="S941" s="1595"/>
      <c r="T941" s="1596"/>
      <c r="U941" s="1325" t="s">
        <v>591</v>
      </c>
      <c r="V941" s="1326"/>
      <c r="W941" s="1326"/>
      <c r="X941" s="1326"/>
      <c r="Y941" s="1326"/>
      <c r="Z941" s="1327"/>
      <c r="AA941" s="1391"/>
      <c r="AB941" s="1392"/>
      <c r="AC941" s="1392"/>
      <c r="AD941" s="1392"/>
      <c r="AE941" s="1392"/>
      <c r="AF941" s="1393"/>
      <c r="AZ941" s="30"/>
      <c r="BA941" s="30"/>
    </row>
    <row r="942" spans="6:55" ht="12.95" customHeight="1">
      <c r="F942" s="178" t="s">
        <v>676</v>
      </c>
      <c r="G942" s="5"/>
      <c r="H942" s="5"/>
      <c r="I942" s="5"/>
      <c r="J942" s="5"/>
      <c r="K942" s="5"/>
      <c r="L942" s="5"/>
      <c r="M942" s="5"/>
      <c r="N942" s="5"/>
      <c r="O942" s="5"/>
      <c r="P942" s="5"/>
      <c r="Q942" s="5"/>
      <c r="R942" s="5"/>
      <c r="S942" s="5"/>
      <c r="T942" s="46"/>
      <c r="U942" s="1325" t="s">
        <v>591</v>
      </c>
      <c r="V942" s="1326"/>
      <c r="W942" s="1326"/>
      <c r="X942" s="1326"/>
      <c r="Y942" s="1326"/>
      <c r="Z942" s="1327"/>
      <c r="AA942" s="1391"/>
      <c r="AB942" s="1392"/>
      <c r="AC942" s="1392"/>
      <c r="AD942" s="1392"/>
      <c r="AE942" s="1392"/>
      <c r="AF942" s="1393"/>
    </row>
    <row r="943" spans="6:55" ht="12.95" customHeight="1">
      <c r="F943" s="121" t="s">
        <v>1276</v>
      </c>
      <c r="G943" s="5"/>
      <c r="H943" s="5"/>
      <c r="I943" s="5"/>
      <c r="J943" s="5"/>
      <c r="K943" s="5"/>
      <c r="L943" s="5"/>
      <c r="M943" s="5"/>
      <c r="N943" s="5"/>
      <c r="O943" s="5"/>
      <c r="P943" s="5"/>
      <c r="Q943" s="5"/>
      <c r="R943" s="5"/>
      <c r="S943" s="5"/>
      <c r="T943" s="46"/>
      <c r="U943" s="1325" t="s">
        <v>591</v>
      </c>
      <c r="V943" s="1326"/>
      <c r="W943" s="1326"/>
      <c r="X943" s="1326"/>
      <c r="Y943" s="1326"/>
      <c r="Z943" s="1327"/>
      <c r="AA943" s="1391"/>
      <c r="AB943" s="1392"/>
      <c r="AC943" s="1392"/>
      <c r="AD943" s="1392"/>
      <c r="AE943" s="1392"/>
      <c r="AF943" s="1393"/>
      <c r="AZ943" s="30"/>
      <c r="BA943" s="14"/>
    </row>
    <row r="944" spans="6:55" ht="12.95" customHeight="1">
      <c r="F944" s="66" t="s">
        <v>802</v>
      </c>
      <c r="G944" s="5"/>
      <c r="H944" s="5"/>
      <c r="I944" s="5"/>
      <c r="J944" s="5"/>
      <c r="K944" s="5"/>
      <c r="L944" s="5"/>
      <c r="M944" s="5"/>
      <c r="N944" s="5"/>
      <c r="O944" s="5"/>
      <c r="P944" s="5"/>
      <c r="Q944" s="5"/>
      <c r="R944" s="5"/>
      <c r="S944" s="5"/>
      <c r="T944" s="46"/>
      <c r="U944" s="1325" t="s">
        <v>591</v>
      </c>
      <c r="V944" s="1326"/>
      <c r="W944" s="1326"/>
      <c r="X944" s="1326"/>
      <c r="Y944" s="1326"/>
      <c r="Z944" s="1327"/>
      <c r="AA944" s="1391"/>
      <c r="AB944" s="1392"/>
      <c r="AC944" s="1392"/>
      <c r="AD944" s="1392"/>
      <c r="AE944" s="1392"/>
      <c r="AF944" s="1393"/>
      <c r="AZ944" s="30"/>
      <c r="BA944" s="14"/>
    </row>
    <row r="945" spans="6:55" ht="12.95" customHeight="1">
      <c r="F945" s="1600" t="s">
        <v>2150</v>
      </c>
      <c r="G945" s="1601"/>
      <c r="H945" s="1601"/>
      <c r="I945" s="1601"/>
      <c r="J945" s="1601"/>
      <c r="K945" s="1601"/>
      <c r="L945" s="1601"/>
      <c r="M945" s="1601"/>
      <c r="N945" s="1601"/>
      <c r="O945" s="1601"/>
      <c r="P945" s="1601"/>
      <c r="Q945" s="1601"/>
      <c r="R945" s="1601"/>
      <c r="S945" s="1601"/>
      <c r="T945" s="1602"/>
      <c r="U945" s="1325" t="s">
        <v>591</v>
      </c>
      <c r="V945" s="1326"/>
      <c r="W945" s="1326"/>
      <c r="X945" s="1326"/>
      <c r="Y945" s="1326"/>
      <c r="Z945" s="1327"/>
      <c r="AA945" s="1391"/>
      <c r="AB945" s="1392"/>
      <c r="AC945" s="1392"/>
      <c r="AD945" s="1392"/>
      <c r="AE945" s="1392"/>
      <c r="AF945" s="1393"/>
      <c r="AZ945" s="30"/>
      <c r="BA945" s="14"/>
    </row>
    <row r="946" spans="6:55" ht="12.95" customHeight="1">
      <c r="F946" s="1600" t="s">
        <v>2151</v>
      </c>
      <c r="G946" s="1601"/>
      <c r="H946" s="1601"/>
      <c r="I946" s="1601"/>
      <c r="J946" s="1601"/>
      <c r="K946" s="1601"/>
      <c r="L946" s="1601"/>
      <c r="M946" s="1601"/>
      <c r="N946" s="1601"/>
      <c r="O946" s="1601"/>
      <c r="P946" s="1601"/>
      <c r="Q946" s="1601"/>
      <c r="R946" s="1601"/>
      <c r="S946" s="1601"/>
      <c r="T946" s="1602"/>
      <c r="U946" s="1325" t="s">
        <v>591</v>
      </c>
      <c r="V946" s="1326"/>
      <c r="W946" s="1326"/>
      <c r="X946" s="1326"/>
      <c r="Y946" s="1326"/>
      <c r="Z946" s="1327"/>
      <c r="AA946" s="1391"/>
      <c r="AB946" s="1392"/>
      <c r="AC946" s="1392"/>
      <c r="AD946" s="1392"/>
      <c r="AE946" s="1392"/>
      <c r="AF946" s="1393"/>
      <c r="AZ946" s="30"/>
      <c r="BA946" s="30"/>
    </row>
    <row r="947" spans="6:55" ht="12.95" customHeight="1">
      <c r="F947" s="1594" t="s">
        <v>2147</v>
      </c>
      <c r="G947" s="1595"/>
      <c r="H947" s="1595"/>
      <c r="I947" s="1595"/>
      <c r="J947" s="1595"/>
      <c r="K947" s="1595"/>
      <c r="L947" s="1595"/>
      <c r="M947" s="1595"/>
      <c r="N947" s="1595"/>
      <c r="O947" s="1595"/>
      <c r="P947" s="1595"/>
      <c r="Q947" s="1595"/>
      <c r="R947" s="1595"/>
      <c r="S947" s="1595"/>
      <c r="T947" s="1596"/>
      <c r="U947" s="1325" t="s">
        <v>591</v>
      </c>
      <c r="V947" s="1326"/>
      <c r="W947" s="1326"/>
      <c r="X947" s="1326"/>
      <c r="Y947" s="1326"/>
      <c r="Z947" s="1327"/>
      <c r="AA947" s="1391"/>
      <c r="AB947" s="1392"/>
      <c r="AC947" s="1392"/>
      <c r="AD947" s="1392"/>
      <c r="AE947" s="1392"/>
      <c r="AF947" s="1393"/>
      <c r="AZ947" s="30"/>
      <c r="BA947" s="30"/>
    </row>
    <row r="948" spans="6:55" ht="12.95" customHeight="1">
      <c r="F948" s="1594" t="s">
        <v>2148</v>
      </c>
      <c r="G948" s="1595"/>
      <c r="H948" s="1595"/>
      <c r="I948" s="1595"/>
      <c r="J948" s="1595"/>
      <c r="K948" s="1595"/>
      <c r="L948" s="1595"/>
      <c r="M948" s="1595"/>
      <c r="N948" s="1595"/>
      <c r="O948" s="1595"/>
      <c r="P948" s="1595"/>
      <c r="Q948" s="1595"/>
      <c r="R948" s="1595"/>
      <c r="S948" s="1595"/>
      <c r="T948" s="1596"/>
      <c r="U948" s="1325" t="s">
        <v>591</v>
      </c>
      <c r="V948" s="1326"/>
      <c r="W948" s="1326"/>
      <c r="X948" s="1326"/>
      <c r="Y948" s="1326"/>
      <c r="Z948" s="1327"/>
      <c r="AA948" s="1391"/>
      <c r="AB948" s="1392"/>
      <c r="AC948" s="1392"/>
      <c r="AD948" s="1392"/>
      <c r="AE948" s="1392"/>
      <c r="AF948" s="1393"/>
      <c r="AZ948" s="30"/>
      <c r="BA948" s="30"/>
    </row>
    <row r="949" spans="6:55" ht="12.95" customHeight="1">
      <c r="F949" s="1594" t="s">
        <v>2149</v>
      </c>
      <c r="G949" s="1595"/>
      <c r="H949" s="1595"/>
      <c r="I949" s="1595"/>
      <c r="J949" s="1595"/>
      <c r="K949" s="1595"/>
      <c r="L949" s="1595"/>
      <c r="M949" s="1595"/>
      <c r="N949" s="1595"/>
      <c r="O949" s="1595"/>
      <c r="P949" s="1595"/>
      <c r="Q949" s="1595"/>
      <c r="R949" s="1595"/>
      <c r="S949" s="1595"/>
      <c r="T949" s="1596"/>
      <c r="U949" s="1325" t="s">
        <v>591</v>
      </c>
      <c r="V949" s="1326"/>
      <c r="W949" s="1326"/>
      <c r="X949" s="1326"/>
      <c r="Y949" s="1326"/>
      <c r="Z949" s="1327"/>
      <c r="AA949" s="1391"/>
      <c r="AB949" s="1392"/>
      <c r="AC949" s="1392"/>
      <c r="AD949" s="1392"/>
      <c r="AE949" s="1392"/>
      <c r="AF949" s="1393"/>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325" t="s">
        <v>591</v>
      </c>
      <c r="V950" s="1326"/>
      <c r="W950" s="1326"/>
      <c r="X950" s="1326"/>
      <c r="Y950" s="1326"/>
      <c r="Z950" s="1327"/>
      <c r="AA950" s="1391"/>
      <c r="AB950" s="1392"/>
      <c r="AC950" s="1392"/>
      <c r="AD950" s="1392"/>
      <c r="AE950" s="1392"/>
      <c r="AF950" s="1393"/>
      <c r="AZ950" s="34"/>
      <c r="BA950" s="34"/>
      <c r="BB950" s="14"/>
      <c r="BC950" s="14"/>
    </row>
    <row r="951" spans="6:55" ht="12.95" customHeight="1">
      <c r="F951" s="1600" t="s">
        <v>2152</v>
      </c>
      <c r="G951" s="1601"/>
      <c r="H951" s="1601"/>
      <c r="I951" s="1601"/>
      <c r="J951" s="1601"/>
      <c r="K951" s="1601"/>
      <c r="L951" s="1601"/>
      <c r="M951" s="1601"/>
      <c r="N951" s="1601"/>
      <c r="O951" s="1601"/>
      <c r="P951" s="1601"/>
      <c r="Q951" s="1601"/>
      <c r="R951" s="1601"/>
      <c r="S951" s="1601"/>
      <c r="T951" s="1602"/>
      <c r="U951" s="1325" t="s">
        <v>591</v>
      </c>
      <c r="V951" s="1326"/>
      <c r="W951" s="1326"/>
      <c r="X951" s="1326"/>
      <c r="Y951" s="1326"/>
      <c r="Z951" s="1327"/>
      <c r="AA951" s="1391"/>
      <c r="AB951" s="1392"/>
      <c r="AC951" s="1392"/>
      <c r="AD951" s="1392"/>
      <c r="AE951" s="1392"/>
      <c r="AF951" s="1393"/>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325" t="s">
        <v>591</v>
      </c>
      <c r="V952" s="1326"/>
      <c r="W952" s="1326"/>
      <c r="X952" s="1326"/>
      <c r="Y952" s="1326"/>
      <c r="Z952" s="1327"/>
      <c r="AA952" s="1391"/>
      <c r="AB952" s="1392"/>
      <c r="AC952" s="1392"/>
      <c r="AD952" s="1392"/>
      <c r="AE952" s="1392"/>
      <c r="AF952" s="1393"/>
      <c r="AZ952" s="34"/>
      <c r="BA952" s="34"/>
      <c r="BB952" s="34"/>
      <c r="BC952" s="34"/>
    </row>
    <row r="953" spans="6:55" ht="12.95" customHeight="1">
      <c r="F953" s="1600" t="s">
        <v>2153</v>
      </c>
      <c r="G953" s="1601"/>
      <c r="H953" s="1601"/>
      <c r="I953" s="1601"/>
      <c r="J953" s="1601"/>
      <c r="K953" s="1601"/>
      <c r="L953" s="1601"/>
      <c r="M953" s="1601"/>
      <c r="N953" s="1601"/>
      <c r="O953" s="1601"/>
      <c r="P953" s="1601"/>
      <c r="Q953" s="1601"/>
      <c r="R953" s="1601"/>
      <c r="S953" s="1601"/>
      <c r="T953" s="1602"/>
      <c r="U953" s="1325" t="s">
        <v>591</v>
      </c>
      <c r="V953" s="1326"/>
      <c r="W953" s="1326"/>
      <c r="X953" s="1326"/>
      <c r="Y953" s="1326"/>
      <c r="Z953" s="1327"/>
      <c r="AA953" s="1391"/>
      <c r="AB953" s="1392"/>
      <c r="AC953" s="1392"/>
      <c r="AD953" s="1392"/>
      <c r="AE953" s="1392"/>
      <c r="AF953" s="1393"/>
      <c r="AZ953" s="34"/>
      <c r="BA953" s="34"/>
      <c r="BB953" s="34"/>
      <c r="BC953" s="34"/>
    </row>
    <row r="954" spans="6:55" ht="12.95" customHeight="1">
      <c r="F954" s="45" t="s">
        <v>806</v>
      </c>
      <c r="G954" s="5"/>
      <c r="H954" s="5"/>
      <c r="I954" s="5"/>
      <c r="J954" s="5"/>
      <c r="K954" s="5"/>
      <c r="L954" s="5"/>
      <c r="M954" s="5"/>
      <c r="N954" s="5"/>
      <c r="O954" s="5"/>
      <c r="P954" s="1325" t="s">
        <v>669</v>
      </c>
      <c r="Q954" s="1326"/>
      <c r="R954" s="1326"/>
      <c r="S954" s="1326"/>
      <c r="T954" s="1327"/>
      <c r="U954" s="1325" t="s">
        <v>591</v>
      </c>
      <c r="V954" s="1326"/>
      <c r="W954" s="1326"/>
      <c r="X954" s="1326"/>
      <c r="Y954" s="1326"/>
      <c r="Z954" s="1327"/>
      <c r="AA954" s="1391"/>
      <c r="AB954" s="1392"/>
      <c r="AC954" s="1392"/>
      <c r="AD954" s="1392"/>
      <c r="AE954" s="1392"/>
      <c r="AF954" s="1393"/>
      <c r="AZ954" s="34"/>
      <c r="BA954" s="34"/>
      <c r="BB954" s="34"/>
      <c r="BC954" s="34"/>
    </row>
    <row r="955" spans="6:55" ht="12.95" customHeight="1">
      <c r="F955" s="1594" t="s">
        <v>2140</v>
      </c>
      <c r="G955" s="1595"/>
      <c r="H955" s="1596"/>
      <c r="I955" s="1604" t="s">
        <v>334</v>
      </c>
      <c r="J955" s="1605"/>
      <c r="K955" s="1605"/>
      <c r="L955" s="1605"/>
      <c r="M955" s="1605"/>
      <c r="N955" s="1605"/>
      <c r="O955" s="1605"/>
      <c r="P955" s="1605"/>
      <c r="Q955" s="1605"/>
      <c r="R955" s="1605"/>
      <c r="S955" s="1605"/>
      <c r="T955" s="1606"/>
      <c r="U955" s="1325" t="s">
        <v>591</v>
      </c>
      <c r="V955" s="1326"/>
      <c r="W955" s="1326"/>
      <c r="X955" s="1326"/>
      <c r="Y955" s="1326"/>
      <c r="Z955" s="1327"/>
      <c r="AA955" s="1391"/>
      <c r="AB955" s="1392"/>
      <c r="AC955" s="1392"/>
      <c r="AD955" s="1392"/>
      <c r="AE955" s="1392"/>
      <c r="AF955" s="1393"/>
      <c r="AZ955" s="34"/>
      <c r="BA955" s="34"/>
      <c r="BB955" s="34"/>
      <c r="BC955" s="34"/>
    </row>
    <row r="956" spans="6:55" ht="12.95" customHeight="1">
      <c r="F956" s="45" t="s">
        <v>86</v>
      </c>
      <c r="G956" s="48"/>
      <c r="H956" s="48"/>
      <c r="I956" s="1604" t="s">
        <v>334</v>
      </c>
      <c r="J956" s="1605"/>
      <c r="K956" s="1605"/>
      <c r="L956" s="1605"/>
      <c r="M956" s="1605"/>
      <c r="N956" s="1605"/>
      <c r="O956" s="1605"/>
      <c r="P956" s="1605"/>
      <c r="Q956" s="1605"/>
      <c r="R956" s="1605"/>
      <c r="S956" s="1605"/>
      <c r="T956" s="1606"/>
      <c r="U956" s="1325" t="s">
        <v>591</v>
      </c>
      <c r="V956" s="1326"/>
      <c r="W956" s="1326"/>
      <c r="X956" s="1326"/>
      <c r="Y956" s="1326"/>
      <c r="Z956" s="1327"/>
      <c r="AA956" s="1391"/>
      <c r="AB956" s="1392"/>
      <c r="AC956" s="1392"/>
      <c r="AD956" s="1392"/>
      <c r="AE956" s="1392"/>
      <c r="AF956" s="1393"/>
      <c r="AZ956" s="34"/>
      <c r="BA956" s="34"/>
      <c r="BB956" s="34"/>
      <c r="BC956" s="34"/>
    </row>
    <row r="957" spans="6:55" ht="12.95" customHeight="1">
      <c r="F957" s="45" t="s">
        <v>10</v>
      </c>
      <c r="G957" s="48"/>
      <c r="H957" s="48"/>
      <c r="I957" s="1576" t="s">
        <v>334</v>
      </c>
      <c r="J957" s="1577"/>
      <c r="K957" s="1577"/>
      <c r="L957" s="1577"/>
      <c r="M957" s="1577"/>
      <c r="N957" s="1577"/>
      <c r="O957" s="1577"/>
      <c r="P957" s="1577"/>
      <c r="Q957" s="1577"/>
      <c r="R957" s="1577"/>
      <c r="S957" s="1577"/>
      <c r="T957" s="1578"/>
      <c r="U957" s="1325" t="s">
        <v>591</v>
      </c>
      <c r="V957" s="1326"/>
      <c r="W957" s="1326"/>
      <c r="X957" s="1326"/>
      <c r="Y957" s="1326"/>
      <c r="Z957" s="1327"/>
      <c r="AA957" s="1391"/>
      <c r="AB957" s="1392"/>
      <c r="AC957" s="1392"/>
      <c r="AD957" s="1392"/>
      <c r="AE957" s="1392"/>
      <c r="AF957" s="1393"/>
      <c r="AV957" s="2"/>
      <c r="AW957" s="2"/>
      <c r="AX957" s="2"/>
      <c r="AY957" s="2"/>
      <c r="AZ957" s="34"/>
      <c r="BA957" s="34"/>
      <c r="BB957" s="34"/>
      <c r="BC957" s="34"/>
    </row>
    <row r="958" spans="6:55" ht="12.95" customHeight="1">
      <c r="F958" s="47" t="s">
        <v>170</v>
      </c>
      <c r="G958" s="48"/>
      <c r="H958" s="48"/>
      <c r="I958" s="1576" t="s">
        <v>334</v>
      </c>
      <c r="J958" s="1577"/>
      <c r="K958" s="1577"/>
      <c r="L958" s="1577"/>
      <c r="M958" s="1577"/>
      <c r="N958" s="1577"/>
      <c r="O958" s="1577"/>
      <c r="P958" s="1577"/>
      <c r="Q958" s="1577"/>
      <c r="R958" s="1577"/>
      <c r="S958" s="1577"/>
      <c r="T958" s="1578"/>
      <c r="U958" s="1325" t="s">
        <v>591</v>
      </c>
      <c r="V958" s="1326"/>
      <c r="W958" s="1326"/>
      <c r="X958" s="1326"/>
      <c r="Y958" s="1326"/>
      <c r="Z958" s="1327"/>
      <c r="AA958" s="1391"/>
      <c r="AB958" s="1392"/>
      <c r="AC958" s="1392"/>
      <c r="AD958" s="1392"/>
      <c r="AE958" s="1392"/>
      <c r="AF958" s="1393"/>
      <c r="AU958" s="2"/>
      <c r="AZ958" s="34"/>
      <c r="BA958" s="34"/>
      <c r="BB958" s="34"/>
      <c r="BC958" s="34"/>
    </row>
    <row r="959" spans="6:55" ht="12.95" customHeight="1">
      <c r="F959" s="47" t="s">
        <v>170</v>
      </c>
      <c r="G959" s="48"/>
      <c r="H959" s="48"/>
      <c r="I959" s="1576" t="s">
        <v>334</v>
      </c>
      <c r="J959" s="1577"/>
      <c r="K959" s="1577"/>
      <c r="L959" s="1577"/>
      <c r="M959" s="1577"/>
      <c r="N959" s="1577"/>
      <c r="O959" s="1577"/>
      <c r="P959" s="1577"/>
      <c r="Q959" s="1577"/>
      <c r="R959" s="1577"/>
      <c r="S959" s="1577"/>
      <c r="T959" s="1578"/>
      <c r="U959" s="1325" t="s">
        <v>591</v>
      </c>
      <c r="V959" s="1326"/>
      <c r="W959" s="1326"/>
      <c r="X959" s="1326"/>
      <c r="Y959" s="1326"/>
      <c r="Z959" s="1327"/>
      <c r="AA959" s="1391"/>
      <c r="AB959" s="1392"/>
      <c r="AC959" s="1392"/>
      <c r="AD959" s="1392"/>
      <c r="AE959" s="1392"/>
      <c r="AF959" s="1393"/>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573"/>
      <c r="N964" s="1574"/>
      <c r="O964" s="1574"/>
      <c r="P964" s="1574"/>
      <c r="Q964" s="1574"/>
      <c r="R964" s="1574"/>
      <c r="S964" s="1575"/>
      <c r="U964" s="66" t="s">
        <v>11</v>
      </c>
      <c r="V964" s="5"/>
      <c r="W964" s="5"/>
      <c r="X964" s="5"/>
      <c r="Y964" s="5"/>
      <c r="Z964" s="5"/>
      <c r="AA964" s="5"/>
      <c r="AB964" s="5"/>
      <c r="AC964" s="5"/>
      <c r="AD964" s="46"/>
      <c r="AE964" s="1573"/>
      <c r="AF964" s="1574"/>
      <c r="AG964" s="1574"/>
      <c r="AH964" s="1574"/>
      <c r="AI964" s="1574"/>
      <c r="AJ964" s="1574"/>
      <c r="AK964" s="1575"/>
      <c r="AZ964" s="34"/>
      <c r="BA964" s="34"/>
      <c r="BB964" s="34"/>
      <c r="BC964" s="34"/>
    </row>
    <row r="965" spans="1:64" ht="12.95" customHeight="1">
      <c r="C965" s="66" t="s">
        <v>12</v>
      </c>
      <c r="D965" s="5"/>
      <c r="E965" s="5"/>
      <c r="F965" s="5"/>
      <c r="G965" s="5"/>
      <c r="H965" s="5"/>
      <c r="I965" s="5"/>
      <c r="J965" s="5"/>
      <c r="K965" s="5"/>
      <c r="L965" s="46"/>
      <c r="M965" s="1334"/>
      <c r="N965" s="1335"/>
      <c r="O965" s="1335"/>
      <c r="P965" s="1335"/>
      <c r="Q965" s="1335"/>
      <c r="R965" s="1335"/>
      <c r="S965" s="1336"/>
      <c r="U965" s="66" t="s">
        <v>12</v>
      </c>
      <c r="V965" s="5"/>
      <c r="W965" s="5"/>
      <c r="X965" s="5"/>
      <c r="Y965" s="5"/>
      <c r="Z965" s="5"/>
      <c r="AA965" s="5"/>
      <c r="AB965" s="5"/>
      <c r="AC965" s="5"/>
      <c r="AD965" s="46"/>
      <c r="AE965" s="1334"/>
      <c r="AF965" s="1335"/>
      <c r="AG965" s="1335"/>
      <c r="AH965" s="1335"/>
      <c r="AI965" s="1335"/>
      <c r="AJ965" s="1335"/>
      <c r="AK965" s="1336"/>
      <c r="AZ965" s="34"/>
      <c r="BA965" s="34"/>
      <c r="BB965" s="34"/>
      <c r="BC965" s="34"/>
    </row>
    <row r="966" spans="1:64" ht="12.95" customHeight="1">
      <c r="C966" s="66" t="s">
        <v>880</v>
      </c>
      <c r="D966" s="5"/>
      <c r="E966" s="5"/>
      <c r="J966" s="1337" t="s">
        <v>307</v>
      </c>
      <c r="K966" s="1338"/>
      <c r="L966" s="1338"/>
      <c r="M966" s="1338"/>
      <c r="N966" s="1338"/>
      <c r="O966" s="1338"/>
      <c r="P966" s="1338"/>
      <c r="Q966" s="1338"/>
      <c r="R966" s="1338"/>
      <c r="S966" s="1339"/>
      <c r="U966" s="66" t="s">
        <v>880</v>
      </c>
      <c r="V966" s="5"/>
      <c r="W966" s="5"/>
      <c r="AB966" s="1337" t="s">
        <v>307</v>
      </c>
      <c r="AC966" s="1338"/>
      <c r="AD966" s="1338"/>
      <c r="AE966" s="1338"/>
      <c r="AF966" s="1338"/>
      <c r="AG966" s="1338"/>
      <c r="AH966" s="1338"/>
      <c r="AI966" s="1338"/>
      <c r="AJ966" s="1338"/>
      <c r="AK966" s="1339"/>
      <c r="AZ966" s="34"/>
      <c r="BA966" s="34"/>
      <c r="BB966" s="34"/>
      <c r="BC966" s="34"/>
    </row>
    <row r="967" spans="1:64" ht="12.95" customHeight="1">
      <c r="C967" s="66" t="s">
        <v>13</v>
      </c>
      <c r="D967" s="5"/>
      <c r="E967" s="5"/>
      <c r="F967" s="5"/>
      <c r="G967" s="5"/>
      <c r="H967" s="5"/>
      <c r="I967" s="5"/>
      <c r="J967" s="5"/>
      <c r="K967" s="5"/>
      <c r="L967" s="46"/>
      <c r="M967" s="1624"/>
      <c r="N967" s="1590"/>
      <c r="O967" s="1590"/>
      <c r="P967" s="1590"/>
      <c r="Q967" s="1590"/>
      <c r="R967" s="1590"/>
      <c r="S967" s="1591"/>
      <c r="U967" s="66" t="s">
        <v>13</v>
      </c>
      <c r="V967" s="5"/>
      <c r="W967" s="5"/>
      <c r="X967" s="5"/>
      <c r="Y967" s="5"/>
      <c r="Z967" s="5"/>
      <c r="AA967" s="5"/>
      <c r="AB967" s="5"/>
      <c r="AC967" s="5"/>
      <c r="AD967" s="46"/>
      <c r="AE967" s="1589"/>
      <c r="AF967" s="1590"/>
      <c r="AG967" s="1590"/>
      <c r="AH967" s="1590"/>
      <c r="AI967" s="1590"/>
      <c r="AJ967" s="1590"/>
      <c r="AK967" s="1591"/>
      <c r="AZ967" s="34"/>
      <c r="BA967" s="34"/>
      <c r="BB967" s="34"/>
      <c r="BC967" s="34"/>
    </row>
    <row r="968" spans="1:64" ht="12.95" customHeight="1">
      <c r="C968" s="66" t="s">
        <v>14</v>
      </c>
      <c r="D968" s="5"/>
      <c r="E968" s="5"/>
      <c r="F968" s="5"/>
      <c r="G968" s="5"/>
      <c r="H968" s="5"/>
      <c r="I968" s="5"/>
      <c r="J968" s="5"/>
      <c r="K968" s="5"/>
      <c r="L968" s="46"/>
      <c r="M968" s="1597"/>
      <c r="N968" s="1598"/>
      <c r="O968" s="1598"/>
      <c r="P968" s="1598"/>
      <c r="Q968" s="1598"/>
      <c r="R968" s="1598"/>
      <c r="S968" s="1599"/>
      <c r="U968" s="66" t="s">
        <v>14</v>
      </c>
      <c r="V968" s="5"/>
      <c r="W968" s="5"/>
      <c r="X968" s="5"/>
      <c r="Y968" s="5"/>
      <c r="Z968" s="5"/>
      <c r="AA968" s="5"/>
      <c r="AB968" s="5"/>
      <c r="AC968" s="5"/>
      <c r="AD968" s="46"/>
      <c r="AE968" s="1597"/>
      <c r="AF968" s="1598"/>
      <c r="AG968" s="1598"/>
      <c r="AH968" s="1598"/>
      <c r="AI968" s="1598"/>
      <c r="AJ968" s="1598"/>
      <c r="AK968" s="1599"/>
      <c r="AV968" s="2"/>
      <c r="AW968" s="2"/>
      <c r="AX968" s="2"/>
      <c r="AY968" s="2"/>
      <c r="AZ968" s="34"/>
      <c r="BA968" s="34"/>
      <c r="BB968" s="34"/>
      <c r="BC968" s="34"/>
    </row>
    <row r="969" spans="1:64" ht="12.95" customHeight="1">
      <c r="C969" s="66" t="s">
        <v>15</v>
      </c>
      <c r="D969" s="5"/>
      <c r="E969" s="5"/>
      <c r="F969" s="5"/>
      <c r="G969" s="5"/>
      <c r="H969" s="5"/>
      <c r="I969" s="5"/>
      <c r="J969" s="5"/>
      <c r="K969" s="5"/>
      <c r="L969" s="46"/>
      <c r="M969" s="1391"/>
      <c r="N969" s="1392"/>
      <c r="O969" s="1392"/>
      <c r="P969" s="1392"/>
      <c r="Q969" s="1392"/>
      <c r="R969" s="1392"/>
      <c r="S969" s="1393"/>
      <c r="U969" s="66" t="s">
        <v>15</v>
      </c>
      <c r="V969" s="5"/>
      <c r="W969" s="5"/>
      <c r="X969" s="5"/>
      <c r="Y969" s="5"/>
      <c r="Z969" s="5"/>
      <c r="AA969" s="5"/>
      <c r="AB969" s="5"/>
      <c r="AC969" s="5"/>
      <c r="AD969" s="46"/>
      <c r="AE969" s="1391"/>
      <c r="AF969" s="1392"/>
      <c r="AG969" s="1392"/>
      <c r="AH969" s="1392"/>
      <c r="AI969" s="1392"/>
      <c r="AJ969" s="1392"/>
      <c r="AK969" s="1393"/>
      <c r="AV969" s="2"/>
      <c r="AW969" s="2"/>
      <c r="AX969" s="2"/>
      <c r="AY969" s="2"/>
      <c r="AZ969" s="34"/>
      <c r="BA969" s="34"/>
      <c r="BB969" s="34"/>
      <c r="BC969" s="34"/>
    </row>
    <row r="970" spans="1:64" ht="12.95" customHeight="1">
      <c r="C970" s="66" t="s">
        <v>16</v>
      </c>
      <c r="D970" s="5"/>
      <c r="E970" s="5"/>
      <c r="F970" s="5"/>
      <c r="G970" s="5"/>
      <c r="H970" s="5"/>
      <c r="I970" s="5"/>
      <c r="J970" s="5"/>
      <c r="K970" s="5"/>
      <c r="L970" s="46"/>
      <c r="M970" s="1391"/>
      <c r="N970" s="1392"/>
      <c r="O970" s="1392"/>
      <c r="P970" s="1392"/>
      <c r="Q970" s="1392"/>
      <c r="R970" s="1392"/>
      <c r="S970" s="1393"/>
      <c r="U970" s="66" t="s">
        <v>16</v>
      </c>
      <c r="V970" s="5"/>
      <c r="W970" s="5"/>
      <c r="X970" s="5"/>
      <c r="Y970" s="5"/>
      <c r="Z970" s="5"/>
      <c r="AA970" s="5"/>
      <c r="AB970" s="5"/>
      <c r="AC970" s="5"/>
      <c r="AD970" s="46"/>
      <c r="AE970" s="1391"/>
      <c r="AF970" s="1392"/>
      <c r="AG970" s="1392"/>
      <c r="AH970" s="1392"/>
      <c r="AI970" s="1392"/>
      <c r="AJ970" s="1392"/>
      <c r="AK970" s="1393"/>
      <c r="AV970" s="2"/>
      <c r="AW970" s="2"/>
      <c r="AX970" s="2"/>
      <c r="AY970" s="2"/>
      <c r="AZ970" s="34"/>
      <c r="BB970" s="34"/>
      <c r="BC970" s="34"/>
    </row>
    <row r="971" spans="1:64" ht="12.95" customHeight="1">
      <c r="C971" s="121" t="s">
        <v>1649</v>
      </c>
      <c r="D971" s="5"/>
      <c r="E971" s="5"/>
      <c r="F971" s="5"/>
      <c r="G971" s="5"/>
      <c r="H971" s="5"/>
      <c r="I971" s="5"/>
      <c r="J971" s="5"/>
      <c r="K971" s="5"/>
      <c r="L971" s="46"/>
      <c r="M971" s="1388"/>
      <c r="N971" s="1389"/>
      <c r="O971" s="1389"/>
      <c r="P971" s="1389"/>
      <c r="Q971" s="1389"/>
      <c r="R971" s="1389"/>
      <c r="S971" s="1390"/>
      <c r="U971" s="121" t="s">
        <v>1649</v>
      </c>
      <c r="V971" s="5"/>
      <c r="W971" s="5"/>
      <c r="X971" s="5"/>
      <c r="Y971" s="5"/>
      <c r="Z971" s="5"/>
      <c r="AA971" s="5"/>
      <c r="AB971" s="5"/>
      <c r="AC971" s="5"/>
      <c r="AD971" s="46"/>
      <c r="AE971" s="1388"/>
      <c r="AF971" s="1389"/>
      <c r="AG971" s="1389"/>
      <c r="AH971" s="1389"/>
      <c r="AI971" s="1389"/>
      <c r="AJ971" s="1389"/>
      <c r="AK971" s="1390"/>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331"/>
      <c r="N976" s="1332"/>
      <c r="O976" s="1332"/>
      <c r="P976" s="1332"/>
      <c r="Q976" s="1332"/>
      <c r="R976" s="1332"/>
      <c r="S976" s="1333"/>
      <c r="T976" s="66" t="s">
        <v>790</v>
      </c>
      <c r="U976" s="5"/>
      <c r="V976" s="5"/>
      <c r="W976" s="5"/>
      <c r="X976" s="5"/>
      <c r="Y976" s="5"/>
      <c r="Z976" s="46"/>
      <c r="AA976" s="1331"/>
      <c r="AB976" s="1332"/>
      <c r="AC976" s="1332"/>
      <c r="AD976" s="1332"/>
      <c r="AE976" s="1332"/>
      <c r="AF976" s="1332"/>
      <c r="AG976" s="1333"/>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331"/>
      <c r="N977" s="1332"/>
      <c r="O977" s="1332"/>
      <c r="P977" s="1332"/>
      <c r="Q977" s="1332"/>
      <c r="R977" s="1332"/>
      <c r="S977" s="1333"/>
      <c r="T977" s="66" t="s">
        <v>789</v>
      </c>
      <c r="U977" s="5"/>
      <c r="V977" s="5"/>
      <c r="W977" s="5"/>
      <c r="X977" s="5"/>
      <c r="Y977" s="5"/>
      <c r="Z977" s="46"/>
      <c r="AA977" s="1331"/>
      <c r="AB977" s="1332"/>
      <c r="AC977" s="1332"/>
      <c r="AD977" s="1332"/>
      <c r="AE977" s="1332"/>
      <c r="AF977" s="1332"/>
      <c r="AG977" s="1333"/>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17" t="s">
        <v>591</v>
      </c>
      <c r="N978" s="1618"/>
      <c r="O978" s="1618"/>
      <c r="P978" s="1618"/>
      <c r="Q978" s="1618"/>
      <c r="R978" s="1618"/>
      <c r="S978" s="1619"/>
      <c r="T978" s="45" t="s">
        <v>337</v>
      </c>
      <c r="U978" s="5"/>
      <c r="V978" s="5"/>
      <c r="W978" s="5"/>
      <c r="X978" s="5"/>
      <c r="Y978" s="5"/>
      <c r="Z978" s="46"/>
      <c r="AA978" s="1331"/>
      <c r="AB978" s="1332"/>
      <c r="AC978" s="1332"/>
      <c r="AD978" s="1332"/>
      <c r="AE978" s="1332"/>
      <c r="AF978" s="1332"/>
      <c r="AG978" s="1333"/>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331"/>
      <c r="N979" s="1332"/>
      <c r="O979" s="1332"/>
      <c r="P979" s="1332"/>
      <c r="Q979" s="1332"/>
      <c r="R979" s="1332"/>
      <c r="S979" s="1333"/>
      <c r="T979" s="45" t="s">
        <v>338</v>
      </c>
      <c r="U979" s="5"/>
      <c r="V979" s="5"/>
      <c r="W979" s="5"/>
      <c r="X979" s="5"/>
      <c r="Y979" s="5"/>
      <c r="Z979" s="46"/>
      <c r="AA979" s="1331"/>
      <c r="AB979" s="1332"/>
      <c r="AC979" s="1332"/>
      <c r="AD979" s="1332"/>
      <c r="AE979" s="1332"/>
      <c r="AF979" s="1332"/>
      <c r="AG979" s="1333"/>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331"/>
      <c r="N980" s="1332"/>
      <c r="O980" s="1332"/>
      <c r="P980" s="1332"/>
      <c r="Q980" s="1332"/>
      <c r="R980" s="1332"/>
      <c r="S980" s="1333"/>
      <c r="T980" s="45" t="s">
        <v>376</v>
      </c>
      <c r="U980" s="5"/>
      <c r="V980" s="5"/>
      <c r="W980" s="5"/>
      <c r="X980" s="5"/>
      <c r="Y980" s="5"/>
      <c r="Z980" s="46"/>
      <c r="AA980" s="1331"/>
      <c r="AB980" s="1332"/>
      <c r="AC980" s="1332"/>
      <c r="AD980" s="1332"/>
      <c r="AE980" s="1332"/>
      <c r="AF980" s="1332"/>
      <c r="AG980" s="1333"/>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337" t="s">
        <v>307</v>
      </c>
      <c r="N981" s="1338"/>
      <c r="O981" s="1338"/>
      <c r="P981" s="1338"/>
      <c r="Q981" s="1338"/>
      <c r="R981" s="1338"/>
      <c r="S981" s="1339"/>
      <c r="T981" s="1341"/>
      <c r="U981" s="1342"/>
      <c r="V981" s="1342"/>
      <c r="W981" s="1342"/>
      <c r="X981" s="1342"/>
      <c r="Y981" s="1342"/>
      <c r="Z981" s="1343"/>
      <c r="AA981" s="1331"/>
      <c r="AB981" s="1332"/>
      <c r="AC981" s="1332"/>
      <c r="AD981" s="1332"/>
      <c r="AE981" s="1332"/>
      <c r="AF981" s="1332"/>
      <c r="AG981" s="1333"/>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331"/>
      <c r="N982" s="1332"/>
      <c r="O982" s="1332"/>
      <c r="P982" s="1332"/>
      <c r="Q982" s="1332"/>
      <c r="R982" s="1332"/>
      <c r="S982" s="1333"/>
      <c r="T982" s="1341"/>
      <c r="U982" s="1342"/>
      <c r="V982" s="1342"/>
      <c r="W982" s="1342"/>
      <c r="X982" s="1342"/>
      <c r="Y982" s="1342"/>
      <c r="Z982" s="1343"/>
      <c r="AA982" s="1331"/>
      <c r="AB982" s="1332"/>
      <c r="AC982" s="1332"/>
      <c r="AD982" s="1332"/>
      <c r="AE982" s="1332"/>
      <c r="AF982" s="1332"/>
      <c r="AG982" s="1333"/>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370" t="s">
        <v>669</v>
      </c>
      <c r="P983" s="1371"/>
      <c r="Q983" s="92"/>
      <c r="R983" s="92"/>
      <c r="S983" s="93"/>
      <c r="T983" s="41" t="s">
        <v>170</v>
      </c>
      <c r="U983" s="42"/>
      <c r="V983" s="42"/>
      <c r="W983" s="1542" t="s">
        <v>334</v>
      </c>
      <c r="X983" s="1543"/>
      <c r="Y983" s="1543"/>
      <c r="Z983" s="1543"/>
      <c r="AA983" s="1543"/>
      <c r="AB983" s="1543"/>
      <c r="AC983" s="1543"/>
      <c r="AD983" s="1543"/>
      <c r="AE983" s="1543"/>
      <c r="AF983" s="1543"/>
      <c r="AG983" s="1544"/>
      <c r="AU983" s="68"/>
      <c r="AV983" s="95"/>
      <c r="AW983" s="95"/>
      <c r="AX983" s="95"/>
      <c r="AY983" s="95"/>
      <c r="AZ983" s="34"/>
      <c r="BB983" s="34"/>
      <c r="BC983" s="34"/>
      <c r="BD983" s="34"/>
      <c r="BE983" s="34"/>
      <c r="BF983" s="34"/>
      <c r="BG983" s="34"/>
      <c r="BH983" s="34"/>
      <c r="BI983" s="34"/>
      <c r="BJ983" s="34"/>
      <c r="BK983" s="34"/>
      <c r="BL983" s="34"/>
    </row>
    <row r="984" spans="1:64" ht="12.95" customHeight="1">
      <c r="F984" s="1579" t="s">
        <v>33</v>
      </c>
      <c r="G984" s="1439"/>
      <c r="H984" s="1439"/>
      <c r="I984" s="1439"/>
      <c r="J984" s="1439"/>
      <c r="K984" s="1439"/>
      <c r="L984" s="1439"/>
      <c r="M984" s="1331"/>
      <c r="N984" s="1332"/>
      <c r="O984" s="1332"/>
      <c r="P984" s="1332"/>
      <c r="Q984" s="1332"/>
      <c r="R984" s="1332"/>
      <c r="S984" s="1333"/>
      <c r="T984" s="47"/>
      <c r="U984" s="48"/>
      <c r="V984" s="48"/>
      <c r="W984" s="48"/>
      <c r="X984" s="48"/>
      <c r="Y984" s="48"/>
      <c r="Z984" s="124" t="s">
        <v>134</v>
      </c>
      <c r="AA984" s="1556"/>
      <c r="AB984" s="1557"/>
      <c r="AC984" s="1557"/>
      <c r="AD984" s="1557"/>
      <c r="AE984" s="1557"/>
      <c r="AF984" s="1557"/>
      <c r="AG984" s="1558"/>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25"/>
      <c r="BH985" s="1625"/>
      <c r="BI985" s="1625"/>
      <c r="BJ985" s="1625"/>
      <c r="BK985" s="1625"/>
      <c r="BL985" s="1625"/>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86" t="s">
        <v>548</v>
      </c>
      <c r="B988" s="1486"/>
      <c r="C988" s="1486"/>
      <c r="D988" s="1486"/>
      <c r="E988" s="1486"/>
      <c r="F988" s="1486"/>
      <c r="G988" s="1486"/>
      <c r="H988" s="1486"/>
      <c r="I988" s="1486"/>
      <c r="J988" s="1486"/>
      <c r="K988" s="1486"/>
      <c r="L988" s="1486"/>
      <c r="M988" s="1486"/>
      <c r="N988" s="1486"/>
      <c r="O988" s="1486"/>
      <c r="P988" s="1486"/>
      <c r="Q988" s="1486"/>
      <c r="R988" s="1486"/>
      <c r="S988" s="1486"/>
      <c r="T988" s="1486"/>
      <c r="U988" s="1486"/>
      <c r="V988" s="1486"/>
      <c r="W988" s="1486"/>
      <c r="X988" s="1486"/>
      <c r="Y988" s="1486"/>
      <c r="Z988" s="1486"/>
      <c r="AA988" s="1486"/>
      <c r="AB988" s="1486"/>
      <c r="AC988" s="1486"/>
      <c r="AD988" s="1486"/>
      <c r="AE988" s="1486"/>
      <c r="AF988" s="1486"/>
      <c r="AG988" s="1486"/>
      <c r="AH988" s="1486"/>
      <c r="AI988" s="1486"/>
      <c r="AJ988" s="1486"/>
      <c r="AK988" s="1486"/>
      <c r="AL988" s="1486"/>
      <c r="AM988" s="1486"/>
      <c r="AN988" s="1486"/>
      <c r="AO988" s="1486"/>
      <c r="AP988" s="1486"/>
      <c r="AQ988" s="1486"/>
      <c r="AR988" s="1486"/>
      <c r="AS988" s="1486"/>
      <c r="AT988" s="1486"/>
      <c r="AU988" s="68"/>
      <c r="AV988" s="68"/>
      <c r="AW988" s="68"/>
      <c r="AX988" s="68"/>
      <c r="AY988" s="68"/>
      <c r="AZ988" s="14"/>
      <c r="BA988" s="14"/>
      <c r="BB988" s="903"/>
      <c r="BC988" s="903"/>
    </row>
    <row r="989" spans="1:64" ht="12.95" customHeight="1">
      <c r="A989" s="1486"/>
      <c r="B989" s="1486"/>
      <c r="C989" s="1486"/>
      <c r="D989" s="1486"/>
      <c r="E989" s="1486"/>
      <c r="F989" s="1486"/>
      <c r="G989" s="1486"/>
      <c r="H989" s="1486"/>
      <c r="I989" s="1486"/>
      <c r="J989" s="1486"/>
      <c r="K989" s="1486"/>
      <c r="L989" s="1486"/>
      <c r="M989" s="1486"/>
      <c r="N989" s="1486"/>
      <c r="O989" s="1486"/>
      <c r="P989" s="1486"/>
      <c r="Q989" s="1486"/>
      <c r="R989" s="1486"/>
      <c r="S989" s="1486"/>
      <c r="T989" s="1486"/>
      <c r="U989" s="1486"/>
      <c r="V989" s="1486"/>
      <c r="W989" s="1486"/>
      <c r="X989" s="1486"/>
      <c r="Y989" s="1486"/>
      <c r="Z989" s="1486"/>
      <c r="AA989" s="1486"/>
      <c r="AB989" s="1486"/>
      <c r="AC989" s="1486"/>
      <c r="AD989" s="1486"/>
      <c r="AE989" s="1486"/>
      <c r="AF989" s="1486"/>
      <c r="AG989" s="1486"/>
      <c r="AH989" s="1486"/>
      <c r="AI989" s="1486"/>
      <c r="AJ989" s="1486"/>
      <c r="AK989" s="1486"/>
      <c r="AL989" s="1486"/>
      <c r="AM989" s="1486"/>
      <c r="AN989" s="1486"/>
      <c r="AO989" s="1486"/>
      <c r="AP989" s="1486"/>
      <c r="AQ989" s="1486"/>
      <c r="AR989" s="1486"/>
      <c r="AS989" s="1486"/>
      <c r="AT989" s="1486"/>
      <c r="AU989" s="68"/>
      <c r="AV989" s="68"/>
      <c r="AW989" s="68"/>
      <c r="AX989" s="68"/>
      <c r="AY989" s="68"/>
      <c r="AZ989" s="30"/>
      <c r="BA989" s="14"/>
      <c r="BB989" s="14"/>
      <c r="BC989" s="14"/>
    </row>
    <row r="990" spans="1:64" ht="12.95" customHeight="1">
      <c r="A990" s="1486"/>
      <c r="B990" s="1486"/>
      <c r="C990" s="1486"/>
      <c r="D990" s="1486"/>
      <c r="E990" s="1486"/>
      <c r="F990" s="1486"/>
      <c r="G990" s="1486"/>
      <c r="H990" s="1486"/>
      <c r="I990" s="1486"/>
      <c r="J990" s="1486"/>
      <c r="K990" s="1486"/>
      <c r="L990" s="1486"/>
      <c r="M990" s="1486"/>
      <c r="N990" s="1486"/>
      <c r="O990" s="1486"/>
      <c r="P990" s="1486"/>
      <c r="Q990" s="1486"/>
      <c r="R990" s="1486"/>
      <c r="S990" s="1486"/>
      <c r="T990" s="1486"/>
      <c r="U990" s="1486"/>
      <c r="V990" s="1486"/>
      <c r="W990" s="1486"/>
      <c r="X990" s="1486"/>
      <c r="Y990" s="1486"/>
      <c r="Z990" s="1486"/>
      <c r="AA990" s="1486"/>
      <c r="AB990" s="1486"/>
      <c r="AC990" s="1486"/>
      <c r="AD990" s="1486"/>
      <c r="AE990" s="1486"/>
      <c r="AF990" s="1486"/>
      <c r="AG990" s="1486"/>
      <c r="AH990" s="1486"/>
      <c r="AI990" s="1486"/>
      <c r="AJ990" s="1486"/>
      <c r="AK990" s="1486"/>
      <c r="AL990" s="1486"/>
      <c r="AM990" s="1486"/>
      <c r="AN990" s="1486"/>
      <c r="AO990" s="1486"/>
      <c r="AP990" s="1486"/>
      <c r="AQ990" s="1486"/>
      <c r="AR990" s="1486"/>
      <c r="AS990" s="1486"/>
      <c r="AT990" s="1486"/>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366" t="s">
        <v>638</v>
      </c>
      <c r="E994" s="1367"/>
      <c r="F994" s="1367"/>
      <c r="G994" s="1367"/>
      <c r="H994" s="1367"/>
      <c r="I994" s="1367"/>
      <c r="J994" s="1367"/>
      <c r="K994" s="1367"/>
      <c r="L994" s="1367"/>
      <c r="M994" s="1367"/>
      <c r="N994" s="1367"/>
      <c r="O994" s="1367"/>
      <c r="P994" s="1367"/>
      <c r="Q994" s="1368"/>
      <c r="R994" s="1366" t="s">
        <v>639</v>
      </c>
      <c r="S994" s="1367"/>
      <c r="T994" s="1367"/>
      <c r="U994" s="1367"/>
      <c r="V994" s="1367"/>
      <c r="W994" s="1367"/>
      <c r="X994" s="1367"/>
      <c r="Y994" s="1367"/>
      <c r="Z994" s="1367"/>
      <c r="AA994" s="1368"/>
      <c r="AB994" s="1366" t="s">
        <v>640</v>
      </c>
      <c r="AC994" s="1367"/>
      <c r="AD994" s="1367"/>
      <c r="AE994" s="1367"/>
      <c r="AF994" s="1367"/>
      <c r="AG994" s="1367"/>
      <c r="AH994" s="1367"/>
      <c r="AI994" s="1368"/>
      <c r="AJ994" s="1366" t="s">
        <v>641</v>
      </c>
      <c r="AK994" s="1367"/>
      <c r="AL994" s="1367"/>
      <c r="AM994" s="1367"/>
      <c r="AN994" s="1367"/>
      <c r="AO994" s="1367"/>
      <c r="AP994" s="1367"/>
      <c r="AQ994" s="1368"/>
      <c r="AR994" s="68"/>
      <c r="AS994" s="68"/>
      <c r="AT994" s="68"/>
      <c r="AU994" s="68"/>
      <c r="AV994" s="68"/>
      <c r="AW994" s="68"/>
      <c r="AX994" s="68"/>
      <c r="AY994" s="68"/>
      <c r="AZ994" s="30"/>
      <c r="BB994" s="14"/>
      <c r="BC994" s="14"/>
    </row>
    <row r="995" spans="1:55" ht="12.95" customHeight="1">
      <c r="A995" s="14"/>
      <c r="B995" s="73"/>
      <c r="C995" s="920"/>
      <c r="D995" s="1345" t="s">
        <v>633</v>
      </c>
      <c r="E995" s="1346"/>
      <c r="F995" s="1346"/>
      <c r="G995" s="1346"/>
      <c r="H995" s="1346"/>
      <c r="I995" s="1346"/>
      <c r="J995" s="1346"/>
      <c r="K995" s="1346"/>
      <c r="L995" s="1346"/>
      <c r="M995" s="1346"/>
      <c r="N995" s="1346"/>
      <c r="O995" s="1346"/>
      <c r="P995" s="1346"/>
      <c r="Q995" s="1347"/>
      <c r="R995" s="1356">
        <f>IF(ISNA(IF($CU$122="4%",(INDEX($CS$160:$CW$217,MATCH($DG$122,$CR$160:$CR$217,0),MATCH(D995,$CS$159:$CW$159,0))),(INDEX($CZ$160:$DD$217,MATCH($DG$122,$CY$160:$CY$217,0),MATCH(D995,$CZ$159:$DD$159,0))))),0,IF($CU$122="4%",(INDEX($CS$160:$CW$217,MATCH($DG$122,$CR$160:$CR$217,0),MATCH(D995,$CS$159:$CW$159,0))),(INDEX($CZ$160:$DD$217,MATCH($DG$122,$CY$160:$CY$217,0),MATCH(D995,$CZ$159:$DD$159,0)))))</f>
        <v>392286</v>
      </c>
      <c r="S995" s="1356"/>
      <c r="T995" s="1356"/>
      <c r="U995" s="1356"/>
      <c r="V995" s="1356"/>
      <c r="W995" s="1356"/>
      <c r="X995" s="1356"/>
      <c r="Y995" s="1356"/>
      <c r="Z995" s="1356"/>
      <c r="AA995" s="1356"/>
      <c r="AB995" s="1348">
        <f>CP810</f>
        <v>13</v>
      </c>
      <c r="AC995" s="1349"/>
      <c r="AD995" s="1349"/>
      <c r="AE995" s="1349"/>
      <c r="AF995" s="1349"/>
      <c r="AG995" s="1349"/>
      <c r="AH995" s="1349"/>
      <c r="AI995" s="1350"/>
      <c r="AJ995" s="1357">
        <f>IF(ISERROR((R995*AB995)),0,(R995*AB995))</f>
        <v>5099718</v>
      </c>
      <c r="AK995" s="1358"/>
      <c r="AL995" s="1358"/>
      <c r="AM995" s="1358"/>
      <c r="AN995" s="1358"/>
      <c r="AO995" s="1358"/>
      <c r="AP995" s="1358"/>
      <c r="AQ995" s="1359"/>
      <c r="AR995" s="68"/>
      <c r="AS995" s="68"/>
      <c r="AT995" s="68"/>
      <c r="AU995" s="68"/>
      <c r="AV995" s="68"/>
      <c r="AW995" s="68"/>
      <c r="AX995" s="68"/>
      <c r="AY995" s="68"/>
      <c r="AZ995" s="30"/>
      <c r="BB995" s="14"/>
      <c r="BC995" s="14"/>
    </row>
    <row r="996" spans="1:55" ht="12.95" customHeight="1">
      <c r="A996" s="14"/>
      <c r="B996" s="73"/>
      <c r="C996" s="83"/>
      <c r="D996" s="1345" t="s">
        <v>325</v>
      </c>
      <c r="E996" s="1346"/>
      <c r="F996" s="1346"/>
      <c r="G996" s="1346"/>
      <c r="H996" s="1346"/>
      <c r="I996" s="1346"/>
      <c r="J996" s="1346"/>
      <c r="K996" s="1346"/>
      <c r="L996" s="1346"/>
      <c r="M996" s="1346"/>
      <c r="N996" s="1346"/>
      <c r="O996" s="1346"/>
      <c r="P996" s="1346"/>
      <c r="Q996" s="1347"/>
      <c r="R996" s="1356">
        <f>IF(ISNA(IF($CU$122="4%",(INDEX($CS$160:$CW$217,MATCH($DG$122,$CR$160:$CR$217,0),MATCH(D996,$CS$159:$CW$159,0))),(INDEX($CZ$160:$DD$217,MATCH($DG$122,$CY$160:$CY$217,0),MATCH(D996,$CZ$159:$DD$159,0))))),0,IF($CU$122="4%",(INDEX($CS$160:$CW$217,MATCH($DG$122,$CR$160:$CR$217,0),MATCH(D996,$CS$159:$CW$159,0))),(INDEX($CZ$160:$DD$217,MATCH($DG$122,$CY$160:$CY$217,0),MATCH(D996,$CZ$159:$DD$159,0)))))</f>
        <v>452302</v>
      </c>
      <c r="S996" s="1356"/>
      <c r="T996" s="1356"/>
      <c r="U996" s="1356"/>
      <c r="V996" s="1356"/>
      <c r="W996" s="1356"/>
      <c r="X996" s="1356"/>
      <c r="Y996" s="1356"/>
      <c r="Z996" s="1356"/>
      <c r="AA996" s="1356"/>
      <c r="AB996" s="1348">
        <f>CU810</f>
        <v>65</v>
      </c>
      <c r="AC996" s="1349"/>
      <c r="AD996" s="1349"/>
      <c r="AE996" s="1349"/>
      <c r="AF996" s="1349"/>
      <c r="AG996" s="1349"/>
      <c r="AH996" s="1349"/>
      <c r="AI996" s="1350"/>
      <c r="AJ996" s="1357">
        <f>IF(ISERROR((R996*AB996)),0,(R996*AB996))</f>
        <v>29399630</v>
      </c>
      <c r="AK996" s="1358"/>
      <c r="AL996" s="1358"/>
      <c r="AM996" s="1358"/>
      <c r="AN996" s="1358"/>
      <c r="AO996" s="1358"/>
      <c r="AP996" s="1358"/>
      <c r="AQ996" s="1359"/>
      <c r="AR996" s="68"/>
      <c r="AS996" s="68"/>
      <c r="AT996" s="68"/>
      <c r="AU996" s="68"/>
      <c r="AV996" s="68"/>
      <c r="AW996" s="68"/>
      <c r="AX996" s="68"/>
      <c r="AY996" s="68"/>
      <c r="AZ996" s="30"/>
      <c r="BB996" s="14"/>
      <c r="BC996" s="14"/>
    </row>
    <row r="997" spans="1:55" ht="12.95" customHeight="1">
      <c r="A997" s="14"/>
      <c r="B997" s="73"/>
      <c r="C997" s="83"/>
      <c r="D997" s="1345" t="s">
        <v>163</v>
      </c>
      <c r="E997" s="1346"/>
      <c r="F997" s="1346"/>
      <c r="G997" s="1346"/>
      <c r="H997" s="1346"/>
      <c r="I997" s="1346"/>
      <c r="J997" s="1346"/>
      <c r="K997" s="1346"/>
      <c r="L997" s="1346"/>
      <c r="M997" s="1346"/>
      <c r="N997" s="1346"/>
      <c r="O997" s="1346"/>
      <c r="P997" s="1346"/>
      <c r="Q997" s="1347"/>
      <c r="R997" s="1356">
        <f>IF(ISNA(IF($CU$122="4%",(INDEX($CS$160:$CW$217,MATCH($DG$122,$CR$160:$CR$217,0),MATCH(D997,$CS$159:$CW$159,0))),(INDEX($CZ$160:$DD$217,MATCH($DG$122,$CY$160:$CY$217,0),MATCH(D997,$CZ$159:$DD$159,0))))),0,IF($CU$122="4%",(INDEX($CS$160:$CW$217,MATCH($DG$122,$CR$160:$CR$217,0),MATCH(D997,$CS$159:$CW$159,0))),(INDEX($CZ$160:$DD$217,MATCH($DG$122,$CY$160:$CY$217,0),MATCH(D997,$CZ$159:$DD$159,0)))))</f>
        <v>545600</v>
      </c>
      <c r="S997" s="1356"/>
      <c r="T997" s="1356"/>
      <c r="U997" s="1356"/>
      <c r="V997" s="1356"/>
      <c r="W997" s="1356"/>
      <c r="X997" s="1356"/>
      <c r="Y997" s="1356"/>
      <c r="Z997" s="1356"/>
      <c r="AA997" s="1356"/>
      <c r="AB997" s="1348">
        <f>CZ810</f>
        <v>30</v>
      </c>
      <c r="AC997" s="1349"/>
      <c r="AD997" s="1349"/>
      <c r="AE997" s="1349"/>
      <c r="AF997" s="1349"/>
      <c r="AG997" s="1349"/>
      <c r="AH997" s="1349"/>
      <c r="AI997" s="1350"/>
      <c r="AJ997" s="1357">
        <f>IF(ISERROR((R997*AB997)),0,(R997*AB997))</f>
        <v>16368000</v>
      </c>
      <c r="AK997" s="1358"/>
      <c r="AL997" s="1358"/>
      <c r="AM997" s="1358"/>
      <c r="AN997" s="1358"/>
      <c r="AO997" s="1358"/>
      <c r="AP997" s="1358"/>
      <c r="AQ997" s="1359"/>
      <c r="AR997" s="68"/>
      <c r="AS997" s="68"/>
      <c r="AT997" s="68"/>
      <c r="AU997" s="68"/>
      <c r="AV997" s="68"/>
      <c r="AW997" s="68"/>
      <c r="AX997" s="68"/>
      <c r="AY997" s="68"/>
      <c r="AZ997" s="30"/>
      <c r="BB997" s="14"/>
      <c r="BC997" s="14"/>
    </row>
    <row r="998" spans="1:55" ht="12.95" customHeight="1">
      <c r="A998" s="14"/>
      <c r="B998" s="73"/>
      <c r="C998" s="83"/>
      <c r="D998" s="1345" t="s">
        <v>164</v>
      </c>
      <c r="E998" s="1346"/>
      <c r="F998" s="1346"/>
      <c r="G998" s="1346"/>
      <c r="H998" s="1346"/>
      <c r="I998" s="1346"/>
      <c r="J998" s="1346"/>
      <c r="K998" s="1346"/>
      <c r="L998" s="1346"/>
      <c r="M998" s="1346"/>
      <c r="N998" s="1346"/>
      <c r="O998" s="1346"/>
      <c r="P998" s="1346"/>
      <c r="Q998" s="1347"/>
      <c r="R998" s="1356">
        <f>IF(ISNA(IF($CU$122="4%",(INDEX($CS$160:$CW$217,MATCH($DG$122,$CR$160:$CR$217,0),MATCH(D998,$CS$159:$CW$159,0))),(INDEX($CZ$160:$DD$217,MATCH($DG$122,$CY$160:$CY$217,0),MATCH(D998,$CZ$159:$DD$159,0))))),0,IF($CU$122="4%",(INDEX($CS$160:$CW$217,MATCH($DG$122,$CR$160:$CR$217,0),MATCH(D998,$CS$159:$CW$159,0))),(INDEX($CZ$160:$DD$217,MATCH($DG$122,$CY$160:$CY$217,0),MATCH(D998,$CZ$159:$DD$159,0)))))</f>
        <v>698368</v>
      </c>
      <c r="S998" s="1356"/>
      <c r="T998" s="1356"/>
      <c r="U998" s="1356"/>
      <c r="V998" s="1356"/>
      <c r="W998" s="1356"/>
      <c r="X998" s="1356"/>
      <c r="Y998" s="1356"/>
      <c r="Z998" s="1356"/>
      <c r="AA998" s="1356"/>
      <c r="AB998" s="1348">
        <f>DE810</f>
        <v>0</v>
      </c>
      <c r="AC998" s="1349"/>
      <c r="AD998" s="1349"/>
      <c r="AE998" s="1349"/>
      <c r="AF998" s="1349"/>
      <c r="AG998" s="1349"/>
      <c r="AH998" s="1349"/>
      <c r="AI998" s="1350"/>
      <c r="AJ998" s="1357">
        <f>IF(ISERROR((R998*AB998)),0,(R998*AB998))</f>
        <v>0</v>
      </c>
      <c r="AK998" s="1358"/>
      <c r="AL998" s="1358"/>
      <c r="AM998" s="1358"/>
      <c r="AN998" s="1358"/>
      <c r="AO998" s="1358"/>
      <c r="AP998" s="1358"/>
      <c r="AQ998" s="1359"/>
      <c r="AR998" s="68"/>
      <c r="AS998" s="68"/>
      <c r="AT998" s="68"/>
      <c r="AU998" s="68"/>
      <c r="AV998" s="68"/>
      <c r="AW998" s="68"/>
      <c r="AX998" s="68"/>
      <c r="AY998" s="68"/>
      <c r="AZ998" s="30"/>
      <c r="BA998" s="34"/>
      <c r="BB998" s="14"/>
      <c r="BC998" s="14"/>
    </row>
    <row r="999" spans="1:55" ht="12.95" customHeight="1">
      <c r="A999" s="14"/>
      <c r="B999" s="47"/>
      <c r="C999" s="78"/>
      <c r="D999" s="1345" t="s">
        <v>460</v>
      </c>
      <c r="E999" s="1346"/>
      <c r="F999" s="1346"/>
      <c r="G999" s="1346"/>
      <c r="H999" s="1346"/>
      <c r="I999" s="1346"/>
      <c r="J999" s="1346"/>
      <c r="K999" s="1346"/>
      <c r="L999" s="1346"/>
      <c r="M999" s="1346"/>
      <c r="N999" s="1346"/>
      <c r="O999" s="1346"/>
      <c r="P999" s="1346"/>
      <c r="Q999" s="1347"/>
      <c r="R999" s="1356">
        <f>IF(ISNA(IF($CU$122="4%",(INDEX($CS$160:$CW$217,MATCH($DG$122,$CR$160:$CR$217,0),MATCH(D999,$CS$159:$CW$159,0))),(INDEX($CZ$160:$DD$217,MATCH($DG$122,$CY$160:$CY$217,0),MATCH(D999,$CZ$159:$DD$159,0))))),0,IF($CU$122="4%",(INDEX($CS$160:$CW$217,MATCH($DG$122,$CR$160:$CR$217,0),MATCH(D999,$CS$159:$CW$159,0))),(INDEX($CZ$160:$DD$217,MATCH($DG$122,$CY$160:$CY$217,0),MATCH(D999,$CZ$159:$DD$159,0)))))</f>
        <v>778026</v>
      </c>
      <c r="S999" s="1356"/>
      <c r="T999" s="1356"/>
      <c r="U999" s="1356"/>
      <c r="V999" s="1356"/>
      <c r="W999" s="1356"/>
      <c r="X999" s="1356"/>
      <c r="Y999" s="1356"/>
      <c r="Z999" s="1356"/>
      <c r="AA999" s="1356"/>
      <c r="AB999" s="1348">
        <f>DO810+DJ810</f>
        <v>0</v>
      </c>
      <c r="AC999" s="1349"/>
      <c r="AD999" s="1349"/>
      <c r="AE999" s="1349"/>
      <c r="AF999" s="1349"/>
      <c r="AG999" s="1349"/>
      <c r="AH999" s="1349"/>
      <c r="AI999" s="1350"/>
      <c r="AJ999" s="1357">
        <f>IF(ISERROR((R999*AB999)),0,(R999*AB999))</f>
        <v>0</v>
      </c>
      <c r="AK999" s="1358"/>
      <c r="AL999" s="1358"/>
      <c r="AM999" s="1358"/>
      <c r="AN999" s="1358"/>
      <c r="AO999" s="1358"/>
      <c r="AP999" s="1358"/>
      <c r="AQ999" s="1359"/>
      <c r="AR999" s="68"/>
      <c r="AS999" s="68"/>
      <c r="AT999" s="68"/>
      <c r="AU999" s="68"/>
      <c r="AV999" s="68"/>
      <c r="AW999" s="68"/>
      <c r="AX999" s="68"/>
      <c r="AY999" s="68"/>
      <c r="AZ999" s="30"/>
      <c r="BB999" s="14"/>
      <c r="BC999" s="14"/>
    </row>
    <row r="1000" spans="1:55" ht="12.95" customHeight="1">
      <c r="A1000" s="14"/>
      <c r="B1000" s="1583" t="s">
        <v>791</v>
      </c>
      <c r="C1000" s="1584"/>
      <c r="D1000" s="1584"/>
      <c r="E1000" s="1584"/>
      <c r="F1000" s="1584"/>
      <c r="G1000" s="1584"/>
      <c r="H1000" s="1584"/>
      <c r="I1000" s="1584"/>
      <c r="J1000" s="1584"/>
      <c r="K1000" s="1584"/>
      <c r="L1000" s="1584"/>
      <c r="M1000" s="1584"/>
      <c r="N1000" s="1584"/>
      <c r="O1000" s="1584"/>
      <c r="P1000" s="1584"/>
      <c r="Q1000" s="1584"/>
      <c r="R1000" s="1584"/>
      <c r="S1000" s="1584"/>
      <c r="T1000" s="1584"/>
      <c r="U1000" s="1584"/>
      <c r="V1000" s="1584"/>
      <c r="W1000" s="1584"/>
      <c r="X1000" s="1584"/>
      <c r="Y1000" s="1584"/>
      <c r="Z1000" s="1584"/>
      <c r="AA1000" s="1585"/>
      <c r="AB1000" s="1348">
        <f>SUM(AB995:AI999)</f>
        <v>108</v>
      </c>
      <c r="AC1000" s="1349"/>
      <c r="AD1000" s="1349"/>
      <c r="AE1000" s="1349"/>
      <c r="AF1000" s="1349"/>
      <c r="AG1000" s="1349"/>
      <c r="AH1000" s="1349"/>
      <c r="AI1000" s="1350"/>
      <c r="AJ1000" s="1357"/>
      <c r="AK1000" s="1358"/>
      <c r="AL1000" s="1358"/>
      <c r="AM1000" s="1358"/>
      <c r="AN1000" s="1358"/>
      <c r="AO1000" s="1358"/>
      <c r="AP1000" s="1358"/>
      <c r="AQ1000" s="1359"/>
      <c r="AR1000" s="68"/>
      <c r="AS1000" s="68"/>
      <c r="AT1000" s="68"/>
      <c r="AU1000" s="68"/>
      <c r="AV1000" s="68"/>
      <c r="AW1000" s="68"/>
      <c r="AX1000" s="68"/>
      <c r="AY1000" s="68"/>
      <c r="AZ1000" s="34"/>
      <c r="BA1000" s="34"/>
      <c r="BB1000" s="14"/>
      <c r="BC1000" s="14"/>
    </row>
    <row r="1001" spans="1:55" ht="12.95" customHeight="1">
      <c r="A1001" s="14"/>
      <c r="B1001" s="1580" t="s">
        <v>512</v>
      </c>
      <c r="C1001" s="1581"/>
      <c r="D1001" s="1581"/>
      <c r="E1001" s="1581"/>
      <c r="F1001" s="1581"/>
      <c r="G1001" s="1581"/>
      <c r="H1001" s="1581"/>
      <c r="I1001" s="1581"/>
      <c r="J1001" s="1581"/>
      <c r="K1001" s="1581"/>
      <c r="L1001" s="1581"/>
      <c r="M1001" s="1581"/>
      <c r="N1001" s="1581"/>
      <c r="O1001" s="1581"/>
      <c r="P1001" s="1581"/>
      <c r="Q1001" s="1581"/>
      <c r="R1001" s="1581"/>
      <c r="S1001" s="1581"/>
      <c r="T1001" s="1581"/>
      <c r="U1001" s="1581"/>
      <c r="V1001" s="1581"/>
      <c r="W1001" s="1581"/>
      <c r="X1001" s="1581"/>
      <c r="Y1001" s="1581"/>
      <c r="Z1001" s="1581"/>
      <c r="AA1001" s="1581"/>
      <c r="AB1001" s="1581"/>
      <c r="AC1001" s="1581"/>
      <c r="AD1001" s="1581"/>
      <c r="AE1001" s="1581"/>
      <c r="AF1001" s="1581"/>
      <c r="AG1001" s="1581"/>
      <c r="AH1001" s="1581"/>
      <c r="AI1001" s="1582"/>
      <c r="AJ1001" s="1357">
        <f>SUM(AJ995:AQ999)</f>
        <v>50867348</v>
      </c>
      <c r="AK1001" s="1358"/>
      <c r="AL1001" s="1358"/>
      <c r="AM1001" s="1358"/>
      <c r="AN1001" s="1358"/>
      <c r="AO1001" s="1358"/>
      <c r="AP1001" s="1358"/>
      <c r="AQ1001" s="1359"/>
      <c r="AR1001" s="68"/>
      <c r="AS1001" s="68"/>
      <c r="AT1001" s="68"/>
      <c r="AU1001" s="68"/>
      <c r="AV1001" s="68"/>
      <c r="AW1001" s="68"/>
      <c r="AX1001" s="68"/>
      <c r="AY1001" s="68"/>
      <c r="AZ1001" s="34"/>
      <c r="BB1001" s="34"/>
      <c r="BC1001" s="34"/>
    </row>
    <row r="1002" spans="1:55" ht="12.95" customHeight="1">
      <c r="A1002" s="14"/>
      <c r="B1002" s="1363"/>
      <c r="C1002" s="1364"/>
      <c r="D1002" s="1364"/>
      <c r="E1002" s="1364"/>
      <c r="F1002" s="1364"/>
      <c r="G1002" s="1364"/>
      <c r="H1002" s="1364"/>
      <c r="I1002" s="1364"/>
      <c r="J1002" s="1364"/>
      <c r="K1002" s="1364"/>
      <c r="L1002" s="1364"/>
      <c r="M1002" s="1364"/>
      <c r="N1002" s="1364"/>
      <c r="O1002" s="1364"/>
      <c r="P1002" s="1364"/>
      <c r="Q1002" s="1364"/>
      <c r="R1002" s="1364"/>
      <c r="S1002" s="1364"/>
      <c r="T1002" s="1364"/>
      <c r="U1002" s="1364"/>
      <c r="V1002" s="1364"/>
      <c r="W1002" s="1364"/>
      <c r="X1002" s="1364"/>
      <c r="Y1002" s="1364"/>
      <c r="Z1002" s="1364"/>
      <c r="AA1002" s="1364"/>
      <c r="AB1002" s="1364"/>
      <c r="AC1002" s="1364"/>
      <c r="AD1002" s="1364"/>
      <c r="AE1002" s="1365"/>
      <c r="AF1002" s="1559" t="s">
        <v>666</v>
      </c>
      <c r="AG1002" s="1560"/>
      <c r="AH1002" s="1560"/>
      <c r="AI1002" s="1561"/>
      <c r="AJ1002" s="1363"/>
      <c r="AK1002" s="1364"/>
      <c r="AL1002" s="1364"/>
      <c r="AM1002" s="1364"/>
      <c r="AN1002" s="1364"/>
      <c r="AO1002" s="1364"/>
      <c r="AP1002" s="1364"/>
      <c r="AQ1002" s="1365"/>
      <c r="AR1002" s="68"/>
      <c r="AS1002" s="68"/>
      <c r="AT1002" s="68"/>
      <c r="AU1002" s="68"/>
      <c r="AV1002" s="68"/>
      <c r="AW1002" s="68"/>
      <c r="AX1002" s="68"/>
      <c r="AY1002" s="68"/>
      <c r="AZ1002" s="34"/>
      <c r="BA1002" s="34"/>
      <c r="BB1002" s="34"/>
      <c r="BC1002" s="34"/>
    </row>
    <row r="1003" spans="1:55" ht="12.95" customHeight="1">
      <c r="A1003" s="14"/>
      <c r="B1003" s="73"/>
      <c r="C1003" s="918" t="s">
        <v>668</v>
      </c>
      <c r="D1003" s="1308" t="s">
        <v>1219</v>
      </c>
      <c r="E1003" s="1309"/>
      <c r="F1003" s="1309"/>
      <c r="G1003" s="1309"/>
      <c r="H1003" s="1309"/>
      <c r="I1003" s="1309"/>
      <c r="J1003" s="1309"/>
      <c r="K1003" s="1309"/>
      <c r="L1003" s="1309"/>
      <c r="M1003" s="1309"/>
      <c r="N1003" s="1309"/>
      <c r="O1003" s="1309"/>
      <c r="P1003" s="1309"/>
      <c r="Q1003" s="1309"/>
      <c r="R1003" s="1309"/>
      <c r="S1003" s="1309"/>
      <c r="T1003" s="1309"/>
      <c r="U1003" s="1309"/>
      <c r="V1003" s="1309"/>
      <c r="W1003" s="1309"/>
      <c r="X1003" s="1309"/>
      <c r="Y1003" s="1309"/>
      <c r="Z1003" s="1309"/>
      <c r="AA1003" s="1309"/>
      <c r="AB1003" s="1309"/>
      <c r="AC1003" s="1309"/>
      <c r="AD1003" s="1309"/>
      <c r="AE1003" s="1310"/>
      <c r="AF1003" s="79"/>
      <c r="AG1003" s="1562" t="s">
        <v>669</v>
      </c>
      <c r="AH1003" s="1563"/>
      <c r="AI1003" s="87"/>
      <c r="AJ1003" s="1316">
        <f>ROUND(IF(AND(AG1003="yes",D1009&gt;0),AJ1001*0.2,0),0)</f>
        <v>0</v>
      </c>
      <c r="AK1003" s="1317"/>
      <c r="AL1003" s="1317"/>
      <c r="AM1003" s="1317"/>
      <c r="AN1003" s="1317"/>
      <c r="AO1003" s="1317"/>
      <c r="AP1003" s="1317"/>
      <c r="AQ1003" s="1318"/>
      <c r="AR1003" s="68"/>
      <c r="AS1003" s="68"/>
      <c r="AT1003" s="68"/>
      <c r="AU1003" s="68"/>
      <c r="AV1003" s="68"/>
      <c r="AW1003" s="68"/>
      <c r="AX1003" s="68"/>
      <c r="AY1003" s="68"/>
      <c r="AZ1003" s="34"/>
      <c r="BA1003" s="34"/>
      <c r="BB1003" s="34"/>
      <c r="BC1003" s="34"/>
    </row>
    <row r="1004" spans="1:55" ht="12.95" customHeight="1">
      <c r="A1004" s="14"/>
      <c r="B1004" s="257"/>
      <c r="C1004" s="256"/>
      <c r="D1004" s="1518" t="s">
        <v>2183</v>
      </c>
      <c r="E1004" s="1519"/>
      <c r="F1004" s="1519"/>
      <c r="G1004" s="1519"/>
      <c r="H1004" s="1519"/>
      <c r="I1004" s="1519"/>
      <c r="J1004" s="1519"/>
      <c r="K1004" s="1519"/>
      <c r="L1004" s="1519"/>
      <c r="M1004" s="1519"/>
      <c r="N1004" s="1519"/>
      <c r="O1004" s="1519"/>
      <c r="P1004" s="1519"/>
      <c r="Q1004" s="1519"/>
      <c r="R1004" s="1519"/>
      <c r="S1004" s="1519"/>
      <c r="T1004" s="1519"/>
      <c r="U1004" s="1519"/>
      <c r="V1004" s="1519"/>
      <c r="W1004" s="1519"/>
      <c r="X1004" s="1519"/>
      <c r="Y1004" s="1519"/>
      <c r="Z1004" s="1519"/>
      <c r="AA1004" s="1519"/>
      <c r="AB1004" s="1519"/>
      <c r="AC1004" s="1519"/>
      <c r="AD1004" s="1519"/>
      <c r="AE1004" s="1520"/>
      <c r="AF1004" s="73"/>
      <c r="AG1004" s="14"/>
      <c r="AH1004" s="14"/>
      <c r="AI1004" s="83"/>
      <c r="AJ1004" s="1319"/>
      <c r="AK1004" s="1320"/>
      <c r="AL1004" s="1320"/>
      <c r="AM1004" s="1320"/>
      <c r="AN1004" s="1320"/>
      <c r="AO1004" s="1320"/>
      <c r="AP1004" s="1320"/>
      <c r="AQ1004" s="1321"/>
      <c r="AR1004" s="68"/>
      <c r="AS1004" s="68"/>
      <c r="AT1004" s="68"/>
      <c r="AU1004" s="68"/>
      <c r="AV1004" s="68"/>
      <c r="AW1004" s="68"/>
      <c r="AX1004" s="68"/>
      <c r="AY1004" s="68"/>
      <c r="AZ1004" s="34"/>
      <c r="BA1004" s="34"/>
      <c r="BB1004" s="34"/>
      <c r="BC1004" s="34"/>
    </row>
    <row r="1005" spans="1:55" ht="12.95" customHeight="1">
      <c r="A1005" s="14"/>
      <c r="B1005" s="257"/>
      <c r="C1005" s="256"/>
      <c r="D1005" s="1518"/>
      <c r="E1005" s="1519"/>
      <c r="F1005" s="1519"/>
      <c r="G1005" s="1519"/>
      <c r="H1005" s="1519"/>
      <c r="I1005" s="1519"/>
      <c r="J1005" s="1519"/>
      <c r="K1005" s="1519"/>
      <c r="L1005" s="1519"/>
      <c r="M1005" s="1519"/>
      <c r="N1005" s="1519"/>
      <c r="O1005" s="1519"/>
      <c r="P1005" s="1519"/>
      <c r="Q1005" s="1519"/>
      <c r="R1005" s="1519"/>
      <c r="S1005" s="1519"/>
      <c r="T1005" s="1519"/>
      <c r="U1005" s="1519"/>
      <c r="V1005" s="1519"/>
      <c r="W1005" s="1519"/>
      <c r="X1005" s="1519"/>
      <c r="Y1005" s="1519"/>
      <c r="Z1005" s="1519"/>
      <c r="AA1005" s="1519"/>
      <c r="AB1005" s="1519"/>
      <c r="AC1005" s="1519"/>
      <c r="AD1005" s="1519"/>
      <c r="AE1005" s="1520"/>
      <c r="AF1005" s="73"/>
      <c r="AG1005" s="14"/>
      <c r="AH1005" s="14"/>
      <c r="AI1005" s="83"/>
      <c r="AJ1005" s="1319"/>
      <c r="AK1005" s="1320"/>
      <c r="AL1005" s="1320"/>
      <c r="AM1005" s="1320"/>
      <c r="AN1005" s="1320"/>
      <c r="AO1005" s="1320"/>
      <c r="AP1005" s="1320"/>
      <c r="AQ1005" s="1321"/>
      <c r="AR1005" s="68"/>
      <c r="AS1005" s="68"/>
      <c r="AT1005" s="68"/>
      <c r="AU1005" s="68"/>
      <c r="AV1005" s="68"/>
      <c r="AW1005" s="68"/>
      <c r="AX1005" s="68"/>
      <c r="AY1005" s="68"/>
      <c r="AZ1005" s="34"/>
      <c r="BA1005" s="34"/>
      <c r="BB1005" s="34"/>
      <c r="BC1005" s="34"/>
    </row>
    <row r="1006" spans="1:55" ht="12.95" customHeight="1">
      <c r="A1006" s="14"/>
      <c r="B1006" s="257"/>
      <c r="C1006" s="256"/>
      <c r="D1006" s="1518"/>
      <c r="E1006" s="1519"/>
      <c r="F1006" s="1519"/>
      <c r="G1006" s="1519"/>
      <c r="H1006" s="1519"/>
      <c r="I1006" s="1519"/>
      <c r="J1006" s="1519"/>
      <c r="K1006" s="1519"/>
      <c r="L1006" s="1519"/>
      <c r="M1006" s="1519"/>
      <c r="N1006" s="1519"/>
      <c r="O1006" s="1519"/>
      <c r="P1006" s="1519"/>
      <c r="Q1006" s="1519"/>
      <c r="R1006" s="1519"/>
      <c r="S1006" s="1519"/>
      <c r="T1006" s="1519"/>
      <c r="U1006" s="1519"/>
      <c r="V1006" s="1519"/>
      <c r="W1006" s="1519"/>
      <c r="X1006" s="1519"/>
      <c r="Y1006" s="1519"/>
      <c r="Z1006" s="1519"/>
      <c r="AA1006" s="1519"/>
      <c r="AB1006" s="1519"/>
      <c r="AC1006" s="1519"/>
      <c r="AD1006" s="1519"/>
      <c r="AE1006" s="1520"/>
      <c r="AF1006" s="73"/>
      <c r="AG1006" s="14"/>
      <c r="AH1006" s="14"/>
      <c r="AI1006" s="83"/>
      <c r="AJ1006" s="1319"/>
      <c r="AK1006" s="1320"/>
      <c r="AL1006" s="1320"/>
      <c r="AM1006" s="1320"/>
      <c r="AN1006" s="1320"/>
      <c r="AO1006" s="1320"/>
      <c r="AP1006" s="1320"/>
      <c r="AQ1006" s="1321"/>
      <c r="AR1006" s="68"/>
      <c r="AS1006" s="68"/>
      <c r="AT1006" s="68"/>
      <c r="AU1006" s="68"/>
      <c r="AV1006" s="68"/>
      <c r="AW1006" s="68"/>
      <c r="AX1006" s="68"/>
      <c r="AY1006" s="68"/>
      <c r="AZ1006" s="34"/>
      <c r="BA1006" s="34"/>
      <c r="BB1006" s="34"/>
      <c r="BC1006" s="34"/>
    </row>
    <row r="1007" spans="1:55" ht="12.95" customHeight="1">
      <c r="A1007" s="14"/>
      <c r="B1007" s="257"/>
      <c r="C1007" s="256"/>
      <c r="D1007" s="1518"/>
      <c r="E1007" s="1519"/>
      <c r="F1007" s="1519"/>
      <c r="G1007" s="1519"/>
      <c r="H1007" s="1519"/>
      <c r="I1007" s="1519"/>
      <c r="J1007" s="1519"/>
      <c r="K1007" s="1519"/>
      <c r="L1007" s="1519"/>
      <c r="M1007" s="1519"/>
      <c r="N1007" s="1519"/>
      <c r="O1007" s="1519"/>
      <c r="P1007" s="1519"/>
      <c r="Q1007" s="1519"/>
      <c r="R1007" s="1519"/>
      <c r="S1007" s="1519"/>
      <c r="T1007" s="1519"/>
      <c r="U1007" s="1519"/>
      <c r="V1007" s="1519"/>
      <c r="W1007" s="1519"/>
      <c r="X1007" s="1519"/>
      <c r="Y1007" s="1519"/>
      <c r="Z1007" s="1519"/>
      <c r="AA1007" s="1519"/>
      <c r="AB1007" s="1519"/>
      <c r="AC1007" s="1519"/>
      <c r="AD1007" s="1519"/>
      <c r="AE1007" s="1520"/>
      <c r="AF1007" s="73"/>
      <c r="AG1007" s="14"/>
      <c r="AH1007" s="14"/>
      <c r="AI1007" s="83"/>
      <c r="AJ1007" s="1319"/>
      <c r="AK1007" s="1320"/>
      <c r="AL1007" s="1320"/>
      <c r="AM1007" s="1320"/>
      <c r="AN1007" s="1320"/>
      <c r="AO1007" s="1320"/>
      <c r="AP1007" s="1320"/>
      <c r="AQ1007" s="1321"/>
      <c r="AR1007" s="68"/>
      <c r="AS1007" s="68"/>
      <c r="AT1007" s="68"/>
      <c r="AU1007" s="68"/>
      <c r="AV1007" s="68"/>
      <c r="AW1007" s="68"/>
      <c r="AX1007" s="68"/>
      <c r="AY1007" s="68"/>
      <c r="AZ1007" s="34"/>
      <c r="BA1007" s="34"/>
      <c r="BB1007" s="34"/>
      <c r="BC1007" s="34"/>
    </row>
    <row r="1008" spans="1:55" ht="12.95" customHeight="1">
      <c r="A1008" s="14"/>
      <c r="B1008" s="257"/>
      <c r="C1008" s="256"/>
      <c r="D1008" s="1521" t="s">
        <v>2154</v>
      </c>
      <c r="E1008" s="1522"/>
      <c r="F1008" s="1522"/>
      <c r="G1008" s="1522"/>
      <c r="H1008" s="1522"/>
      <c r="I1008" s="1522"/>
      <c r="J1008" s="1522"/>
      <c r="K1008" s="1522"/>
      <c r="L1008" s="1522"/>
      <c r="M1008" s="1522"/>
      <c r="N1008" s="1522"/>
      <c r="O1008" s="1522"/>
      <c r="P1008" s="1522"/>
      <c r="Q1008" s="1522"/>
      <c r="R1008" s="1522"/>
      <c r="S1008" s="1522"/>
      <c r="T1008" s="1522"/>
      <c r="U1008" s="1522"/>
      <c r="V1008" s="1522"/>
      <c r="W1008" s="1522"/>
      <c r="X1008" s="1522"/>
      <c r="Y1008" s="1522"/>
      <c r="Z1008" s="1522"/>
      <c r="AA1008" s="1522"/>
      <c r="AB1008" s="1522"/>
      <c r="AC1008" s="1522"/>
      <c r="AD1008" s="1522"/>
      <c r="AE1008" s="1523"/>
      <c r="AF1008" s="73"/>
      <c r="AG1008" s="14"/>
      <c r="AH1008" s="14"/>
      <c r="AI1008" s="83"/>
      <c r="AJ1008" s="1319"/>
      <c r="AK1008" s="1320"/>
      <c r="AL1008" s="1320"/>
      <c r="AM1008" s="1320"/>
      <c r="AN1008" s="1320"/>
      <c r="AO1008" s="1320"/>
      <c r="AP1008" s="1320"/>
      <c r="AQ1008" s="1321"/>
      <c r="AR1008" s="68"/>
      <c r="AS1008" s="68"/>
      <c r="AT1008" s="68"/>
      <c r="AU1008" s="68"/>
      <c r="AV1008" s="68"/>
      <c r="AW1008" s="68"/>
      <c r="AX1008" s="68"/>
      <c r="AY1008" s="68"/>
      <c r="AZ1008" s="34"/>
      <c r="BA1008" s="34"/>
      <c r="BB1008" s="34"/>
      <c r="BC1008" s="34"/>
    </row>
    <row r="1009" spans="1:55" ht="12.95" customHeight="1">
      <c r="A1009" s="14"/>
      <c r="B1009" s="257"/>
      <c r="C1009" s="256"/>
      <c r="D1009" s="1353"/>
      <c r="E1009" s="1354"/>
      <c r="F1009" s="1354"/>
      <c r="G1009" s="1354"/>
      <c r="H1009" s="1354"/>
      <c r="I1009" s="1354"/>
      <c r="J1009" s="1354"/>
      <c r="K1009" s="1354"/>
      <c r="L1009" s="1354"/>
      <c r="M1009" s="1354"/>
      <c r="N1009" s="1354"/>
      <c r="O1009" s="1354"/>
      <c r="P1009" s="1354"/>
      <c r="Q1009" s="1354"/>
      <c r="R1009" s="1354"/>
      <c r="S1009" s="1354"/>
      <c r="T1009" s="1354"/>
      <c r="U1009" s="1354"/>
      <c r="V1009" s="1354"/>
      <c r="W1009" s="1354"/>
      <c r="X1009" s="1354"/>
      <c r="Y1009" s="1354"/>
      <c r="Z1009" s="1354"/>
      <c r="AA1009" s="1354"/>
      <c r="AB1009" s="1354"/>
      <c r="AC1009" s="1354"/>
      <c r="AD1009" s="1354"/>
      <c r="AE1009" s="1355"/>
      <c r="AF1009" s="77"/>
      <c r="AG1009" s="7"/>
      <c r="AH1009" s="7"/>
      <c r="AI1009" s="78"/>
      <c r="AJ1009" s="1322"/>
      <c r="AK1009" s="1323"/>
      <c r="AL1009" s="1323"/>
      <c r="AM1009" s="1323"/>
      <c r="AN1009" s="1323"/>
      <c r="AO1009" s="1323"/>
      <c r="AP1009" s="1323"/>
      <c r="AQ1009" s="1324"/>
      <c r="AR1009" s="68"/>
      <c r="AS1009" s="68"/>
      <c r="AT1009" s="68"/>
      <c r="AU1009" s="68"/>
      <c r="AV1009" s="68"/>
      <c r="AW1009" s="68"/>
      <c r="AX1009" s="68"/>
      <c r="AY1009" s="68"/>
      <c r="AZ1009" s="34"/>
      <c r="BA1009" s="34"/>
      <c r="BB1009" s="34"/>
      <c r="BC1009" s="34"/>
    </row>
    <row r="1010" spans="1:55" ht="12.95" customHeight="1">
      <c r="A1010" s="14"/>
      <c r="B1010" s="255"/>
      <c r="C1010" s="315"/>
      <c r="D1010" s="1524" t="s">
        <v>1285</v>
      </c>
      <c r="E1010" s="1525"/>
      <c r="F1010" s="1525"/>
      <c r="G1010" s="1525"/>
      <c r="H1010" s="1525"/>
      <c r="I1010" s="1525"/>
      <c r="J1010" s="1525"/>
      <c r="K1010" s="1525"/>
      <c r="L1010" s="1525"/>
      <c r="M1010" s="1525"/>
      <c r="N1010" s="1525"/>
      <c r="O1010" s="1525"/>
      <c r="P1010" s="1525"/>
      <c r="Q1010" s="1525"/>
      <c r="R1010" s="1525"/>
      <c r="S1010" s="1525"/>
      <c r="T1010" s="1525"/>
      <c r="U1010" s="1525"/>
      <c r="V1010" s="1525"/>
      <c r="W1010" s="1525"/>
      <c r="X1010" s="1525"/>
      <c r="Y1010" s="1525"/>
      <c r="Z1010" s="1525"/>
      <c r="AA1010" s="1525"/>
      <c r="AB1010" s="1525"/>
      <c r="AC1010" s="1525"/>
      <c r="AD1010" s="1525"/>
      <c r="AE1010" s="1526"/>
      <c r="AF1010" s="79"/>
      <c r="AG1010" s="1351" t="s">
        <v>669</v>
      </c>
      <c r="AH1010" s="1352"/>
      <c r="AI1010" s="87"/>
      <c r="AJ1010" s="1316">
        <f>ROUND(IF(AG1010="yes",AJ1001*0.05,0),0)</f>
        <v>0</v>
      </c>
      <c r="AK1010" s="1317"/>
      <c r="AL1010" s="1317"/>
      <c r="AM1010" s="1317"/>
      <c r="AN1010" s="1317"/>
      <c r="AO1010" s="1317"/>
      <c r="AP1010" s="1317"/>
      <c r="AQ1010" s="1318"/>
      <c r="AR1010" s="68"/>
      <c r="AS1010" s="68"/>
      <c r="AT1010" s="68"/>
      <c r="AU1010" s="68"/>
      <c r="AV1010" s="68"/>
      <c r="AW1010" s="68"/>
      <c r="AX1010" s="68"/>
      <c r="AY1010" s="68"/>
      <c r="AZ1010" s="34"/>
      <c r="BA1010" s="34"/>
      <c r="BB1010" s="34"/>
      <c r="BC1010" s="34"/>
    </row>
    <row r="1011" spans="1:55" ht="12.95" customHeight="1">
      <c r="A1011" s="14"/>
      <c r="B1011" s="257"/>
      <c r="C1011" s="82"/>
      <c r="D1011" s="1518" t="s">
        <v>1283</v>
      </c>
      <c r="E1011" s="1519"/>
      <c r="F1011" s="1519"/>
      <c r="G1011" s="1519"/>
      <c r="H1011" s="1519"/>
      <c r="I1011" s="1519"/>
      <c r="J1011" s="1519"/>
      <c r="K1011" s="1519"/>
      <c r="L1011" s="1519"/>
      <c r="M1011" s="1519"/>
      <c r="N1011" s="1519"/>
      <c r="O1011" s="1519"/>
      <c r="P1011" s="1519"/>
      <c r="Q1011" s="1519"/>
      <c r="R1011" s="1519"/>
      <c r="S1011" s="1519"/>
      <c r="T1011" s="1519"/>
      <c r="U1011" s="1519"/>
      <c r="V1011" s="1519"/>
      <c r="W1011" s="1519"/>
      <c r="X1011" s="1519"/>
      <c r="Y1011" s="1519"/>
      <c r="Z1011" s="1519"/>
      <c r="AA1011" s="1519"/>
      <c r="AB1011" s="1519"/>
      <c r="AC1011" s="1519"/>
      <c r="AD1011" s="1519"/>
      <c r="AE1011" s="1520"/>
      <c r="AF1011" s="73"/>
      <c r="AG1011" s="14"/>
      <c r="AH1011" s="14"/>
      <c r="AI1011" s="83"/>
      <c r="AJ1011" s="1319"/>
      <c r="AK1011" s="1320"/>
      <c r="AL1011" s="1320"/>
      <c r="AM1011" s="1320"/>
      <c r="AN1011" s="1320"/>
      <c r="AO1011" s="1320"/>
      <c r="AP1011" s="1320"/>
      <c r="AQ1011" s="1321"/>
      <c r="AR1011" s="68"/>
      <c r="AS1011" s="68"/>
      <c r="AT1011" s="68"/>
      <c r="AU1011" s="68"/>
      <c r="AV1011" s="68"/>
      <c r="AW1011" s="68"/>
      <c r="AX1011" s="68"/>
      <c r="AY1011" s="34"/>
      <c r="AZ1011" s="34"/>
      <c r="BB1011" s="34"/>
    </row>
    <row r="1012" spans="1:55" ht="12.95" customHeight="1">
      <c r="A1012" s="14"/>
      <c r="B1012" s="257"/>
      <c r="C1012" s="82"/>
      <c r="D1012" s="1518"/>
      <c r="E1012" s="1519"/>
      <c r="F1012" s="1519"/>
      <c r="G1012" s="1519"/>
      <c r="H1012" s="1519"/>
      <c r="I1012" s="1519"/>
      <c r="J1012" s="1519"/>
      <c r="K1012" s="1519"/>
      <c r="L1012" s="1519"/>
      <c r="M1012" s="1519"/>
      <c r="N1012" s="1519"/>
      <c r="O1012" s="1519"/>
      <c r="P1012" s="1519"/>
      <c r="Q1012" s="1519"/>
      <c r="R1012" s="1519"/>
      <c r="S1012" s="1519"/>
      <c r="T1012" s="1519"/>
      <c r="U1012" s="1519"/>
      <c r="V1012" s="1519"/>
      <c r="W1012" s="1519"/>
      <c r="X1012" s="1519"/>
      <c r="Y1012" s="1519"/>
      <c r="Z1012" s="1519"/>
      <c r="AA1012" s="1519"/>
      <c r="AB1012" s="1519"/>
      <c r="AC1012" s="1519"/>
      <c r="AD1012" s="1519"/>
      <c r="AE1012" s="1520"/>
      <c r="AF1012" s="73"/>
      <c r="AG1012" s="14"/>
      <c r="AH1012" s="14"/>
      <c r="AI1012" s="83"/>
      <c r="AJ1012" s="1319"/>
      <c r="AK1012" s="1320"/>
      <c r="AL1012" s="1320"/>
      <c r="AM1012" s="1320"/>
      <c r="AN1012" s="1320"/>
      <c r="AO1012" s="1320"/>
      <c r="AP1012" s="1320"/>
      <c r="AQ1012" s="1321"/>
      <c r="AR1012" s="68"/>
      <c r="AS1012" s="68"/>
      <c r="AT1012" s="68"/>
      <c r="AU1012" s="68"/>
      <c r="AV1012" s="68"/>
      <c r="AW1012" s="68"/>
      <c r="AX1012" s="68"/>
      <c r="AY1012" s="905">
        <f>G761+O805</f>
        <v>107</v>
      </c>
      <c r="AZ1012" s="34"/>
      <c r="BB1012" s="34"/>
    </row>
    <row r="1013" spans="1:55" ht="12.95" customHeight="1">
      <c r="A1013" s="14"/>
      <c r="B1013" s="257"/>
      <c r="C1013" s="82"/>
      <c r="D1013" s="1518"/>
      <c r="E1013" s="1519"/>
      <c r="F1013" s="1519"/>
      <c r="G1013" s="1519"/>
      <c r="H1013" s="1519"/>
      <c r="I1013" s="1519"/>
      <c r="J1013" s="1519"/>
      <c r="K1013" s="1519"/>
      <c r="L1013" s="1519"/>
      <c r="M1013" s="1519"/>
      <c r="N1013" s="1519"/>
      <c r="O1013" s="1519"/>
      <c r="P1013" s="1519"/>
      <c r="Q1013" s="1519"/>
      <c r="R1013" s="1519"/>
      <c r="S1013" s="1519"/>
      <c r="T1013" s="1519"/>
      <c r="U1013" s="1519"/>
      <c r="V1013" s="1519"/>
      <c r="W1013" s="1519"/>
      <c r="X1013" s="1519"/>
      <c r="Y1013" s="1519"/>
      <c r="Z1013" s="1519"/>
      <c r="AA1013" s="1519"/>
      <c r="AB1013" s="1519"/>
      <c r="AC1013" s="1519"/>
      <c r="AD1013" s="1519"/>
      <c r="AE1013" s="1520"/>
      <c r="AF1013" s="73"/>
      <c r="AG1013" s="14"/>
      <c r="AH1013" s="14"/>
      <c r="AI1013" s="83"/>
      <c r="AJ1013" s="1319"/>
      <c r="AK1013" s="1320"/>
      <c r="AL1013" s="1320"/>
      <c r="AM1013" s="1320"/>
      <c r="AN1013" s="1320"/>
      <c r="AO1013" s="1320"/>
      <c r="AP1013" s="1320"/>
      <c r="AQ1013" s="1321"/>
      <c r="AR1013" s="68"/>
      <c r="AS1013" s="68"/>
      <c r="AT1013" s="68"/>
      <c r="AU1013" s="68"/>
      <c r="AV1013" s="68"/>
      <c r="AW1013" s="68"/>
      <c r="AX1013" s="68"/>
      <c r="AY1013" s="14"/>
      <c r="AZ1013" s="34"/>
      <c r="BB1013" s="34"/>
    </row>
    <row r="1014" spans="1:55" ht="12.95" customHeight="1">
      <c r="A1014" s="14"/>
      <c r="B1014" s="257"/>
      <c r="C1014" s="82"/>
      <c r="D1014" s="1518"/>
      <c r="E1014" s="1519"/>
      <c r="F1014" s="1519"/>
      <c r="G1014" s="1519"/>
      <c r="H1014" s="1519"/>
      <c r="I1014" s="1519"/>
      <c r="J1014" s="1519"/>
      <c r="K1014" s="1519"/>
      <c r="L1014" s="1519"/>
      <c r="M1014" s="1519"/>
      <c r="N1014" s="1519"/>
      <c r="O1014" s="1519"/>
      <c r="P1014" s="1519"/>
      <c r="Q1014" s="1519"/>
      <c r="R1014" s="1519"/>
      <c r="S1014" s="1519"/>
      <c r="T1014" s="1519"/>
      <c r="U1014" s="1519"/>
      <c r="V1014" s="1519"/>
      <c r="W1014" s="1519"/>
      <c r="X1014" s="1519"/>
      <c r="Y1014" s="1519"/>
      <c r="Z1014" s="1519"/>
      <c r="AA1014" s="1519"/>
      <c r="AB1014" s="1519"/>
      <c r="AC1014" s="1519"/>
      <c r="AD1014" s="1519"/>
      <c r="AE1014" s="1520"/>
      <c r="AF1014" s="73"/>
      <c r="AG1014" s="14"/>
      <c r="AH1014" s="14"/>
      <c r="AI1014" s="83"/>
      <c r="AJ1014" s="1319"/>
      <c r="AK1014" s="1320"/>
      <c r="AL1014" s="1320"/>
      <c r="AM1014" s="1320"/>
      <c r="AN1014" s="1320"/>
      <c r="AO1014" s="1320"/>
      <c r="AP1014" s="1320"/>
      <c r="AQ1014" s="1321"/>
      <c r="AR1014" s="68"/>
      <c r="AS1014" s="68"/>
      <c r="AT1014" s="68"/>
      <c r="AU1014" s="68"/>
      <c r="AV1014" s="68"/>
      <c r="AW1014" s="68"/>
      <c r="AX1014" s="68"/>
      <c r="AY1014" s="904">
        <f>ROUNDDOWN(X1057/I1057,2)</f>
        <v>0.1</v>
      </c>
      <c r="AZ1014" s="34"/>
      <c r="BB1014" s="34"/>
    </row>
    <row r="1015" spans="1:55" ht="12.95" customHeight="1">
      <c r="A1015" s="14"/>
      <c r="B1015" s="75"/>
      <c r="C1015" s="76"/>
      <c r="D1015" s="1521"/>
      <c r="E1015" s="1522"/>
      <c r="F1015" s="1522"/>
      <c r="G1015" s="1522"/>
      <c r="H1015" s="1522"/>
      <c r="I1015" s="1522"/>
      <c r="J1015" s="1522"/>
      <c r="K1015" s="1522"/>
      <c r="L1015" s="1522"/>
      <c r="M1015" s="1522"/>
      <c r="N1015" s="1522"/>
      <c r="O1015" s="1522"/>
      <c r="P1015" s="1522"/>
      <c r="Q1015" s="1522"/>
      <c r="R1015" s="1522"/>
      <c r="S1015" s="1522"/>
      <c r="T1015" s="1522"/>
      <c r="U1015" s="1522"/>
      <c r="V1015" s="1522"/>
      <c r="W1015" s="1522"/>
      <c r="X1015" s="1522"/>
      <c r="Y1015" s="1522"/>
      <c r="Z1015" s="1522"/>
      <c r="AA1015" s="1522"/>
      <c r="AB1015" s="1522"/>
      <c r="AC1015" s="1522"/>
      <c r="AD1015" s="1522"/>
      <c r="AE1015" s="1523"/>
      <c r="AF1015" s="77"/>
      <c r="AG1015" s="7"/>
      <c r="AH1015" s="7"/>
      <c r="AI1015" s="78"/>
      <c r="AJ1015" s="1322"/>
      <c r="AK1015" s="1323"/>
      <c r="AL1015" s="1323"/>
      <c r="AM1015" s="1323"/>
      <c r="AN1015" s="1323"/>
      <c r="AO1015" s="1323"/>
      <c r="AP1015" s="1323"/>
      <c r="AQ1015" s="1324"/>
      <c r="AR1015" s="68"/>
      <c r="AS1015" s="68"/>
      <c r="AT1015" s="68"/>
      <c r="AU1015" s="68"/>
      <c r="AV1015" s="68"/>
      <c r="AW1015" s="68"/>
      <c r="AX1015" s="68"/>
      <c r="AY1015" s="904">
        <f>ROUNDDOWN(X1061/I1061,2)</f>
        <v>0.1</v>
      </c>
      <c r="AZ1015" s="34"/>
      <c r="BB1015" s="34"/>
    </row>
    <row r="1016" spans="1:55" ht="12.95" customHeight="1">
      <c r="A1016" s="14"/>
      <c r="B1016" s="255"/>
      <c r="C1016" s="80" t="s">
        <v>672</v>
      </c>
      <c r="D1016" s="1524" t="s">
        <v>1671</v>
      </c>
      <c r="E1016" s="1525"/>
      <c r="F1016" s="1525"/>
      <c r="G1016" s="1525"/>
      <c r="H1016" s="1525"/>
      <c r="I1016" s="1525"/>
      <c r="J1016" s="1525"/>
      <c r="K1016" s="1525"/>
      <c r="L1016" s="1525"/>
      <c r="M1016" s="1525"/>
      <c r="N1016" s="1525"/>
      <c r="O1016" s="1525"/>
      <c r="P1016" s="1525"/>
      <c r="Q1016" s="1525"/>
      <c r="R1016" s="1525"/>
      <c r="S1016" s="1525"/>
      <c r="T1016" s="1525"/>
      <c r="U1016" s="1525"/>
      <c r="V1016" s="1525"/>
      <c r="W1016" s="1525"/>
      <c r="X1016" s="1525"/>
      <c r="Y1016" s="1525"/>
      <c r="Z1016" s="1525"/>
      <c r="AA1016" s="1525"/>
      <c r="AB1016" s="1525"/>
      <c r="AC1016" s="1525"/>
      <c r="AD1016" s="1525"/>
      <c r="AE1016" s="1526"/>
      <c r="AF1016" s="86"/>
      <c r="AG1016" s="1351" t="s">
        <v>669</v>
      </c>
      <c r="AH1016" s="1352"/>
      <c r="AI1016" s="87"/>
      <c r="AJ1016" s="1316">
        <f>ROUND(IF(AG1016="yes",AJ1001*0.1,0),0)</f>
        <v>0</v>
      </c>
      <c r="AK1016" s="1317"/>
      <c r="AL1016" s="1317"/>
      <c r="AM1016" s="1317"/>
      <c r="AN1016" s="1317"/>
      <c r="AO1016" s="1317"/>
      <c r="AP1016" s="1317"/>
      <c r="AQ1016" s="1318"/>
      <c r="AR1016" s="68"/>
      <c r="AS1016" s="68"/>
      <c r="AT1016" s="68"/>
      <c r="AU1016" s="68"/>
      <c r="AV1016" s="68"/>
      <c r="AW1016" s="68"/>
      <c r="AX1016" s="68"/>
      <c r="BB1016" s="34"/>
    </row>
    <row r="1017" spans="1:55" ht="12.95" customHeight="1">
      <c r="A1017" s="14"/>
      <c r="B1017" s="73"/>
      <c r="C1017" s="74"/>
      <c r="D1017" s="1532" t="s">
        <v>1284</v>
      </c>
      <c r="E1017" s="1533"/>
      <c r="F1017" s="1533"/>
      <c r="G1017" s="1533"/>
      <c r="H1017" s="1533"/>
      <c r="I1017" s="1533"/>
      <c r="J1017" s="1533"/>
      <c r="K1017" s="1533"/>
      <c r="L1017" s="1533"/>
      <c r="M1017" s="1533"/>
      <c r="N1017" s="1533"/>
      <c r="O1017" s="1533"/>
      <c r="P1017" s="1533"/>
      <c r="Q1017" s="1533"/>
      <c r="R1017" s="1533"/>
      <c r="S1017" s="1533"/>
      <c r="T1017" s="1533"/>
      <c r="U1017" s="1533"/>
      <c r="V1017" s="1533"/>
      <c r="W1017" s="1533"/>
      <c r="X1017" s="1533"/>
      <c r="Y1017" s="1533"/>
      <c r="Z1017" s="1533"/>
      <c r="AA1017" s="1533"/>
      <c r="AB1017" s="1533"/>
      <c r="AC1017" s="1533"/>
      <c r="AD1017" s="1533"/>
      <c r="AE1017" s="1534"/>
      <c r="AF1017" s="73"/>
      <c r="AI1017" s="83"/>
      <c r="AJ1017" s="1319"/>
      <c r="AK1017" s="1320"/>
      <c r="AL1017" s="1320"/>
      <c r="AM1017" s="1320"/>
      <c r="AN1017" s="1320"/>
      <c r="AO1017" s="1320"/>
      <c r="AP1017" s="1320"/>
      <c r="AQ1017" s="1321"/>
      <c r="AR1017" s="68"/>
      <c r="AS1017" s="68"/>
      <c r="AT1017" s="68"/>
      <c r="AU1017" s="68"/>
      <c r="AV1017" s="68"/>
      <c r="AW1017" s="68"/>
      <c r="AX1017" s="68"/>
    </row>
    <row r="1018" spans="1:55" ht="12.95" customHeight="1">
      <c r="A1018" s="14"/>
      <c r="B1018" s="73"/>
      <c r="C1018" s="74"/>
      <c r="D1018" s="1532"/>
      <c r="E1018" s="1533"/>
      <c r="F1018" s="1533"/>
      <c r="G1018" s="1533"/>
      <c r="H1018" s="1533"/>
      <c r="I1018" s="1533"/>
      <c r="J1018" s="1533"/>
      <c r="K1018" s="1533"/>
      <c r="L1018" s="1533"/>
      <c r="M1018" s="1533"/>
      <c r="N1018" s="1533"/>
      <c r="O1018" s="1533"/>
      <c r="P1018" s="1533"/>
      <c r="Q1018" s="1533"/>
      <c r="R1018" s="1533"/>
      <c r="S1018" s="1533"/>
      <c r="T1018" s="1533"/>
      <c r="U1018" s="1533"/>
      <c r="V1018" s="1533"/>
      <c r="W1018" s="1533"/>
      <c r="X1018" s="1533"/>
      <c r="Y1018" s="1533"/>
      <c r="Z1018" s="1533"/>
      <c r="AA1018" s="1533"/>
      <c r="AB1018" s="1533"/>
      <c r="AC1018" s="1533"/>
      <c r="AD1018" s="1533"/>
      <c r="AE1018" s="1534"/>
      <c r="AF1018" s="73"/>
      <c r="AG1018" s="14"/>
      <c r="AH1018" s="14"/>
      <c r="AI1018" s="83"/>
      <c r="AJ1018" s="1319"/>
      <c r="AK1018" s="1320"/>
      <c r="AL1018" s="1320"/>
      <c r="AM1018" s="1320"/>
      <c r="AN1018" s="1320"/>
      <c r="AO1018" s="1320"/>
      <c r="AP1018" s="1320"/>
      <c r="AQ1018" s="1321"/>
      <c r="AR1018" s="68"/>
      <c r="AS1018" s="68"/>
      <c r="AT1018" s="68"/>
      <c r="AU1018" s="68"/>
      <c r="AV1018" s="68"/>
      <c r="AW1018" s="68"/>
      <c r="AX1018" s="68"/>
    </row>
    <row r="1019" spans="1:55" ht="12.95" customHeight="1">
      <c r="A1019" s="14"/>
      <c r="B1019" s="85"/>
      <c r="C1019" s="76"/>
      <c r="D1019" s="1527"/>
      <c r="E1019" s="1528"/>
      <c r="F1019" s="1528"/>
      <c r="G1019" s="1528"/>
      <c r="H1019" s="1528"/>
      <c r="I1019" s="1528"/>
      <c r="J1019" s="1528"/>
      <c r="K1019" s="1528"/>
      <c r="L1019" s="1528"/>
      <c r="M1019" s="1528"/>
      <c r="N1019" s="1528"/>
      <c r="O1019" s="1528"/>
      <c r="P1019" s="1528"/>
      <c r="Q1019" s="1528"/>
      <c r="R1019" s="1528"/>
      <c r="S1019" s="1528"/>
      <c r="T1019" s="1528"/>
      <c r="U1019" s="1528"/>
      <c r="V1019" s="1528"/>
      <c r="W1019" s="1528"/>
      <c r="X1019" s="1528"/>
      <c r="Y1019" s="1528"/>
      <c r="Z1019" s="1528"/>
      <c r="AA1019" s="1528"/>
      <c r="AB1019" s="1528"/>
      <c r="AC1019" s="1528"/>
      <c r="AD1019" s="1528"/>
      <c r="AE1019" s="1529"/>
      <c r="AF1019" s="77"/>
      <c r="AG1019" s="7"/>
      <c r="AH1019" s="7"/>
      <c r="AI1019" s="78"/>
      <c r="AJ1019" s="1322"/>
      <c r="AK1019" s="1323"/>
      <c r="AL1019" s="1323"/>
      <c r="AM1019" s="1323"/>
      <c r="AN1019" s="1323"/>
      <c r="AO1019" s="1323"/>
      <c r="AP1019" s="1323"/>
      <c r="AQ1019" s="1324"/>
      <c r="AR1019" s="68"/>
      <c r="AS1019" s="68"/>
      <c r="AT1019" s="68"/>
      <c r="AU1019" s="68"/>
      <c r="AV1019" s="68"/>
      <c r="AW1019" s="68"/>
      <c r="AX1019" s="68"/>
    </row>
    <row r="1020" spans="1:55" ht="12.95" customHeight="1">
      <c r="A1020" s="14"/>
      <c r="B1020" s="79"/>
      <c r="C1020" s="80" t="s">
        <v>212</v>
      </c>
      <c r="D1020" s="1524" t="s">
        <v>1286</v>
      </c>
      <c r="E1020" s="1525"/>
      <c r="F1020" s="1525"/>
      <c r="G1020" s="1525"/>
      <c r="H1020" s="1525"/>
      <c r="I1020" s="1525"/>
      <c r="J1020" s="1525"/>
      <c r="K1020" s="1525"/>
      <c r="L1020" s="1525"/>
      <c r="M1020" s="1525"/>
      <c r="N1020" s="1525"/>
      <c r="O1020" s="1525"/>
      <c r="P1020" s="1525"/>
      <c r="Q1020" s="1525"/>
      <c r="R1020" s="1525"/>
      <c r="S1020" s="1525"/>
      <c r="T1020" s="1525"/>
      <c r="U1020" s="1525"/>
      <c r="V1020" s="1525"/>
      <c r="W1020" s="1525"/>
      <c r="X1020" s="1525"/>
      <c r="Y1020" s="1525"/>
      <c r="Z1020" s="1525"/>
      <c r="AA1020" s="1525"/>
      <c r="AB1020" s="1525"/>
      <c r="AC1020" s="1525"/>
      <c r="AD1020" s="1525"/>
      <c r="AE1020" s="1526"/>
      <c r="AF1020" s="79"/>
      <c r="AG1020" s="1351" t="s">
        <v>669</v>
      </c>
      <c r="AH1020" s="1352"/>
      <c r="AI1020" s="87"/>
      <c r="AJ1020" s="1316">
        <f>ROUND(IF(AG1020="yes",AJ1001*0.02,0),0)</f>
        <v>0</v>
      </c>
      <c r="AK1020" s="1317"/>
      <c r="AL1020" s="1317"/>
      <c r="AM1020" s="1317"/>
      <c r="AN1020" s="1317"/>
      <c r="AO1020" s="1317"/>
      <c r="AP1020" s="1317"/>
      <c r="AQ1020" s="1318"/>
      <c r="AR1020" s="68"/>
      <c r="AS1020" s="68"/>
      <c r="AT1020" s="68"/>
      <c r="AU1020" s="68"/>
      <c r="AV1020" s="68"/>
      <c r="AW1020" s="68"/>
      <c r="AX1020" s="68"/>
    </row>
    <row r="1021" spans="1:55" ht="14.25" customHeight="1">
      <c r="A1021" s="14"/>
      <c r="B1021" s="73"/>
      <c r="C1021" s="74"/>
      <c r="D1021" s="1527" t="s">
        <v>1287</v>
      </c>
      <c r="E1021" s="1528"/>
      <c r="F1021" s="1528"/>
      <c r="G1021" s="1528"/>
      <c r="H1021" s="1528"/>
      <c r="I1021" s="1528"/>
      <c r="J1021" s="1528"/>
      <c r="K1021" s="1528"/>
      <c r="L1021" s="1528"/>
      <c r="M1021" s="1528"/>
      <c r="N1021" s="1528"/>
      <c r="O1021" s="1528"/>
      <c r="P1021" s="1528"/>
      <c r="Q1021" s="1528"/>
      <c r="R1021" s="1528"/>
      <c r="S1021" s="1528"/>
      <c r="T1021" s="1528"/>
      <c r="U1021" s="1528"/>
      <c r="V1021" s="1528"/>
      <c r="W1021" s="1528"/>
      <c r="X1021" s="1528"/>
      <c r="Y1021" s="1528"/>
      <c r="Z1021" s="1528"/>
      <c r="AA1021" s="1528"/>
      <c r="AB1021" s="1528"/>
      <c r="AC1021" s="1528"/>
      <c r="AD1021" s="1528"/>
      <c r="AE1021" s="1529"/>
      <c r="AF1021" s="77"/>
      <c r="AG1021" s="7"/>
      <c r="AH1021" s="7"/>
      <c r="AI1021" s="78"/>
      <c r="AJ1021" s="1322"/>
      <c r="AK1021" s="1323"/>
      <c r="AL1021" s="1323"/>
      <c r="AM1021" s="1323"/>
      <c r="AN1021" s="1323"/>
      <c r="AO1021" s="1323"/>
      <c r="AP1021" s="1323"/>
      <c r="AQ1021" s="1324"/>
      <c r="AR1021" s="68"/>
      <c r="AS1021" s="68"/>
      <c r="AT1021" s="68"/>
      <c r="AU1021" s="68"/>
      <c r="AV1021" s="68"/>
      <c r="AW1021" s="68"/>
      <c r="AX1021" s="3" t="s">
        <v>1812</v>
      </c>
      <c r="AZ1021" s="3" t="s">
        <v>2525</v>
      </c>
    </row>
    <row r="1022" spans="1:55" ht="12.95" customHeight="1">
      <c r="A1022" s="14"/>
      <c r="B1022" s="79"/>
      <c r="C1022" s="80" t="s">
        <v>215</v>
      </c>
      <c r="D1022" s="1524" t="s">
        <v>1288</v>
      </c>
      <c r="E1022" s="1525"/>
      <c r="F1022" s="1525"/>
      <c r="G1022" s="1525"/>
      <c r="H1022" s="1525"/>
      <c r="I1022" s="1525"/>
      <c r="J1022" s="1525"/>
      <c r="K1022" s="1525"/>
      <c r="L1022" s="1525"/>
      <c r="M1022" s="1525"/>
      <c r="N1022" s="1525"/>
      <c r="O1022" s="1525"/>
      <c r="P1022" s="1525"/>
      <c r="Q1022" s="1525"/>
      <c r="R1022" s="1525"/>
      <c r="S1022" s="1525"/>
      <c r="T1022" s="1525"/>
      <c r="U1022" s="1525"/>
      <c r="V1022" s="1525"/>
      <c r="W1022" s="1525"/>
      <c r="X1022" s="1525"/>
      <c r="Y1022" s="1525"/>
      <c r="Z1022" s="1525"/>
      <c r="AA1022" s="1525"/>
      <c r="AB1022" s="1525"/>
      <c r="AC1022" s="1525"/>
      <c r="AD1022" s="1525"/>
      <c r="AE1022" s="1526"/>
      <c r="AF1022" s="79"/>
      <c r="AG1022" s="1351" t="s">
        <v>669</v>
      </c>
      <c r="AH1022" s="1352"/>
      <c r="AI1022" s="79"/>
      <c r="AJ1022" s="1316">
        <f>ROUND(IF(AG1022="yes",AJ1001*0.02,0),0)</f>
        <v>0</v>
      </c>
      <c r="AK1022" s="1317"/>
      <c r="AL1022" s="1317"/>
      <c r="AM1022" s="1317"/>
      <c r="AN1022" s="1317"/>
      <c r="AO1022" s="1317"/>
      <c r="AP1022" s="1317"/>
      <c r="AQ1022" s="1318"/>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532" t="s">
        <v>1289</v>
      </c>
      <c r="E1023" s="1533"/>
      <c r="F1023" s="1533"/>
      <c r="G1023" s="1533"/>
      <c r="H1023" s="1533"/>
      <c r="I1023" s="1533"/>
      <c r="J1023" s="1533"/>
      <c r="K1023" s="1533"/>
      <c r="L1023" s="1533"/>
      <c r="M1023" s="1533"/>
      <c r="N1023" s="1533"/>
      <c r="O1023" s="1533"/>
      <c r="P1023" s="1533"/>
      <c r="Q1023" s="1533"/>
      <c r="R1023" s="1533"/>
      <c r="S1023" s="1533"/>
      <c r="T1023" s="1533"/>
      <c r="U1023" s="1533"/>
      <c r="V1023" s="1533"/>
      <c r="W1023" s="1533"/>
      <c r="X1023" s="1533"/>
      <c r="Y1023" s="1533"/>
      <c r="Z1023" s="1533"/>
      <c r="AA1023" s="1533"/>
      <c r="AB1023" s="1533"/>
      <c r="AC1023" s="1533"/>
      <c r="AD1023" s="1533"/>
      <c r="AE1023" s="1534"/>
      <c r="AF1023" s="1293" t="str">
        <f>IF(AND(AG1022="yes",T212&lt;&gt;1),"The project may not be eligible for this boost","")</f>
        <v/>
      </c>
      <c r="AG1023" s="1294"/>
      <c r="AH1023" s="1294"/>
      <c r="AI1023" s="1295"/>
      <c r="AJ1023" s="1319"/>
      <c r="AK1023" s="1320"/>
      <c r="AL1023" s="1320"/>
      <c r="AM1023" s="1320"/>
      <c r="AN1023" s="1320"/>
      <c r="AO1023" s="1320"/>
      <c r="AP1023" s="1320"/>
      <c r="AQ1023" s="1321"/>
      <c r="AR1023" s="68"/>
      <c r="AS1023" s="68"/>
      <c r="AT1023" s="68"/>
      <c r="AU1023" s="68"/>
      <c r="AV1023" s="68"/>
      <c r="AW1023" s="68"/>
      <c r="AX1023" s="3">
        <v>2</v>
      </c>
      <c r="AY1023" s="200">
        <f t="shared" ref="AY1023:AY1032" si="54">IF((_xlfn.XLOOKUP(AX1023,$C$1074:$C$1112,$A$1074:$A$1112,"",0,1))="Yes",AZ1023,0)</f>
        <v>0</v>
      </c>
      <c r="AZ1023" s="1184">
        <v>0.15</v>
      </c>
    </row>
    <row r="1024" spans="1:55" ht="12.95" customHeight="1">
      <c r="A1024" s="14"/>
      <c r="B1024" s="75"/>
      <c r="C1024" s="76"/>
      <c r="D1024" s="1527"/>
      <c r="E1024" s="1528"/>
      <c r="F1024" s="1528"/>
      <c r="G1024" s="1528"/>
      <c r="H1024" s="1528"/>
      <c r="I1024" s="1528"/>
      <c r="J1024" s="1528"/>
      <c r="K1024" s="1528"/>
      <c r="L1024" s="1528"/>
      <c r="M1024" s="1528"/>
      <c r="N1024" s="1528"/>
      <c r="O1024" s="1528"/>
      <c r="P1024" s="1528"/>
      <c r="Q1024" s="1528"/>
      <c r="R1024" s="1528"/>
      <c r="S1024" s="1528"/>
      <c r="T1024" s="1528"/>
      <c r="U1024" s="1528"/>
      <c r="V1024" s="1528"/>
      <c r="W1024" s="1528"/>
      <c r="X1024" s="1528"/>
      <c r="Y1024" s="1528"/>
      <c r="Z1024" s="1528"/>
      <c r="AA1024" s="1528"/>
      <c r="AB1024" s="1528"/>
      <c r="AC1024" s="1528"/>
      <c r="AD1024" s="1528"/>
      <c r="AE1024" s="1529"/>
      <c r="AF1024" s="1296"/>
      <c r="AG1024" s="1297"/>
      <c r="AH1024" s="1297"/>
      <c r="AI1024" s="1298"/>
      <c r="AJ1024" s="1322"/>
      <c r="AK1024" s="1323"/>
      <c r="AL1024" s="1323"/>
      <c r="AM1024" s="1323"/>
      <c r="AN1024" s="1323"/>
      <c r="AO1024" s="1323"/>
      <c r="AP1024" s="1323"/>
      <c r="AQ1024" s="1324"/>
      <c r="AR1024" s="68"/>
      <c r="AS1024" s="68"/>
      <c r="AT1024" s="68"/>
      <c r="AU1024" s="68"/>
      <c r="AV1024" s="68"/>
      <c r="AW1024" s="68"/>
      <c r="AX1024" s="3">
        <v>3</v>
      </c>
      <c r="AY1024" s="200">
        <f t="shared" si="54"/>
        <v>0</v>
      </c>
      <c r="AZ1024" s="1184">
        <v>0.05</v>
      </c>
    </row>
    <row r="1025" spans="1:52" ht="12.95" customHeight="1">
      <c r="A1025" s="14"/>
      <c r="B1025" s="79"/>
      <c r="C1025" s="80" t="s">
        <v>218</v>
      </c>
      <c r="D1025" s="1308" t="s">
        <v>2184</v>
      </c>
      <c r="E1025" s="1309"/>
      <c r="F1025" s="1309"/>
      <c r="G1025" s="1309"/>
      <c r="H1025" s="1309"/>
      <c r="I1025" s="1309"/>
      <c r="J1025" s="1309"/>
      <c r="K1025" s="1309"/>
      <c r="L1025" s="1309"/>
      <c r="M1025" s="1309"/>
      <c r="N1025" s="1309"/>
      <c r="O1025" s="1309"/>
      <c r="P1025" s="1309"/>
      <c r="Q1025" s="1309"/>
      <c r="R1025" s="1309"/>
      <c r="S1025" s="1309"/>
      <c r="T1025" s="1309"/>
      <c r="U1025" s="1309"/>
      <c r="V1025" s="1309"/>
      <c r="W1025" s="1309"/>
      <c r="X1025" s="1309"/>
      <c r="Y1025" s="1309"/>
      <c r="Z1025" s="1309"/>
      <c r="AA1025" s="1309"/>
      <c r="AB1025" s="1309"/>
      <c r="AC1025" s="1309"/>
      <c r="AD1025" s="1309"/>
      <c r="AE1025" s="1310"/>
      <c r="AF1025" s="79"/>
      <c r="AG1025" s="1351" t="s">
        <v>669</v>
      </c>
      <c r="AH1025" s="1352"/>
      <c r="AI1025" s="87"/>
      <c r="AJ1025" s="1316">
        <f>IF(AG1025="yes",AJ1001*AY1033,0)</f>
        <v>0</v>
      </c>
      <c r="AK1025" s="1317"/>
      <c r="AL1025" s="1317"/>
      <c r="AM1025" s="1317"/>
      <c r="AN1025" s="1317"/>
      <c r="AO1025" s="1317"/>
      <c r="AP1025" s="1317"/>
      <c r="AQ1025" s="1318"/>
      <c r="AR1025" s="68"/>
      <c r="AS1025" s="68"/>
      <c r="AT1025" s="68"/>
      <c r="AU1025" s="68"/>
      <c r="AV1025" s="68"/>
      <c r="AW1025" s="68"/>
      <c r="AX1025" s="3">
        <v>4</v>
      </c>
      <c r="AY1025" s="200">
        <f t="shared" si="54"/>
        <v>0</v>
      </c>
      <c r="AZ1025" s="1184">
        <v>0.02</v>
      </c>
    </row>
    <row r="1026" spans="1:52" ht="12.95" customHeight="1">
      <c r="A1026" s="14"/>
      <c r="B1026" s="73"/>
      <c r="C1026" s="74"/>
      <c r="D1026" s="1532" t="s">
        <v>2588</v>
      </c>
      <c r="E1026" s="1533"/>
      <c r="F1026" s="1533"/>
      <c r="G1026" s="1533"/>
      <c r="H1026" s="1533"/>
      <c r="I1026" s="1533"/>
      <c r="J1026" s="1533"/>
      <c r="K1026" s="1533"/>
      <c r="L1026" s="1533"/>
      <c r="M1026" s="1533"/>
      <c r="N1026" s="1533"/>
      <c r="O1026" s="1533"/>
      <c r="P1026" s="1533"/>
      <c r="Q1026" s="1533"/>
      <c r="R1026" s="1533"/>
      <c r="S1026" s="1533"/>
      <c r="T1026" s="1533"/>
      <c r="U1026" s="1533"/>
      <c r="V1026" s="1533"/>
      <c r="W1026" s="1533"/>
      <c r="X1026" s="1533"/>
      <c r="Y1026" s="1533"/>
      <c r="Z1026" s="1533"/>
      <c r="AA1026" s="1533"/>
      <c r="AB1026" s="1533"/>
      <c r="AC1026" s="1533"/>
      <c r="AD1026" s="1533"/>
      <c r="AE1026" s="1534"/>
      <c r="AF1026" s="1287" t="str">
        <f>IF(AND(AG1025="Yes",AY1033=0),AY1036,"")</f>
        <v/>
      </c>
      <c r="AG1026" s="1288"/>
      <c r="AH1026" s="1288"/>
      <c r="AI1026" s="1289"/>
      <c r="AJ1026" s="1319"/>
      <c r="AK1026" s="1320"/>
      <c r="AL1026" s="1320"/>
      <c r="AM1026" s="1320"/>
      <c r="AN1026" s="1320"/>
      <c r="AO1026" s="1320"/>
      <c r="AP1026" s="1320"/>
      <c r="AQ1026" s="1321"/>
      <c r="AR1026" s="68"/>
      <c r="AS1026" s="68"/>
      <c r="AT1026" s="68"/>
      <c r="AU1026" s="68"/>
      <c r="AV1026" s="68"/>
      <c r="AW1026" s="68"/>
      <c r="AX1026" s="3">
        <v>5</v>
      </c>
      <c r="AY1026" s="200">
        <f t="shared" si="54"/>
        <v>0</v>
      </c>
      <c r="AZ1026" s="1184">
        <v>0.04</v>
      </c>
    </row>
    <row r="1027" spans="1:52" ht="12.95" customHeight="1">
      <c r="A1027" s="14"/>
      <c r="B1027" s="73"/>
      <c r="C1027" s="74"/>
      <c r="D1027" s="1532"/>
      <c r="E1027" s="1533"/>
      <c r="F1027" s="1533"/>
      <c r="G1027" s="1533"/>
      <c r="H1027" s="1533"/>
      <c r="I1027" s="1533"/>
      <c r="J1027" s="1533"/>
      <c r="K1027" s="1533"/>
      <c r="L1027" s="1533"/>
      <c r="M1027" s="1533"/>
      <c r="N1027" s="1533"/>
      <c r="O1027" s="1533"/>
      <c r="P1027" s="1533"/>
      <c r="Q1027" s="1533"/>
      <c r="R1027" s="1533"/>
      <c r="S1027" s="1533"/>
      <c r="T1027" s="1533"/>
      <c r="U1027" s="1533"/>
      <c r="V1027" s="1533"/>
      <c r="W1027" s="1533"/>
      <c r="X1027" s="1533"/>
      <c r="Y1027" s="1533"/>
      <c r="Z1027" s="1533"/>
      <c r="AA1027" s="1533"/>
      <c r="AB1027" s="1533"/>
      <c r="AC1027" s="1533"/>
      <c r="AD1027" s="1533"/>
      <c r="AE1027" s="1534"/>
      <c r="AF1027" s="1287"/>
      <c r="AG1027" s="1288"/>
      <c r="AH1027" s="1288"/>
      <c r="AI1027" s="1289"/>
      <c r="AJ1027" s="1319"/>
      <c r="AK1027" s="1320"/>
      <c r="AL1027" s="1320"/>
      <c r="AM1027" s="1320"/>
      <c r="AN1027" s="1320"/>
      <c r="AO1027" s="1320"/>
      <c r="AP1027" s="1320"/>
      <c r="AQ1027" s="1321"/>
      <c r="AR1027" s="68"/>
      <c r="AS1027" s="68"/>
      <c r="AT1027" s="68"/>
      <c r="AU1027" s="68"/>
      <c r="AV1027" s="68"/>
      <c r="AW1027" s="68"/>
      <c r="AX1027" s="3">
        <v>6</v>
      </c>
      <c r="AY1027" s="200">
        <f t="shared" si="54"/>
        <v>0</v>
      </c>
      <c r="AZ1027" s="1184">
        <v>0.04</v>
      </c>
    </row>
    <row r="1028" spans="1:52" ht="12.95" customHeight="1">
      <c r="A1028" s="14"/>
      <c r="B1028" s="81"/>
      <c r="C1028" s="82"/>
      <c r="D1028" s="1527"/>
      <c r="E1028" s="1528"/>
      <c r="F1028" s="1528"/>
      <c r="G1028" s="1528"/>
      <c r="H1028" s="1528"/>
      <c r="I1028" s="1528"/>
      <c r="J1028" s="1528"/>
      <c r="K1028" s="1528"/>
      <c r="L1028" s="1528"/>
      <c r="M1028" s="1528"/>
      <c r="N1028" s="1528"/>
      <c r="O1028" s="1528"/>
      <c r="P1028" s="1528"/>
      <c r="Q1028" s="1528"/>
      <c r="R1028" s="1528"/>
      <c r="S1028" s="1528"/>
      <c r="T1028" s="1528"/>
      <c r="U1028" s="1528"/>
      <c r="V1028" s="1528"/>
      <c r="W1028" s="1528"/>
      <c r="X1028" s="1528"/>
      <c r="Y1028" s="1528"/>
      <c r="Z1028" s="1528"/>
      <c r="AA1028" s="1528"/>
      <c r="AB1028" s="1528"/>
      <c r="AC1028" s="1528"/>
      <c r="AD1028" s="1528"/>
      <c r="AE1028" s="1529"/>
      <c r="AF1028" s="1290"/>
      <c r="AG1028" s="1291"/>
      <c r="AH1028" s="1291"/>
      <c r="AI1028" s="1292"/>
      <c r="AJ1028" s="1322"/>
      <c r="AK1028" s="1323"/>
      <c r="AL1028" s="1323"/>
      <c r="AM1028" s="1323"/>
      <c r="AN1028" s="1323"/>
      <c r="AO1028" s="1323"/>
      <c r="AP1028" s="1323"/>
      <c r="AQ1028" s="1324"/>
      <c r="AR1028" s="68"/>
      <c r="AS1028" s="68"/>
      <c r="AT1028" s="68"/>
      <c r="AU1028" s="68"/>
      <c r="AV1028" s="68"/>
      <c r="AW1028" s="68"/>
      <c r="AX1028" s="3">
        <v>7</v>
      </c>
      <c r="AY1028" s="200">
        <f t="shared" si="54"/>
        <v>0</v>
      </c>
      <c r="AZ1028" s="1184">
        <v>0.01</v>
      </c>
    </row>
    <row r="1029" spans="1:52" ht="12.95" customHeight="1">
      <c r="A1029" s="14"/>
      <c r="B1029" s="79"/>
      <c r="C1029" s="80" t="s">
        <v>223</v>
      </c>
      <c r="D1029" s="1564" t="s">
        <v>1290</v>
      </c>
      <c r="E1029" s="1565"/>
      <c r="F1029" s="1565"/>
      <c r="G1029" s="1565"/>
      <c r="H1029" s="1565"/>
      <c r="I1029" s="1565"/>
      <c r="J1029" s="1565"/>
      <c r="K1029" s="1565"/>
      <c r="L1029" s="1565"/>
      <c r="M1029" s="1565"/>
      <c r="N1029" s="1565"/>
      <c r="O1029" s="1565"/>
      <c r="P1029" s="1565"/>
      <c r="Q1029" s="1565"/>
      <c r="R1029" s="1565"/>
      <c r="S1029" s="1565"/>
      <c r="T1029" s="1565"/>
      <c r="U1029" s="1565"/>
      <c r="V1029" s="1565"/>
      <c r="W1029" s="1565"/>
      <c r="X1029" s="1565"/>
      <c r="Y1029" s="1565"/>
      <c r="Z1029" s="1565"/>
      <c r="AA1029" s="1565"/>
      <c r="AB1029" s="1565"/>
      <c r="AC1029" s="1565"/>
      <c r="AD1029" s="1565"/>
      <c r="AE1029" s="1566"/>
      <c r="AF1029" s="79"/>
      <c r="AG1029" s="1351" t="s">
        <v>669</v>
      </c>
      <c r="AH1029" s="1352"/>
      <c r="AI1029" s="87"/>
      <c r="AJ1029" s="1316">
        <f>ROUND(IF(AND(AG1029="Yes",J1033&lt;&gt;"N/A",AF1032&lt;&gt;""),MIN(AF1032,(0.15*AJ1001)),0),0)</f>
        <v>0</v>
      </c>
      <c r="AK1029" s="1317"/>
      <c r="AL1029" s="1317"/>
      <c r="AM1029" s="1317"/>
      <c r="AN1029" s="1317"/>
      <c r="AO1029" s="1317"/>
      <c r="AP1029" s="1317"/>
      <c r="AQ1029" s="1318"/>
      <c r="AR1029" s="68"/>
      <c r="AS1029" s="68"/>
      <c r="AT1029" s="68"/>
      <c r="AU1029" s="68"/>
      <c r="AV1029" s="68"/>
      <c r="AW1029" s="68"/>
      <c r="AX1029" s="3">
        <v>8</v>
      </c>
      <c r="AY1029" s="200">
        <f t="shared" si="54"/>
        <v>0</v>
      </c>
      <c r="AZ1029" s="1184">
        <v>0.01</v>
      </c>
    </row>
    <row r="1030" spans="1:52" ht="12.95" customHeight="1">
      <c r="A1030" s="14"/>
      <c r="B1030" s="81"/>
      <c r="C1030" s="84"/>
      <c r="D1030" s="1567"/>
      <c r="E1030" s="1568"/>
      <c r="F1030" s="1568"/>
      <c r="G1030" s="1568"/>
      <c r="H1030" s="1568"/>
      <c r="I1030" s="1568"/>
      <c r="J1030" s="1568"/>
      <c r="K1030" s="1568"/>
      <c r="L1030" s="1568"/>
      <c r="M1030" s="1568"/>
      <c r="N1030" s="1568"/>
      <c r="O1030" s="1568"/>
      <c r="P1030" s="1568"/>
      <c r="Q1030" s="1568"/>
      <c r="R1030" s="1568"/>
      <c r="S1030" s="1568"/>
      <c r="T1030" s="1568"/>
      <c r="U1030" s="1568"/>
      <c r="V1030" s="1568"/>
      <c r="W1030" s="1568"/>
      <c r="X1030" s="1568"/>
      <c r="Y1030" s="1568"/>
      <c r="Z1030" s="1568"/>
      <c r="AA1030" s="1568"/>
      <c r="AB1030" s="1568"/>
      <c r="AC1030" s="1568"/>
      <c r="AD1030" s="1568"/>
      <c r="AE1030" s="1569"/>
      <c r="AF1030" s="1545" t="str">
        <f>IF(AG1029="yes","Please Select Type and Enter Amount:","")</f>
        <v/>
      </c>
      <c r="AG1030" s="1546"/>
      <c r="AH1030" s="1546"/>
      <c r="AI1030" s="1547"/>
      <c r="AJ1030" s="1319"/>
      <c r="AK1030" s="1320"/>
      <c r="AL1030" s="1320"/>
      <c r="AM1030" s="1320"/>
      <c r="AN1030" s="1320"/>
      <c r="AO1030" s="1320"/>
      <c r="AP1030" s="1320"/>
      <c r="AQ1030" s="1321"/>
      <c r="AR1030" s="68"/>
      <c r="AS1030" s="68"/>
      <c r="AT1030" s="68"/>
      <c r="AU1030" s="68"/>
      <c r="AV1030" s="68"/>
      <c r="AW1030" s="68"/>
      <c r="AX1030" s="3">
        <v>9</v>
      </c>
      <c r="AY1030" s="200">
        <f t="shared" si="54"/>
        <v>0</v>
      </c>
      <c r="AZ1030" s="1184">
        <v>0.01</v>
      </c>
    </row>
    <row r="1031" spans="1:52" ht="12.95" customHeight="1">
      <c r="A1031" s="14"/>
      <c r="B1031" s="81"/>
      <c r="C1031" s="84"/>
      <c r="D1031" s="1532" t="s">
        <v>1291</v>
      </c>
      <c r="E1031" s="1533"/>
      <c r="F1031" s="1533"/>
      <c r="G1031" s="1533"/>
      <c r="H1031" s="1533"/>
      <c r="I1031" s="1533"/>
      <c r="J1031" s="1533"/>
      <c r="K1031" s="1533"/>
      <c r="L1031" s="1533"/>
      <c r="M1031" s="1533"/>
      <c r="N1031" s="1533"/>
      <c r="O1031" s="1533"/>
      <c r="P1031" s="1533"/>
      <c r="Q1031" s="1533"/>
      <c r="R1031" s="1533"/>
      <c r="S1031" s="1533"/>
      <c r="T1031" s="1533"/>
      <c r="U1031" s="1533"/>
      <c r="V1031" s="1533"/>
      <c r="W1031" s="1533"/>
      <c r="X1031" s="1533"/>
      <c r="Y1031" s="1533"/>
      <c r="Z1031" s="1533"/>
      <c r="AA1031" s="1533"/>
      <c r="AB1031" s="1533"/>
      <c r="AC1031" s="1533"/>
      <c r="AD1031" s="1533"/>
      <c r="AE1031" s="1534"/>
      <c r="AF1031" s="1545"/>
      <c r="AG1031" s="1546"/>
      <c r="AH1031" s="1546"/>
      <c r="AI1031" s="1547"/>
      <c r="AJ1031" s="1319"/>
      <c r="AK1031" s="1320"/>
      <c r="AL1031" s="1320"/>
      <c r="AM1031" s="1320"/>
      <c r="AN1031" s="1320"/>
      <c r="AO1031" s="1320"/>
      <c r="AP1031" s="1320"/>
      <c r="AQ1031" s="1321"/>
      <c r="AR1031" s="68"/>
      <c r="AS1031" s="68"/>
      <c r="AT1031" s="68"/>
      <c r="AU1031" s="68"/>
      <c r="AV1031" s="68"/>
      <c r="AW1031" s="68"/>
      <c r="AX1031" s="3">
        <v>10</v>
      </c>
      <c r="AY1031" s="200">
        <f t="shared" si="54"/>
        <v>0</v>
      </c>
      <c r="AZ1031" s="1184">
        <v>0.02</v>
      </c>
    </row>
    <row r="1032" spans="1:52" ht="12.95" customHeight="1">
      <c r="A1032" s="14"/>
      <c r="B1032" s="81"/>
      <c r="C1032" s="84"/>
      <c r="D1032" s="1532"/>
      <c r="E1032" s="1533"/>
      <c r="F1032" s="1533"/>
      <c r="G1032" s="1533"/>
      <c r="H1032" s="1533"/>
      <c r="I1032" s="1533"/>
      <c r="J1032" s="1533"/>
      <c r="K1032" s="1533"/>
      <c r="L1032" s="1533"/>
      <c r="M1032" s="1533"/>
      <c r="N1032" s="1533"/>
      <c r="O1032" s="1533"/>
      <c r="P1032" s="1533"/>
      <c r="Q1032" s="1533"/>
      <c r="R1032" s="1533"/>
      <c r="S1032" s="1533"/>
      <c r="T1032" s="1533"/>
      <c r="U1032" s="1533"/>
      <c r="V1032" s="1533"/>
      <c r="W1032" s="1533"/>
      <c r="X1032" s="1533"/>
      <c r="Y1032" s="1533"/>
      <c r="Z1032" s="1533"/>
      <c r="AA1032" s="1533"/>
      <c r="AB1032" s="1533"/>
      <c r="AC1032" s="1533"/>
      <c r="AD1032" s="1533"/>
      <c r="AE1032" s="1534"/>
      <c r="AF1032" s="1340"/>
      <c r="AG1032" s="1340"/>
      <c r="AH1032" s="1340"/>
      <c r="AI1032" s="1340"/>
      <c r="AJ1032" s="1319"/>
      <c r="AK1032" s="1320"/>
      <c r="AL1032" s="1320"/>
      <c r="AM1032" s="1320"/>
      <c r="AN1032" s="1320"/>
      <c r="AO1032" s="1320"/>
      <c r="AP1032" s="1320"/>
      <c r="AQ1032" s="1321"/>
      <c r="AR1032" s="68"/>
      <c r="AS1032" s="68"/>
      <c r="AT1032" s="68"/>
      <c r="AU1032" s="68"/>
      <c r="AV1032" s="68"/>
      <c r="AW1032" s="68"/>
      <c r="AX1032" s="3">
        <v>11</v>
      </c>
      <c r="AY1032" s="200">
        <f t="shared" si="54"/>
        <v>0</v>
      </c>
      <c r="AZ1032" s="1184">
        <v>0.02</v>
      </c>
    </row>
    <row r="1033" spans="1:52" ht="12.95" customHeight="1">
      <c r="A1033" s="14"/>
      <c r="B1033" s="81"/>
      <c r="C1033" s="84"/>
      <c r="D1033" s="522" t="s">
        <v>359</v>
      </c>
      <c r="E1033" s="90"/>
      <c r="F1033" s="90"/>
      <c r="G1033" s="104"/>
      <c r="H1033" s="104"/>
      <c r="I1033" s="49"/>
      <c r="J1033" s="1360" t="s">
        <v>591</v>
      </c>
      <c r="K1033" s="1361"/>
      <c r="L1033" s="1361"/>
      <c r="M1033" s="1361"/>
      <c r="N1033" s="1361"/>
      <c r="O1033" s="1361"/>
      <c r="P1033" s="1361"/>
      <c r="Q1033" s="1361"/>
      <c r="R1033" s="1361"/>
      <c r="S1033" s="1361"/>
      <c r="T1033" s="1361"/>
      <c r="U1033" s="1361"/>
      <c r="V1033" s="1361"/>
      <c r="W1033" s="1361"/>
      <c r="X1033" s="1361"/>
      <c r="Y1033" s="1361"/>
      <c r="Z1033" s="1361"/>
      <c r="AA1033" s="1361"/>
      <c r="AB1033" s="1361"/>
      <c r="AC1033" s="1361"/>
      <c r="AD1033" s="1361"/>
      <c r="AE1033" s="1362"/>
      <c r="AF1033" s="1340"/>
      <c r="AG1033" s="1340"/>
      <c r="AH1033" s="1340"/>
      <c r="AI1033" s="1340"/>
      <c r="AJ1033" s="1322"/>
      <c r="AK1033" s="1323"/>
      <c r="AL1033" s="1323"/>
      <c r="AM1033" s="1323"/>
      <c r="AN1033" s="1323"/>
      <c r="AO1033" s="1323"/>
      <c r="AP1033" s="1323"/>
      <c r="AQ1033" s="1324"/>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524" t="s">
        <v>1292</v>
      </c>
      <c r="E1034" s="1525"/>
      <c r="F1034" s="1525"/>
      <c r="G1034" s="1525"/>
      <c r="H1034" s="1525"/>
      <c r="I1034" s="1525"/>
      <c r="J1034" s="1525"/>
      <c r="K1034" s="1525"/>
      <c r="L1034" s="1525"/>
      <c r="M1034" s="1525"/>
      <c r="N1034" s="1525"/>
      <c r="O1034" s="1525"/>
      <c r="P1034" s="1525"/>
      <c r="Q1034" s="1525"/>
      <c r="R1034" s="1525"/>
      <c r="S1034" s="1525"/>
      <c r="T1034" s="1525"/>
      <c r="U1034" s="1525"/>
      <c r="V1034" s="1525"/>
      <c r="W1034" s="1525"/>
      <c r="X1034" s="1525"/>
      <c r="Y1034" s="1525"/>
      <c r="Z1034" s="1525"/>
      <c r="AA1034" s="1525"/>
      <c r="AB1034" s="1525"/>
      <c r="AC1034" s="1525"/>
      <c r="AD1034" s="1525"/>
      <c r="AE1034" s="1526"/>
      <c r="AF1034" s="79"/>
      <c r="AG1034" s="1541" t="s">
        <v>545</v>
      </c>
      <c r="AH1034" s="1352"/>
      <c r="AI1034" s="87"/>
      <c r="AJ1034" s="1316">
        <f>ROUND(IF(AG1034="Yes",AF1036,0),0)</f>
        <v>2307529</v>
      </c>
      <c r="AK1034" s="1317"/>
      <c r="AL1034" s="1317"/>
      <c r="AM1034" s="1317"/>
      <c r="AN1034" s="1317"/>
      <c r="AO1034" s="1317"/>
      <c r="AP1034" s="1317"/>
      <c r="AQ1034" s="1318"/>
      <c r="AR1034" s="68"/>
      <c r="AS1034" s="68"/>
      <c r="AT1034" s="68"/>
      <c r="AU1034" s="68"/>
      <c r="AV1034" s="68"/>
      <c r="AW1034" s="68"/>
      <c r="AX1034" s="68"/>
      <c r="AY1034" s="68"/>
    </row>
    <row r="1035" spans="1:52" ht="12.95" customHeight="1">
      <c r="A1035" s="14"/>
      <c r="B1035" s="73"/>
      <c r="C1035" s="74"/>
      <c r="D1035" s="1532" t="s">
        <v>1678</v>
      </c>
      <c r="E1035" s="1533"/>
      <c r="F1035" s="1533"/>
      <c r="G1035" s="1533"/>
      <c r="H1035" s="1533"/>
      <c r="I1035" s="1533"/>
      <c r="J1035" s="1533"/>
      <c r="K1035" s="1533"/>
      <c r="L1035" s="1533"/>
      <c r="M1035" s="1533"/>
      <c r="N1035" s="1533"/>
      <c r="O1035" s="1533"/>
      <c r="P1035" s="1533"/>
      <c r="Q1035" s="1533"/>
      <c r="R1035" s="1533"/>
      <c r="S1035" s="1533"/>
      <c r="T1035" s="1533"/>
      <c r="U1035" s="1533"/>
      <c r="V1035" s="1533"/>
      <c r="W1035" s="1533"/>
      <c r="X1035" s="1533"/>
      <c r="Y1035" s="1533"/>
      <c r="Z1035" s="1533"/>
      <c r="AA1035" s="1533"/>
      <c r="AB1035" s="1533"/>
      <c r="AC1035" s="1533"/>
      <c r="AD1035" s="1533"/>
      <c r="AE1035" s="1534"/>
      <c r="AF1035" s="1570" t="str">
        <f>IF(AG1034="yes","Enter Amount:","")</f>
        <v>Enter Amount:</v>
      </c>
      <c r="AG1035" s="1571"/>
      <c r="AH1035" s="1571"/>
      <c r="AI1035" s="1572"/>
      <c r="AJ1035" s="1319"/>
      <c r="AK1035" s="1320"/>
      <c r="AL1035" s="1320"/>
      <c r="AM1035" s="1320"/>
      <c r="AN1035" s="1320"/>
      <c r="AO1035" s="1320"/>
      <c r="AP1035" s="1320"/>
      <c r="AQ1035" s="1321"/>
      <c r="AR1035" s="68"/>
      <c r="AS1035" s="68"/>
      <c r="AT1035" s="68"/>
      <c r="AU1035" s="68"/>
      <c r="AV1035" s="68"/>
      <c r="AW1035" s="68"/>
      <c r="AX1035" s="68"/>
      <c r="AY1035" s="68"/>
    </row>
    <row r="1036" spans="1:52" ht="12.95" customHeight="1">
      <c r="A1036" s="14"/>
      <c r="B1036" s="73"/>
      <c r="C1036" s="74"/>
      <c r="D1036" s="1532"/>
      <c r="E1036" s="1533"/>
      <c r="F1036" s="1533"/>
      <c r="G1036" s="1533"/>
      <c r="H1036" s="1533"/>
      <c r="I1036" s="1533"/>
      <c r="J1036" s="1533"/>
      <c r="K1036" s="1533"/>
      <c r="L1036" s="1533"/>
      <c r="M1036" s="1533"/>
      <c r="N1036" s="1533"/>
      <c r="O1036" s="1533"/>
      <c r="P1036" s="1533"/>
      <c r="Q1036" s="1533"/>
      <c r="R1036" s="1533"/>
      <c r="S1036" s="1533"/>
      <c r="T1036" s="1533"/>
      <c r="U1036" s="1533"/>
      <c r="V1036" s="1533"/>
      <c r="W1036" s="1533"/>
      <c r="X1036" s="1533"/>
      <c r="Y1036" s="1533"/>
      <c r="Z1036" s="1533"/>
      <c r="AA1036" s="1533"/>
      <c r="AB1036" s="1533"/>
      <c r="AC1036" s="1533"/>
      <c r="AD1036" s="1533"/>
      <c r="AE1036" s="1534"/>
      <c r="AF1036" s="1340">
        <v>2307529</v>
      </c>
      <c r="AG1036" s="1340"/>
      <c r="AH1036" s="1340"/>
      <c r="AI1036" s="1340"/>
      <c r="AJ1036" s="1319"/>
      <c r="AK1036" s="1320"/>
      <c r="AL1036" s="1320"/>
      <c r="AM1036" s="1320"/>
      <c r="AN1036" s="1320"/>
      <c r="AO1036" s="1320"/>
      <c r="AP1036" s="1320"/>
      <c r="AQ1036" s="1321"/>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527"/>
      <c r="E1037" s="1528"/>
      <c r="F1037" s="1528"/>
      <c r="G1037" s="1528"/>
      <c r="H1037" s="1528"/>
      <c r="I1037" s="1528"/>
      <c r="J1037" s="1528"/>
      <c r="K1037" s="1528"/>
      <c r="L1037" s="1528"/>
      <c r="M1037" s="1528"/>
      <c r="N1037" s="1528"/>
      <c r="O1037" s="1528"/>
      <c r="P1037" s="1528"/>
      <c r="Q1037" s="1528"/>
      <c r="R1037" s="1528"/>
      <c r="S1037" s="1528"/>
      <c r="T1037" s="1528"/>
      <c r="U1037" s="1528"/>
      <c r="V1037" s="1528"/>
      <c r="W1037" s="1528"/>
      <c r="X1037" s="1528"/>
      <c r="Y1037" s="1528"/>
      <c r="Z1037" s="1528"/>
      <c r="AA1037" s="1528"/>
      <c r="AB1037" s="1528"/>
      <c r="AC1037" s="1528"/>
      <c r="AD1037" s="1528"/>
      <c r="AE1037" s="1529"/>
      <c r="AF1037" s="1340"/>
      <c r="AG1037" s="1340"/>
      <c r="AH1037" s="1340"/>
      <c r="AI1037" s="1340"/>
      <c r="AJ1037" s="1322"/>
      <c r="AK1037" s="1323"/>
      <c r="AL1037" s="1323"/>
      <c r="AM1037" s="1323"/>
      <c r="AN1037" s="1323"/>
      <c r="AO1037" s="1323"/>
      <c r="AP1037" s="1323"/>
      <c r="AQ1037" s="1324"/>
      <c r="AR1037" s="68"/>
      <c r="AS1037" s="68"/>
      <c r="AT1037" s="68"/>
      <c r="AU1037" s="68"/>
      <c r="AV1037" s="68"/>
      <c r="AW1037" s="68"/>
      <c r="AX1037" s="68"/>
      <c r="AY1037" s="68"/>
    </row>
    <row r="1038" spans="1:52" ht="12.95" customHeight="1">
      <c r="A1038" s="14"/>
      <c r="B1038" s="79"/>
      <c r="C1038" s="80" t="s">
        <v>234</v>
      </c>
      <c r="D1038" s="1308" t="s">
        <v>1293</v>
      </c>
      <c r="E1038" s="1309"/>
      <c r="F1038" s="1309"/>
      <c r="G1038" s="1309"/>
      <c r="H1038" s="1309"/>
      <c r="I1038" s="1309"/>
      <c r="J1038" s="1309"/>
      <c r="K1038" s="1309"/>
      <c r="L1038" s="1309"/>
      <c r="M1038" s="1309"/>
      <c r="N1038" s="1309"/>
      <c r="O1038" s="1309"/>
      <c r="P1038" s="1309"/>
      <c r="Q1038" s="1309"/>
      <c r="R1038" s="1309"/>
      <c r="S1038" s="1309"/>
      <c r="T1038" s="1309"/>
      <c r="U1038" s="1309"/>
      <c r="V1038" s="1309"/>
      <c r="W1038" s="1309"/>
      <c r="X1038" s="1309"/>
      <c r="Y1038" s="1309"/>
      <c r="Z1038" s="1309"/>
      <c r="AA1038" s="1309"/>
      <c r="AB1038" s="1309"/>
      <c r="AC1038" s="1309"/>
      <c r="AD1038" s="1309"/>
      <c r="AE1038" s="1310"/>
      <c r="AF1038" s="79"/>
      <c r="AG1038" s="1351" t="s">
        <v>545</v>
      </c>
      <c r="AH1038" s="1352"/>
      <c r="AI1038" s="87"/>
      <c r="AJ1038" s="1316">
        <f>ROUND(IF(AG1038="yes",(AJ1001*0.1),0),0)</f>
        <v>5086735</v>
      </c>
      <c r="AK1038" s="1317"/>
      <c r="AL1038" s="1317"/>
      <c r="AM1038" s="1317"/>
      <c r="AN1038" s="1317"/>
      <c r="AO1038" s="1317"/>
      <c r="AP1038" s="1317"/>
      <c r="AQ1038" s="1318"/>
      <c r="AR1038" s="68"/>
      <c r="AS1038" s="68"/>
      <c r="AT1038" s="68"/>
      <c r="AU1038" s="68"/>
      <c r="AV1038" s="68"/>
      <c r="AW1038" s="68"/>
      <c r="AX1038" s="68"/>
      <c r="AY1038" s="68"/>
    </row>
    <row r="1039" spans="1:52" ht="12.95" customHeight="1">
      <c r="A1039" s="14"/>
      <c r="B1039" s="73"/>
      <c r="C1039" s="74"/>
      <c r="D1039" s="1532" t="s">
        <v>1294</v>
      </c>
      <c r="E1039" s="1533"/>
      <c r="F1039" s="1533"/>
      <c r="G1039" s="1533"/>
      <c r="H1039" s="1533"/>
      <c r="I1039" s="1533"/>
      <c r="J1039" s="1533"/>
      <c r="K1039" s="1533"/>
      <c r="L1039" s="1533"/>
      <c r="M1039" s="1533"/>
      <c r="N1039" s="1533"/>
      <c r="O1039" s="1533"/>
      <c r="P1039" s="1533"/>
      <c r="Q1039" s="1533"/>
      <c r="R1039" s="1533"/>
      <c r="S1039" s="1533"/>
      <c r="T1039" s="1533"/>
      <c r="U1039" s="1533"/>
      <c r="V1039" s="1533"/>
      <c r="W1039" s="1533"/>
      <c r="X1039" s="1533"/>
      <c r="Y1039" s="1533"/>
      <c r="Z1039" s="1533"/>
      <c r="AA1039" s="1533"/>
      <c r="AB1039" s="1533"/>
      <c r="AC1039" s="1533"/>
      <c r="AD1039" s="1533"/>
      <c r="AE1039" s="1534"/>
      <c r="AF1039" s="73"/>
      <c r="AG1039" s="14"/>
      <c r="AH1039" s="14"/>
      <c r="AI1039" s="83"/>
      <c r="AJ1039" s="1319"/>
      <c r="AK1039" s="1320"/>
      <c r="AL1039" s="1320"/>
      <c r="AM1039" s="1320"/>
      <c r="AN1039" s="1320"/>
      <c r="AO1039" s="1320"/>
      <c r="AP1039" s="1320"/>
      <c r="AQ1039" s="1321"/>
      <c r="AR1039" s="68"/>
      <c r="AS1039" s="68"/>
      <c r="AT1039" s="68"/>
      <c r="AU1039" s="68"/>
      <c r="AV1039" s="68"/>
      <c r="AW1039" s="68"/>
      <c r="AX1039" s="68"/>
      <c r="AY1039" s="68"/>
    </row>
    <row r="1040" spans="1:52" ht="12.95" customHeight="1">
      <c r="A1040" s="14"/>
      <c r="B1040" s="77"/>
      <c r="C1040" s="74"/>
      <c r="D1040" s="1527"/>
      <c r="E1040" s="1528"/>
      <c r="F1040" s="1528"/>
      <c r="G1040" s="1528"/>
      <c r="H1040" s="1528"/>
      <c r="I1040" s="1528"/>
      <c r="J1040" s="1528"/>
      <c r="K1040" s="1528"/>
      <c r="L1040" s="1528"/>
      <c r="M1040" s="1528"/>
      <c r="N1040" s="1528"/>
      <c r="O1040" s="1528"/>
      <c r="P1040" s="1528"/>
      <c r="Q1040" s="1528"/>
      <c r="R1040" s="1528"/>
      <c r="S1040" s="1528"/>
      <c r="T1040" s="1528"/>
      <c r="U1040" s="1528"/>
      <c r="V1040" s="1528"/>
      <c r="W1040" s="1528"/>
      <c r="X1040" s="1528"/>
      <c r="Y1040" s="1528"/>
      <c r="Z1040" s="1528"/>
      <c r="AA1040" s="1528"/>
      <c r="AB1040" s="1528"/>
      <c r="AC1040" s="1528"/>
      <c r="AD1040" s="1528"/>
      <c r="AE1040" s="1529"/>
      <c r="AF1040" s="73"/>
      <c r="AG1040" s="14"/>
      <c r="AH1040" s="14"/>
      <c r="AI1040" s="83"/>
      <c r="AJ1040" s="1322"/>
      <c r="AK1040" s="1323"/>
      <c r="AL1040" s="1323"/>
      <c r="AM1040" s="1323"/>
      <c r="AN1040" s="1323"/>
      <c r="AO1040" s="1323"/>
      <c r="AP1040" s="1323"/>
      <c r="AQ1040" s="1324"/>
      <c r="AR1040" s="68"/>
      <c r="AS1040" s="68"/>
      <c r="AT1040" s="68"/>
      <c r="AU1040" s="68"/>
      <c r="AV1040" s="68"/>
      <c r="AW1040" s="68"/>
      <c r="AX1040" s="68"/>
      <c r="AY1040" s="68"/>
    </row>
    <row r="1041" spans="1:57" ht="12.95" customHeight="1">
      <c r="A1041" s="14"/>
      <c r="B1041" s="73"/>
      <c r="C1041" s="336" t="s">
        <v>687</v>
      </c>
      <c r="D1041" s="1524" t="s">
        <v>1674</v>
      </c>
      <c r="E1041" s="1525"/>
      <c r="F1041" s="1525"/>
      <c r="G1041" s="1525"/>
      <c r="H1041" s="1525"/>
      <c r="I1041" s="1525"/>
      <c r="J1041" s="1525"/>
      <c r="K1041" s="1525"/>
      <c r="L1041" s="1525"/>
      <c r="M1041" s="1525"/>
      <c r="N1041" s="1525"/>
      <c r="O1041" s="1525"/>
      <c r="P1041" s="1525"/>
      <c r="Q1041" s="1525"/>
      <c r="R1041" s="1525"/>
      <c r="S1041" s="1525"/>
      <c r="T1041" s="1525"/>
      <c r="U1041" s="1525"/>
      <c r="V1041" s="1525"/>
      <c r="W1041" s="1525"/>
      <c r="X1041" s="1525"/>
      <c r="Y1041" s="1525"/>
      <c r="Z1041" s="1525"/>
      <c r="AA1041" s="1525"/>
      <c r="AB1041" s="1525"/>
      <c r="AC1041" s="1525"/>
      <c r="AD1041" s="1525"/>
      <c r="AE1041" s="1526"/>
      <c r="AF1041" s="79"/>
      <c r="AG1041" s="1351" t="s">
        <v>669</v>
      </c>
      <c r="AH1041" s="1352"/>
      <c r="AI1041" s="87"/>
      <c r="AJ1041" s="1316">
        <f>ROUND(IF(AG1041="yes",(AJ1001*0.15),0),0)</f>
        <v>0</v>
      </c>
      <c r="AK1041" s="1317"/>
      <c r="AL1041" s="1317"/>
      <c r="AM1041" s="1317"/>
      <c r="AN1041" s="1317"/>
      <c r="AO1041" s="1317"/>
      <c r="AP1041" s="1317"/>
      <c r="AQ1041" s="1318"/>
      <c r="AR1041" s="68"/>
      <c r="AS1041" s="68"/>
      <c r="AT1041" s="68"/>
      <c r="AU1041" s="68"/>
      <c r="AV1041" s="68"/>
      <c r="AW1041" s="68"/>
      <c r="AX1041" s="68"/>
      <c r="AY1041" s="68"/>
    </row>
    <row r="1042" spans="1:57" ht="12.95" customHeight="1">
      <c r="A1042" s="14"/>
      <c r="B1042" s="73"/>
      <c r="C1042" s="74"/>
      <c r="D1042" s="1302" t="s">
        <v>1675</v>
      </c>
      <c r="E1042" s="1303"/>
      <c r="F1042" s="1303"/>
      <c r="G1042" s="1303"/>
      <c r="H1042" s="1303"/>
      <c r="I1042" s="1303"/>
      <c r="J1042" s="1303"/>
      <c r="K1042" s="1303"/>
      <c r="L1042" s="1303"/>
      <c r="M1042" s="1303"/>
      <c r="N1042" s="1303"/>
      <c r="O1042" s="1303"/>
      <c r="P1042" s="1303"/>
      <c r="Q1042" s="1303"/>
      <c r="R1042" s="1303"/>
      <c r="S1042" s="1303"/>
      <c r="T1042" s="1303"/>
      <c r="U1042" s="1303"/>
      <c r="V1042" s="1303"/>
      <c r="W1042" s="1303"/>
      <c r="X1042" s="1303"/>
      <c r="Y1042" s="1303"/>
      <c r="Z1042" s="1303"/>
      <c r="AA1042" s="1303"/>
      <c r="AB1042" s="1303"/>
      <c r="AC1042" s="1303"/>
      <c r="AD1042" s="1303"/>
      <c r="AE1042" s="1304"/>
      <c r="AF1042" s="906"/>
      <c r="AG1042" s="907"/>
      <c r="AH1042" s="907"/>
      <c r="AI1042" s="908"/>
      <c r="AJ1042" s="1319"/>
      <c r="AK1042" s="1320"/>
      <c r="AL1042" s="1320"/>
      <c r="AM1042" s="1320"/>
      <c r="AN1042" s="1320"/>
      <c r="AO1042" s="1320"/>
      <c r="AP1042" s="1320"/>
      <c r="AQ1042" s="1321"/>
      <c r="AR1042" s="68"/>
      <c r="AS1042" s="68"/>
      <c r="AT1042" s="68"/>
      <c r="AU1042" s="68"/>
      <c r="AV1042" s="68"/>
      <c r="AW1042" s="68"/>
      <c r="AX1042" s="68"/>
      <c r="AY1042" s="68"/>
    </row>
    <row r="1043" spans="1:57" ht="12.95" customHeight="1">
      <c r="A1043" s="14"/>
      <c r="B1043" s="73"/>
      <c r="C1043" s="74"/>
      <c r="D1043" s="1302"/>
      <c r="E1043" s="1303"/>
      <c r="F1043" s="1303"/>
      <c r="G1043" s="1303"/>
      <c r="H1043" s="1303"/>
      <c r="I1043" s="1303"/>
      <c r="J1043" s="1303"/>
      <c r="K1043" s="1303"/>
      <c r="L1043" s="1303"/>
      <c r="M1043" s="1303"/>
      <c r="N1043" s="1303"/>
      <c r="O1043" s="1303"/>
      <c r="P1043" s="1303"/>
      <c r="Q1043" s="1303"/>
      <c r="R1043" s="1303"/>
      <c r="S1043" s="1303"/>
      <c r="T1043" s="1303"/>
      <c r="U1043" s="1303"/>
      <c r="V1043" s="1303"/>
      <c r="W1043" s="1303"/>
      <c r="X1043" s="1303"/>
      <c r="Y1043" s="1303"/>
      <c r="Z1043" s="1303"/>
      <c r="AA1043" s="1303"/>
      <c r="AB1043" s="1303"/>
      <c r="AC1043" s="1303"/>
      <c r="AD1043" s="1303"/>
      <c r="AE1043" s="1304"/>
      <c r="AF1043" s="906"/>
      <c r="AG1043" s="907"/>
      <c r="AH1043" s="907"/>
      <c r="AI1043" s="908"/>
      <c r="AJ1043" s="1319"/>
      <c r="AK1043" s="1320"/>
      <c r="AL1043" s="1320"/>
      <c r="AM1043" s="1320"/>
      <c r="AN1043" s="1320"/>
      <c r="AO1043" s="1320"/>
      <c r="AP1043" s="1320"/>
      <c r="AQ1043" s="1321"/>
      <c r="AR1043" s="68"/>
      <c r="AS1043" s="68"/>
      <c r="AT1043" s="68"/>
      <c r="AU1043" s="68"/>
      <c r="AV1043" s="68"/>
      <c r="AW1043" s="68"/>
      <c r="AX1043" s="68"/>
      <c r="AY1043" s="68"/>
    </row>
    <row r="1044" spans="1:57" ht="12.95" customHeight="1">
      <c r="A1044" s="14"/>
      <c r="B1044" s="73"/>
      <c r="C1044" s="74"/>
      <c r="D1044" s="1305"/>
      <c r="E1044" s="1306"/>
      <c r="F1044" s="1306"/>
      <c r="G1044" s="1306"/>
      <c r="H1044" s="1306"/>
      <c r="I1044" s="1306"/>
      <c r="J1044" s="1306"/>
      <c r="K1044" s="1306"/>
      <c r="L1044" s="1306"/>
      <c r="M1044" s="1306"/>
      <c r="N1044" s="1306"/>
      <c r="O1044" s="1306"/>
      <c r="P1044" s="1306"/>
      <c r="Q1044" s="1306"/>
      <c r="R1044" s="1306"/>
      <c r="S1044" s="1306"/>
      <c r="T1044" s="1306"/>
      <c r="U1044" s="1306"/>
      <c r="V1044" s="1306"/>
      <c r="W1044" s="1306"/>
      <c r="X1044" s="1306"/>
      <c r="Y1044" s="1306"/>
      <c r="Z1044" s="1306"/>
      <c r="AA1044" s="1306"/>
      <c r="AB1044" s="1306"/>
      <c r="AC1044" s="1306"/>
      <c r="AD1044" s="1306"/>
      <c r="AE1044" s="1307"/>
      <c r="AF1044" s="909"/>
      <c r="AG1044" s="910"/>
      <c r="AH1044" s="910"/>
      <c r="AI1044" s="911"/>
      <c r="AJ1044" s="1322"/>
      <c r="AK1044" s="1323"/>
      <c r="AL1044" s="1323"/>
      <c r="AM1044" s="1323"/>
      <c r="AN1044" s="1323"/>
      <c r="AO1044" s="1323"/>
      <c r="AP1044" s="1323"/>
      <c r="AQ1044" s="1324"/>
      <c r="AR1044" s="68"/>
      <c r="AS1044" s="68"/>
      <c r="AT1044" s="68"/>
      <c r="AU1044" s="68"/>
      <c r="AV1044" s="68"/>
      <c r="AW1044" s="68"/>
      <c r="AX1044" s="68"/>
      <c r="AY1044" s="68"/>
    </row>
    <row r="1045" spans="1:57" ht="12.95" customHeight="1">
      <c r="A1045" s="14"/>
      <c r="B1045" s="73"/>
      <c r="C1045" s="336" t="s">
        <v>687</v>
      </c>
      <c r="D1045" s="1308" t="s">
        <v>1676</v>
      </c>
      <c r="E1045" s="1309"/>
      <c r="F1045" s="1309"/>
      <c r="G1045" s="1309"/>
      <c r="H1045" s="1309"/>
      <c r="I1045" s="1309"/>
      <c r="J1045" s="1309"/>
      <c r="K1045" s="1309"/>
      <c r="L1045" s="1309"/>
      <c r="M1045" s="1309"/>
      <c r="N1045" s="1309"/>
      <c r="O1045" s="1309"/>
      <c r="P1045" s="1309"/>
      <c r="Q1045" s="1309"/>
      <c r="R1045" s="1309"/>
      <c r="S1045" s="1309"/>
      <c r="T1045" s="1309"/>
      <c r="U1045" s="1309"/>
      <c r="V1045" s="1309"/>
      <c r="W1045" s="1309"/>
      <c r="X1045" s="1309"/>
      <c r="Y1045" s="1309"/>
      <c r="Z1045" s="1309"/>
      <c r="AA1045" s="1309"/>
      <c r="AB1045" s="1309"/>
      <c r="AC1045" s="1309"/>
      <c r="AD1045" s="1309"/>
      <c r="AE1045" s="1310"/>
      <c r="AF1045" s="73"/>
      <c r="AG1045" s="1548" t="s">
        <v>545</v>
      </c>
      <c r="AH1045" s="1549"/>
      <c r="AI1045" s="83"/>
      <c r="AJ1045" s="1316">
        <f>ROUND(IF(AND(AG1045="yes",AJ1041=0),(AJ1001*0.1),0),0)</f>
        <v>5086735</v>
      </c>
      <c r="AK1045" s="1317"/>
      <c r="AL1045" s="1317"/>
      <c r="AM1045" s="1317"/>
      <c r="AN1045" s="1317"/>
      <c r="AO1045" s="1317"/>
      <c r="AP1045" s="1317"/>
      <c r="AQ1045" s="1318"/>
      <c r="AR1045" s="68"/>
      <c r="AS1045" s="68"/>
      <c r="AT1045" s="68"/>
      <c r="AU1045" s="68"/>
      <c r="AV1045" s="68"/>
      <c r="AW1045" s="68"/>
      <c r="AX1045" s="68"/>
      <c r="AY1045" s="68"/>
    </row>
    <row r="1046" spans="1:57" ht="12.95" customHeight="1">
      <c r="A1046" s="14"/>
      <c r="B1046" s="73"/>
      <c r="C1046" s="74"/>
      <c r="D1046" s="1302" t="s">
        <v>1677</v>
      </c>
      <c r="E1046" s="1303"/>
      <c r="F1046" s="1303"/>
      <c r="G1046" s="1303"/>
      <c r="H1046" s="1303"/>
      <c r="I1046" s="1303"/>
      <c r="J1046" s="1303"/>
      <c r="K1046" s="1303"/>
      <c r="L1046" s="1303"/>
      <c r="M1046" s="1303"/>
      <c r="N1046" s="1303"/>
      <c r="O1046" s="1303"/>
      <c r="P1046" s="1303"/>
      <c r="Q1046" s="1303"/>
      <c r="R1046" s="1303"/>
      <c r="S1046" s="1303"/>
      <c r="T1046" s="1303"/>
      <c r="U1046" s="1303"/>
      <c r="V1046" s="1303"/>
      <c r="W1046" s="1303"/>
      <c r="X1046" s="1303"/>
      <c r="Y1046" s="1303"/>
      <c r="Z1046" s="1303"/>
      <c r="AA1046" s="1303"/>
      <c r="AB1046" s="1303"/>
      <c r="AC1046" s="1303"/>
      <c r="AD1046" s="1303"/>
      <c r="AE1046" s="1304"/>
      <c r="AF1046" s="73"/>
      <c r="AG1046" s="14"/>
      <c r="AH1046" s="14"/>
      <c r="AI1046" s="83"/>
      <c r="AJ1046" s="1319"/>
      <c r="AK1046" s="1320"/>
      <c r="AL1046" s="1320"/>
      <c r="AM1046" s="1320"/>
      <c r="AN1046" s="1320"/>
      <c r="AO1046" s="1320"/>
      <c r="AP1046" s="1320"/>
      <c r="AQ1046" s="1321"/>
      <c r="AR1046" s="68"/>
      <c r="AS1046" s="68"/>
      <c r="AT1046" s="68"/>
      <c r="AU1046" s="68"/>
      <c r="AV1046" s="68"/>
      <c r="AW1046" s="68"/>
      <c r="AX1046" s="68"/>
      <c r="AY1046" s="68"/>
    </row>
    <row r="1047" spans="1:57" ht="12.95" customHeight="1">
      <c r="A1047" s="14"/>
      <c r="B1047" s="73"/>
      <c r="C1047" s="74"/>
      <c r="D1047" s="1302"/>
      <c r="E1047" s="1303"/>
      <c r="F1047" s="1303"/>
      <c r="G1047" s="1303"/>
      <c r="H1047" s="1303"/>
      <c r="I1047" s="1303"/>
      <c r="J1047" s="1303"/>
      <c r="K1047" s="1303"/>
      <c r="L1047" s="1303"/>
      <c r="M1047" s="1303"/>
      <c r="N1047" s="1303"/>
      <c r="O1047" s="1303"/>
      <c r="P1047" s="1303"/>
      <c r="Q1047" s="1303"/>
      <c r="R1047" s="1303"/>
      <c r="S1047" s="1303"/>
      <c r="T1047" s="1303"/>
      <c r="U1047" s="1303"/>
      <c r="V1047" s="1303"/>
      <c r="W1047" s="1303"/>
      <c r="X1047" s="1303"/>
      <c r="Y1047" s="1303"/>
      <c r="Z1047" s="1303"/>
      <c r="AA1047" s="1303"/>
      <c r="AB1047" s="1303"/>
      <c r="AC1047" s="1303"/>
      <c r="AD1047" s="1303"/>
      <c r="AE1047" s="1304"/>
      <c r="AF1047" s="73"/>
      <c r="AG1047" s="14"/>
      <c r="AH1047" s="14"/>
      <c r="AI1047" s="83"/>
      <c r="AJ1047" s="1319"/>
      <c r="AK1047" s="1320"/>
      <c r="AL1047" s="1320"/>
      <c r="AM1047" s="1320"/>
      <c r="AN1047" s="1320"/>
      <c r="AO1047" s="1320"/>
      <c r="AP1047" s="1320"/>
      <c r="AQ1047" s="1321"/>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302"/>
      <c r="E1048" s="1303"/>
      <c r="F1048" s="1303"/>
      <c r="G1048" s="1303"/>
      <c r="H1048" s="1303"/>
      <c r="I1048" s="1303"/>
      <c r="J1048" s="1303"/>
      <c r="K1048" s="1303"/>
      <c r="L1048" s="1303"/>
      <c r="M1048" s="1303"/>
      <c r="N1048" s="1303"/>
      <c r="O1048" s="1303"/>
      <c r="P1048" s="1303"/>
      <c r="Q1048" s="1303"/>
      <c r="R1048" s="1303"/>
      <c r="S1048" s="1303"/>
      <c r="T1048" s="1303"/>
      <c r="U1048" s="1303"/>
      <c r="V1048" s="1303"/>
      <c r="W1048" s="1303"/>
      <c r="X1048" s="1303"/>
      <c r="Y1048" s="1303"/>
      <c r="Z1048" s="1303"/>
      <c r="AA1048" s="1303"/>
      <c r="AB1048" s="1303"/>
      <c r="AC1048" s="1303"/>
      <c r="AD1048" s="1303"/>
      <c r="AE1048" s="1304"/>
      <c r="AF1048" s="73"/>
      <c r="AG1048" s="14"/>
      <c r="AH1048" s="14"/>
      <c r="AI1048" s="83"/>
      <c r="AJ1048" s="1319"/>
      <c r="AK1048" s="1320"/>
      <c r="AL1048" s="1320"/>
      <c r="AM1048" s="1320"/>
      <c r="AN1048" s="1320"/>
      <c r="AO1048" s="1320"/>
      <c r="AP1048" s="1320"/>
      <c r="AQ1048" s="1321"/>
      <c r="AR1048" s="68"/>
      <c r="AS1048" s="68"/>
      <c r="AT1048" s="68"/>
      <c r="AU1048" s="68"/>
      <c r="AV1048" s="68"/>
      <c r="AW1048" s="68"/>
      <c r="AX1048" s="68"/>
      <c r="AY1048" s="68"/>
      <c r="BA1048">
        <f>IFERROR((($CI$761+$CM$761)/$AG$449),0)</f>
        <v>0.20560747663551401</v>
      </c>
      <c r="BB1048" s="3" t="s">
        <v>2417</v>
      </c>
    </row>
    <row r="1049" spans="1:57" ht="12.95" customHeight="1">
      <c r="A1049" s="14"/>
      <c r="B1049" s="73"/>
      <c r="C1049" s="74"/>
      <c r="D1049" s="1305"/>
      <c r="E1049" s="1306"/>
      <c r="F1049" s="1306"/>
      <c r="G1049" s="1306"/>
      <c r="H1049" s="1306"/>
      <c r="I1049" s="1306"/>
      <c r="J1049" s="1306"/>
      <c r="K1049" s="1306"/>
      <c r="L1049" s="1306"/>
      <c r="M1049" s="1306"/>
      <c r="N1049" s="1306"/>
      <c r="O1049" s="1306"/>
      <c r="P1049" s="1306"/>
      <c r="Q1049" s="1306"/>
      <c r="R1049" s="1306"/>
      <c r="S1049" s="1306"/>
      <c r="T1049" s="1306"/>
      <c r="U1049" s="1306"/>
      <c r="V1049" s="1306"/>
      <c r="W1049" s="1306"/>
      <c r="X1049" s="1306"/>
      <c r="Y1049" s="1306"/>
      <c r="Z1049" s="1306"/>
      <c r="AA1049" s="1306"/>
      <c r="AB1049" s="1306"/>
      <c r="AC1049" s="1306"/>
      <c r="AD1049" s="1306"/>
      <c r="AE1049" s="1307"/>
      <c r="AF1049" s="73"/>
      <c r="AG1049" s="14"/>
      <c r="AH1049" s="14"/>
      <c r="AI1049" s="83"/>
      <c r="AJ1049" s="1319"/>
      <c r="AK1049" s="1320"/>
      <c r="AL1049" s="1320"/>
      <c r="AM1049" s="1320"/>
      <c r="AN1049" s="1320"/>
      <c r="AO1049" s="1320"/>
      <c r="AP1049" s="1320"/>
      <c r="AQ1049" s="1321"/>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524" t="s">
        <v>1295</v>
      </c>
      <c r="E1050" s="1525"/>
      <c r="F1050" s="1525"/>
      <c r="G1050" s="1525"/>
      <c r="H1050" s="1525"/>
      <c r="I1050" s="1525"/>
      <c r="J1050" s="1525"/>
      <c r="K1050" s="1525"/>
      <c r="L1050" s="1525"/>
      <c r="M1050" s="1525"/>
      <c r="N1050" s="1525"/>
      <c r="O1050" s="1525"/>
      <c r="P1050" s="1525"/>
      <c r="Q1050" s="1525"/>
      <c r="R1050" s="1525"/>
      <c r="S1050" s="1525"/>
      <c r="T1050" s="1525"/>
      <c r="U1050" s="1525"/>
      <c r="V1050" s="1525"/>
      <c r="W1050" s="1525"/>
      <c r="X1050" s="1525"/>
      <c r="Y1050" s="1525"/>
      <c r="Z1050" s="1525"/>
      <c r="AA1050" s="1525"/>
      <c r="AB1050" s="1525"/>
      <c r="AC1050" s="1525"/>
      <c r="AD1050" s="1525"/>
      <c r="AE1050" s="1526"/>
      <c r="AF1050" s="79"/>
      <c r="AG1050" s="1351" t="s">
        <v>669</v>
      </c>
      <c r="AH1050" s="1352"/>
      <c r="AI1050" s="87"/>
      <c r="AJ1050" s="1316">
        <f>ROUND(IF(AG1050="yes",(AJ1001*0.1),0),0)</f>
        <v>0</v>
      </c>
      <c r="AK1050" s="1317"/>
      <c r="AL1050" s="1317"/>
      <c r="AM1050" s="1317"/>
      <c r="AN1050" s="1317"/>
      <c r="AO1050" s="1317"/>
      <c r="AP1050" s="1317"/>
      <c r="AQ1050" s="1318"/>
      <c r="AR1050" s="68"/>
      <c r="AS1050" s="68"/>
      <c r="AT1050" s="68"/>
      <c r="AU1050" s="68"/>
      <c r="AV1050" s="68"/>
      <c r="AW1050" s="68"/>
      <c r="AX1050" s="68"/>
      <c r="AY1050" s="68"/>
      <c r="BA1050">
        <f>Q212</f>
        <v>0</v>
      </c>
      <c r="BB1050" s="3" t="s">
        <v>2415</v>
      </c>
    </row>
    <row r="1051" spans="1:57" ht="12.95" customHeight="1">
      <c r="A1051" s="14"/>
      <c r="B1051" s="73"/>
      <c r="C1051" s="74"/>
      <c r="D1051" s="1532" t="s">
        <v>2093</v>
      </c>
      <c r="E1051" s="1533"/>
      <c r="F1051" s="1533"/>
      <c r="G1051" s="1533"/>
      <c r="H1051" s="1533"/>
      <c r="I1051" s="1533"/>
      <c r="J1051" s="1533"/>
      <c r="K1051" s="1533"/>
      <c r="L1051" s="1533"/>
      <c r="M1051" s="1533"/>
      <c r="N1051" s="1533"/>
      <c r="O1051" s="1533"/>
      <c r="P1051" s="1533"/>
      <c r="Q1051" s="1533"/>
      <c r="R1051" s="1533"/>
      <c r="S1051" s="1533"/>
      <c r="T1051" s="1533"/>
      <c r="U1051" s="1533"/>
      <c r="V1051" s="1533"/>
      <c r="W1051" s="1533"/>
      <c r="X1051" s="1533"/>
      <c r="Y1051" s="1533"/>
      <c r="Z1051" s="1533"/>
      <c r="AA1051" s="1533"/>
      <c r="AB1051" s="1533"/>
      <c r="AC1051" s="1533"/>
      <c r="AD1051" s="1533"/>
      <c r="AE1051" s="1534"/>
      <c r="AF1051" s="73"/>
      <c r="AG1051" s="14"/>
      <c r="AH1051" s="14"/>
      <c r="AI1051" s="83"/>
      <c r="AJ1051" s="1319"/>
      <c r="AK1051" s="1320"/>
      <c r="AL1051" s="1320"/>
      <c r="AM1051" s="1320"/>
      <c r="AN1051" s="1320"/>
      <c r="AO1051" s="1320"/>
      <c r="AP1051" s="1320"/>
      <c r="AQ1051" s="1321"/>
      <c r="AR1051" s="68"/>
      <c r="AS1051" s="68"/>
      <c r="AT1051" s="68"/>
      <c r="AU1051" s="68"/>
      <c r="AV1051" s="68"/>
      <c r="AW1051" s="68"/>
      <c r="AX1051" s="68"/>
      <c r="AY1051" s="68"/>
      <c r="BA1051" s="1172">
        <f>T212</f>
        <v>0</v>
      </c>
      <c r="BB1051" s="3" t="s">
        <v>2416</v>
      </c>
    </row>
    <row r="1052" spans="1:57" ht="12.95" customHeight="1">
      <c r="A1052" s="14"/>
      <c r="B1052" s="73"/>
      <c r="C1052" s="74"/>
      <c r="D1052" s="1532"/>
      <c r="E1052" s="1533"/>
      <c r="F1052" s="1533"/>
      <c r="G1052" s="1533"/>
      <c r="H1052" s="1533"/>
      <c r="I1052" s="1533"/>
      <c r="J1052" s="1533"/>
      <c r="K1052" s="1533"/>
      <c r="L1052" s="1533"/>
      <c r="M1052" s="1533"/>
      <c r="N1052" s="1533"/>
      <c r="O1052" s="1533"/>
      <c r="P1052" s="1533"/>
      <c r="Q1052" s="1533"/>
      <c r="R1052" s="1533"/>
      <c r="S1052" s="1533"/>
      <c r="T1052" s="1533"/>
      <c r="U1052" s="1533"/>
      <c r="V1052" s="1533"/>
      <c r="W1052" s="1533"/>
      <c r="X1052" s="1533"/>
      <c r="Y1052" s="1533"/>
      <c r="Z1052" s="1533"/>
      <c r="AA1052" s="1533"/>
      <c r="AB1052" s="1533"/>
      <c r="AC1052" s="1533"/>
      <c r="AD1052" s="1533"/>
      <c r="AE1052" s="1534"/>
      <c r="AF1052" s="73"/>
      <c r="AG1052" s="14"/>
      <c r="AH1052" s="14"/>
      <c r="AI1052" s="83"/>
      <c r="AJ1052" s="1319"/>
      <c r="AK1052" s="1320"/>
      <c r="AL1052" s="1320"/>
      <c r="AM1052" s="1320"/>
      <c r="AN1052" s="1320"/>
      <c r="AO1052" s="1320"/>
      <c r="AP1052" s="1320"/>
      <c r="AQ1052" s="1321"/>
      <c r="AR1052" s="68"/>
      <c r="AS1052" s="68"/>
      <c r="AT1052" s="68"/>
      <c r="AU1052" s="68"/>
      <c r="AV1052" s="68"/>
      <c r="AW1052" s="68"/>
      <c r="AX1052" s="68"/>
      <c r="AY1052" s="68"/>
    </row>
    <row r="1053" spans="1:57" ht="12.95" customHeight="1">
      <c r="A1053" s="14"/>
      <c r="B1053" s="73"/>
      <c r="C1053" s="74"/>
      <c r="D1053" s="1527"/>
      <c r="E1053" s="1528"/>
      <c r="F1053" s="1528"/>
      <c r="G1053" s="1528"/>
      <c r="H1053" s="1528"/>
      <c r="I1053" s="1528"/>
      <c r="J1053" s="1528"/>
      <c r="K1053" s="1528"/>
      <c r="L1053" s="1528"/>
      <c r="M1053" s="1528"/>
      <c r="N1053" s="1528"/>
      <c r="O1053" s="1528"/>
      <c r="P1053" s="1528"/>
      <c r="Q1053" s="1528"/>
      <c r="R1053" s="1528"/>
      <c r="S1053" s="1528"/>
      <c r="T1053" s="1528"/>
      <c r="U1053" s="1528"/>
      <c r="V1053" s="1528"/>
      <c r="W1053" s="1528"/>
      <c r="X1053" s="1528"/>
      <c r="Y1053" s="1528"/>
      <c r="Z1053" s="1528"/>
      <c r="AA1053" s="1528"/>
      <c r="AB1053" s="1528"/>
      <c r="AC1053" s="1528"/>
      <c r="AD1053" s="1528"/>
      <c r="AE1053" s="1529"/>
      <c r="AF1053" s="73"/>
      <c r="AG1053" s="14"/>
      <c r="AH1053" s="14"/>
      <c r="AI1053" s="83"/>
      <c r="AJ1053" s="1322"/>
      <c r="AK1053" s="1323"/>
      <c r="AL1053" s="1323"/>
      <c r="AM1053" s="1323"/>
      <c r="AN1053" s="1323"/>
      <c r="AO1053" s="1323"/>
      <c r="AP1053" s="1323"/>
      <c r="AQ1053" s="1324"/>
      <c r="AR1053" s="68"/>
      <c r="AS1053" s="68"/>
      <c r="AT1053" s="68"/>
      <c r="AU1053" s="68"/>
      <c r="AV1053" s="68"/>
      <c r="AW1053" s="68"/>
      <c r="AX1053" s="68"/>
      <c r="AY1053" s="68"/>
    </row>
    <row r="1054" spans="1:57" ht="12.95" customHeight="1">
      <c r="A1054" s="14"/>
      <c r="B1054" s="79"/>
      <c r="C1054" s="131" t="s">
        <v>1672</v>
      </c>
      <c r="D1054" s="1308" t="s">
        <v>1833</v>
      </c>
      <c r="E1054" s="1309"/>
      <c r="F1054" s="1309"/>
      <c r="G1054" s="1309"/>
      <c r="H1054" s="1309"/>
      <c r="I1054" s="1309"/>
      <c r="J1054" s="1309"/>
      <c r="K1054" s="1309"/>
      <c r="L1054" s="1309"/>
      <c r="M1054" s="1309"/>
      <c r="N1054" s="1309"/>
      <c r="O1054" s="1309"/>
      <c r="P1054" s="1309"/>
      <c r="Q1054" s="1309"/>
      <c r="R1054" s="1309"/>
      <c r="S1054" s="1309"/>
      <c r="T1054" s="1309"/>
      <c r="U1054" s="1309"/>
      <c r="V1054" s="1309"/>
      <c r="W1054" s="1309"/>
      <c r="X1054" s="1309"/>
      <c r="Y1054" s="1309"/>
      <c r="Z1054" s="1309"/>
      <c r="AA1054" s="1309"/>
      <c r="AB1054" s="1309"/>
      <c r="AC1054" s="1309"/>
      <c r="AD1054" s="1309"/>
      <c r="AE1054" s="1310"/>
      <c r="AF1054" s="79"/>
      <c r="AG1054" s="1539" t="str">
        <f>IF(X1057&gt;0,"Yes","No")</f>
        <v>Yes</v>
      </c>
      <c r="AH1054" s="1540"/>
      <c r="AI1054" s="87"/>
      <c r="AJ1054" s="1316">
        <f>IF((X1057=0),0,AY1014*AJ1001)</f>
        <v>5086734.8000000007</v>
      </c>
      <c r="AK1054" s="1317"/>
      <c r="AL1054" s="1317"/>
      <c r="AM1054" s="1317"/>
      <c r="AN1054" s="1317"/>
      <c r="AO1054" s="1317"/>
      <c r="AP1054" s="1317"/>
      <c r="AQ1054" s="1318"/>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532" t="s">
        <v>1297</v>
      </c>
      <c r="E1055" s="1533"/>
      <c r="F1055" s="1533"/>
      <c r="G1055" s="1533"/>
      <c r="H1055" s="1533"/>
      <c r="I1055" s="1533"/>
      <c r="J1055" s="1533"/>
      <c r="K1055" s="1533"/>
      <c r="L1055" s="1533"/>
      <c r="M1055" s="1533"/>
      <c r="N1055" s="1533"/>
      <c r="O1055" s="1533"/>
      <c r="P1055" s="1533"/>
      <c r="Q1055" s="1533"/>
      <c r="R1055" s="1533"/>
      <c r="S1055" s="1533"/>
      <c r="T1055" s="1533"/>
      <c r="U1055" s="1533"/>
      <c r="V1055" s="1533"/>
      <c r="W1055" s="1533"/>
      <c r="X1055" s="1533"/>
      <c r="Y1055" s="1533"/>
      <c r="Z1055" s="1533"/>
      <c r="AA1055" s="1533"/>
      <c r="AB1055" s="1533"/>
      <c r="AC1055" s="1533"/>
      <c r="AD1055" s="1533"/>
      <c r="AE1055" s="1534"/>
      <c r="AF1055" s="73"/>
      <c r="AG1055" s="439"/>
      <c r="AH1055" s="439"/>
      <c r="AI1055" s="83"/>
      <c r="AJ1055" s="1319"/>
      <c r="AK1055" s="1320"/>
      <c r="AL1055" s="1320"/>
      <c r="AM1055" s="1320"/>
      <c r="AN1055" s="1320"/>
      <c r="AO1055" s="1320"/>
      <c r="AP1055" s="1320"/>
      <c r="AQ1055" s="1321"/>
      <c r="AR1055" s="68"/>
      <c r="AS1055" s="68"/>
      <c r="AT1055" s="68"/>
      <c r="AU1055" s="13"/>
      <c r="AV1055" s="68"/>
      <c r="AW1055" s="68"/>
      <c r="AX1055" s="68"/>
      <c r="AY1055" s="68"/>
      <c r="AZ1055" s="953">
        <f>'Sources and Uses Budget'!S97*BA1055</f>
        <v>6502934.0999999996</v>
      </c>
      <c r="BA1055" s="1170">
        <f>IF(BA1049,20%,15%)</f>
        <v>0.15</v>
      </c>
      <c r="BB1055" s="3" t="s">
        <v>2403</v>
      </c>
      <c r="BC1055" s="3" t="s">
        <v>2404</v>
      </c>
      <c r="BD1055" s="3"/>
    </row>
    <row r="1056" spans="1:57" ht="12.95" customHeight="1">
      <c r="A1056" s="14"/>
      <c r="B1056" s="73"/>
      <c r="C1056" s="438"/>
      <c r="D1056" s="1532"/>
      <c r="E1056" s="1533"/>
      <c r="F1056" s="1533"/>
      <c r="G1056" s="1533"/>
      <c r="H1056" s="1533"/>
      <c r="I1056" s="1533"/>
      <c r="J1056" s="1533"/>
      <c r="K1056" s="1533"/>
      <c r="L1056" s="1533"/>
      <c r="M1056" s="1533"/>
      <c r="N1056" s="1533"/>
      <c r="O1056" s="1533"/>
      <c r="P1056" s="1533"/>
      <c r="Q1056" s="1533"/>
      <c r="R1056" s="1533"/>
      <c r="S1056" s="1533"/>
      <c r="T1056" s="1533"/>
      <c r="U1056" s="1533"/>
      <c r="V1056" s="1533"/>
      <c r="W1056" s="1533"/>
      <c r="X1056" s="1533"/>
      <c r="Y1056" s="1533"/>
      <c r="Z1056" s="1533"/>
      <c r="AA1056" s="1533"/>
      <c r="AB1056" s="1533"/>
      <c r="AC1056" s="1533"/>
      <c r="AD1056" s="1533"/>
      <c r="AE1056" s="1534"/>
      <c r="AF1056" s="73"/>
      <c r="AG1056" s="439"/>
      <c r="AH1056" s="439"/>
      <c r="AI1056" s="83"/>
      <c r="AJ1056" s="1319"/>
      <c r="AK1056" s="1320"/>
      <c r="AL1056" s="1320"/>
      <c r="AM1056" s="1320"/>
      <c r="AN1056" s="1320"/>
      <c r="AO1056" s="1320"/>
      <c r="AP1056" s="1320"/>
      <c r="AQ1056" s="1321"/>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537">
        <f>AY1012</f>
        <v>107</v>
      </c>
      <c r="J1057" s="1538"/>
      <c r="K1057" s="7"/>
      <c r="L1057" s="133"/>
      <c r="M1057" s="133"/>
      <c r="N1057" s="133"/>
      <c r="O1057" s="133"/>
      <c r="P1057" s="133"/>
      <c r="Q1057" s="133"/>
      <c r="R1057" s="133"/>
      <c r="S1057" s="133"/>
      <c r="T1057" s="133"/>
      <c r="U1057" s="133"/>
      <c r="V1057" s="134" t="s">
        <v>973</v>
      </c>
      <c r="W1057" s="48"/>
      <c r="X1057" s="1535">
        <f>CI761</f>
        <v>11</v>
      </c>
      <c r="Y1057" s="1536"/>
      <c r="Z1057" s="48"/>
      <c r="AA1057" s="48"/>
      <c r="AB1057" s="48"/>
      <c r="AC1057" s="48"/>
      <c r="AD1057" s="48"/>
      <c r="AE1057" s="49"/>
      <c r="AF1057" s="915"/>
      <c r="AG1057" s="916"/>
      <c r="AH1057" s="916"/>
      <c r="AI1057" s="917"/>
      <c r="AJ1057" s="1322"/>
      <c r="AK1057" s="1323"/>
      <c r="AL1057" s="1323"/>
      <c r="AM1057" s="1323"/>
      <c r="AN1057" s="1323"/>
      <c r="AO1057" s="1323"/>
      <c r="AP1057" s="1323"/>
      <c r="AQ1057" s="1324"/>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2403</v>
      </c>
      <c r="BC1057" s="3" t="s">
        <v>2406</v>
      </c>
      <c r="BD1057" s="3"/>
    </row>
    <row r="1058" spans="1:56" ht="12.95" customHeight="1">
      <c r="A1058" s="14"/>
      <c r="B1058" s="79"/>
      <c r="C1058" s="131" t="s">
        <v>1673</v>
      </c>
      <c r="D1058" s="1524" t="s">
        <v>2119</v>
      </c>
      <c r="E1058" s="1525"/>
      <c r="F1058" s="1525"/>
      <c r="G1058" s="1525"/>
      <c r="H1058" s="1525"/>
      <c r="I1058" s="1525"/>
      <c r="J1058" s="1525"/>
      <c r="K1058" s="1525"/>
      <c r="L1058" s="1525"/>
      <c r="M1058" s="1525"/>
      <c r="N1058" s="1525"/>
      <c r="O1058" s="1525"/>
      <c r="P1058" s="1525"/>
      <c r="Q1058" s="1525"/>
      <c r="R1058" s="1525"/>
      <c r="S1058" s="1525"/>
      <c r="T1058" s="1525"/>
      <c r="U1058" s="1525"/>
      <c r="V1058" s="1525"/>
      <c r="W1058" s="1525"/>
      <c r="X1058" s="1525"/>
      <c r="Y1058" s="1525"/>
      <c r="Z1058" s="1525"/>
      <c r="AA1058" s="1525"/>
      <c r="AB1058" s="1525"/>
      <c r="AC1058" s="1525"/>
      <c r="AD1058" s="1525"/>
      <c r="AE1058" s="1526"/>
      <c r="AF1058" s="73"/>
      <c r="AG1058" s="1539" t="str">
        <f>IF(X1061&gt;0,"Yes","No")</f>
        <v>Yes</v>
      </c>
      <c r="AH1058" s="1540"/>
      <c r="AI1058" s="83"/>
      <c r="AJ1058" s="1316">
        <f>IF((X1061=0),0,(2*AY1015)*AJ1001)</f>
        <v>10173469.600000001</v>
      </c>
      <c r="AK1058" s="1317"/>
      <c r="AL1058" s="1317"/>
      <c r="AM1058" s="1317"/>
      <c r="AN1058" s="1317"/>
      <c r="AO1058" s="1317"/>
      <c r="AP1058" s="1317"/>
      <c r="AQ1058" s="1318"/>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532" t="s">
        <v>1296</v>
      </c>
      <c r="E1059" s="1533"/>
      <c r="F1059" s="1533"/>
      <c r="G1059" s="1533"/>
      <c r="H1059" s="1533"/>
      <c r="I1059" s="1533"/>
      <c r="J1059" s="1533"/>
      <c r="K1059" s="1533"/>
      <c r="L1059" s="1533"/>
      <c r="M1059" s="1533"/>
      <c r="N1059" s="1533"/>
      <c r="O1059" s="1533"/>
      <c r="P1059" s="1533"/>
      <c r="Q1059" s="1533"/>
      <c r="R1059" s="1533"/>
      <c r="S1059" s="1533"/>
      <c r="T1059" s="1533"/>
      <c r="U1059" s="1533"/>
      <c r="V1059" s="1533"/>
      <c r="W1059" s="1533"/>
      <c r="X1059" s="1533"/>
      <c r="Y1059" s="1533"/>
      <c r="Z1059" s="1533"/>
      <c r="AA1059" s="1533"/>
      <c r="AB1059" s="1533"/>
      <c r="AC1059" s="1533"/>
      <c r="AD1059" s="1533"/>
      <c r="AE1059" s="1534"/>
      <c r="AF1059" s="73"/>
      <c r="AG1059" s="439"/>
      <c r="AH1059" s="439"/>
      <c r="AI1059" s="83"/>
      <c r="AJ1059" s="1319"/>
      <c r="AK1059" s="1320"/>
      <c r="AL1059" s="1320"/>
      <c r="AM1059" s="1320"/>
      <c r="AN1059" s="1320"/>
      <c r="AO1059" s="1320"/>
      <c r="AP1059" s="1320"/>
      <c r="AQ1059" s="1321"/>
      <c r="AR1059" s="68"/>
      <c r="AS1059" s="68"/>
      <c r="AT1059" s="68"/>
      <c r="AU1059" s="68"/>
      <c r="AV1059" s="68"/>
      <c r="AW1059" s="68"/>
      <c r="AX1059" s="68"/>
      <c r="AY1059" s="68"/>
      <c r="AZ1059" s="953"/>
      <c r="BA1059" s="3"/>
      <c r="BB1059" s="3"/>
      <c r="BC1059" s="3"/>
      <c r="BD1059" s="3"/>
    </row>
    <row r="1060" spans="1:56" ht="12.95" customHeight="1">
      <c r="A1060" s="14"/>
      <c r="B1060" s="73"/>
      <c r="C1060" s="83"/>
      <c r="D1060" s="1532"/>
      <c r="E1060" s="1533"/>
      <c r="F1060" s="1533"/>
      <c r="G1060" s="1533"/>
      <c r="H1060" s="1533"/>
      <c r="I1060" s="1533"/>
      <c r="J1060" s="1533"/>
      <c r="K1060" s="1533"/>
      <c r="L1060" s="1533"/>
      <c r="M1060" s="1533"/>
      <c r="N1060" s="1533"/>
      <c r="O1060" s="1533"/>
      <c r="P1060" s="1533"/>
      <c r="Q1060" s="1533"/>
      <c r="R1060" s="1533"/>
      <c r="S1060" s="1533"/>
      <c r="T1060" s="1533"/>
      <c r="U1060" s="1533"/>
      <c r="V1060" s="1533"/>
      <c r="W1060" s="1533"/>
      <c r="X1060" s="1533"/>
      <c r="Y1060" s="1533"/>
      <c r="Z1060" s="1533"/>
      <c r="AA1060" s="1533"/>
      <c r="AB1060" s="1533"/>
      <c r="AC1060" s="1533"/>
      <c r="AD1060" s="1533"/>
      <c r="AE1060" s="1534"/>
      <c r="AF1060" s="912"/>
      <c r="AG1060" s="913"/>
      <c r="AH1060" s="913"/>
      <c r="AI1060" s="914"/>
      <c r="AJ1060" s="1319"/>
      <c r="AK1060" s="1320"/>
      <c r="AL1060" s="1320"/>
      <c r="AM1060" s="1320"/>
      <c r="AN1060" s="1320"/>
      <c r="AO1060" s="1320"/>
      <c r="AP1060" s="1320"/>
      <c r="AQ1060" s="1321"/>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537">
        <f>AY1012</f>
        <v>107</v>
      </c>
      <c r="J1061" s="1538"/>
      <c r="K1061" s="14"/>
      <c r="L1061" s="133"/>
      <c r="M1061" s="133"/>
      <c r="N1061" s="133"/>
      <c r="O1061" s="133"/>
      <c r="P1061" s="133"/>
      <c r="Q1061" s="133"/>
      <c r="R1061" s="133"/>
      <c r="S1061" s="133"/>
      <c r="T1061" s="133"/>
      <c r="U1061" s="133"/>
      <c r="V1061" s="134" t="s">
        <v>974</v>
      </c>
      <c r="X1061" s="1535">
        <f>CM761</f>
        <v>11</v>
      </c>
      <c r="Y1061" s="1536"/>
      <c r="AF1061" s="915"/>
      <c r="AG1061" s="916"/>
      <c r="AH1061" s="916"/>
      <c r="AI1061" s="917"/>
      <c r="AJ1061" s="1322"/>
      <c r="AK1061" s="1323"/>
      <c r="AL1061" s="1323"/>
      <c r="AM1061" s="1323"/>
      <c r="AN1061" s="1323"/>
      <c r="AO1061" s="1323"/>
      <c r="AP1061" s="1323"/>
      <c r="AQ1061" s="1324"/>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530" t="s">
        <v>513</v>
      </c>
      <c r="E1062" s="1530"/>
      <c r="F1062" s="1530"/>
      <c r="G1062" s="1530"/>
      <c r="H1062" s="1530"/>
      <c r="I1062" s="1530"/>
      <c r="J1062" s="1530"/>
      <c r="K1062" s="1530"/>
      <c r="L1062" s="1530"/>
      <c r="M1062" s="1530"/>
      <c r="N1062" s="1530"/>
      <c r="O1062" s="1530"/>
      <c r="P1062" s="1530"/>
      <c r="Q1062" s="1530"/>
      <c r="R1062" s="1530"/>
      <c r="S1062" s="1530"/>
      <c r="T1062" s="1530"/>
      <c r="U1062" s="1530"/>
      <c r="V1062" s="1530"/>
      <c r="W1062" s="1530"/>
      <c r="X1062" s="1530"/>
      <c r="Y1062" s="1530"/>
      <c r="Z1062" s="1530"/>
      <c r="AA1062" s="1530"/>
      <c r="AB1062" s="1530"/>
      <c r="AC1062" s="1530"/>
      <c r="AD1062" s="1530"/>
      <c r="AE1062" s="1530"/>
      <c r="AF1062" s="1530"/>
      <c r="AG1062" s="1530"/>
      <c r="AH1062" s="1530"/>
      <c r="AI1062" s="1531"/>
      <c r="AJ1062" s="1299">
        <f>SUM(AJ1001:AQ1061)</f>
        <v>78608551.400000006</v>
      </c>
      <c r="AK1062" s="1300"/>
      <c r="AL1062" s="1300"/>
      <c r="AM1062" s="1300"/>
      <c r="AN1062" s="1300"/>
      <c r="AO1062" s="1300"/>
      <c r="AP1062" s="1300"/>
      <c r="AQ1062" s="1301"/>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9">
        <f>'Sources and Uses Budget'!S107+'Sources and Uses Budget'!T107</f>
        <v>49855828</v>
      </c>
      <c r="AB1065" s="1809"/>
      <c r="AC1065" s="1809"/>
      <c r="AD1065" s="1809"/>
      <c r="AE1065" s="1809"/>
      <c r="AF1065" s="180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6502934.0999999996</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10">
        <f>IFERROR((AA1065-BA1068)/(AJ1062-AJ1054-AJ1058),"")</f>
        <v>0.72382147556273246</v>
      </c>
      <c r="AB1066" s="1811"/>
      <c r="AC1066" s="1811"/>
      <c r="AD1066" s="1811"/>
      <c r="AE1066" s="1811"/>
      <c r="AF1066" s="181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1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3"/>
      <c r="I1067" s="1813"/>
      <c r="J1067" s="1813"/>
      <c r="K1067" s="1813"/>
      <c r="L1067" s="1813"/>
      <c r="M1067" s="1813"/>
      <c r="N1067" s="1813"/>
      <c r="O1067" s="1813"/>
      <c r="P1067" s="1813"/>
      <c r="Q1067" s="1813"/>
      <c r="R1067" s="1813"/>
      <c r="S1067" s="1813"/>
      <c r="T1067" s="1813"/>
      <c r="U1067" s="1813"/>
      <c r="V1067" s="1813"/>
      <c r="W1067" s="1813"/>
      <c r="X1067" s="1813"/>
      <c r="Y1067" s="1813"/>
      <c r="Z1067" s="1813"/>
      <c r="AA1067" s="1813"/>
      <c r="AB1067" s="1813"/>
      <c r="AC1067" s="1813"/>
      <c r="AD1067" s="1813"/>
      <c r="AE1067" s="1813"/>
      <c r="AF1067" s="1813"/>
      <c r="AG1067" s="1813"/>
      <c r="AH1067" s="1813"/>
      <c r="AI1067" s="1813"/>
      <c r="AJ1067" s="1813"/>
      <c r="AK1067" s="1813"/>
      <c r="AL1067" s="1813"/>
      <c r="AM1067" s="1813"/>
      <c r="AN1067" s="1813"/>
      <c r="AO1067" s="68"/>
      <c r="AP1067" s="68"/>
      <c r="AQ1067" s="68"/>
      <c r="AR1067" s="68"/>
      <c r="AS1067" s="68"/>
      <c r="AT1067" s="68"/>
      <c r="AU1067" s="68"/>
      <c r="AV1067" s="14"/>
      <c r="AW1067" s="14"/>
      <c r="AX1067" s="14"/>
      <c r="AY1067" s="14"/>
      <c r="BA1067" s="1173">
        <f>'Sources and Uses Budget'!$S$104+'Sources and Uses Budget'!$T$104</f>
        <v>6502934</v>
      </c>
      <c r="BB1067" s="3" t="s">
        <v>2418</v>
      </c>
    </row>
    <row r="1068" spans="1:56" ht="12.95" customHeight="1">
      <c r="A1068" s="14"/>
      <c r="B1068" s="14"/>
      <c r="C1068" s="208"/>
      <c r="D1068" s="849"/>
      <c r="E1068" s="849"/>
      <c r="F1068" s="849"/>
      <c r="G1068" s="1813"/>
      <c r="H1068" s="1813"/>
      <c r="I1068" s="1813"/>
      <c r="J1068" s="1813"/>
      <c r="K1068" s="1813"/>
      <c r="L1068" s="1813"/>
      <c r="M1068" s="1813"/>
      <c r="N1068" s="1813"/>
      <c r="O1068" s="1813"/>
      <c r="P1068" s="1813"/>
      <c r="Q1068" s="1813"/>
      <c r="R1068" s="1813"/>
      <c r="S1068" s="1813"/>
      <c r="T1068" s="1813"/>
      <c r="U1068" s="1813"/>
      <c r="V1068" s="1813"/>
      <c r="W1068" s="1813"/>
      <c r="X1068" s="1813"/>
      <c r="Y1068" s="1813"/>
      <c r="Z1068" s="1813"/>
      <c r="AA1068" s="1813"/>
      <c r="AB1068" s="1813"/>
      <c r="AC1068" s="1813"/>
      <c r="AD1068" s="1813"/>
      <c r="AE1068" s="1813"/>
      <c r="AF1068" s="1813"/>
      <c r="AG1068" s="1813"/>
      <c r="AH1068" s="1813"/>
      <c r="AI1068" s="1813"/>
      <c r="AJ1068" s="1813"/>
      <c r="AK1068" s="1813"/>
      <c r="AL1068" s="1813"/>
      <c r="AM1068" s="1813"/>
      <c r="AN1068" s="1813"/>
      <c r="AO1068" s="68"/>
      <c r="AP1068" s="68"/>
      <c r="AQ1068" s="68"/>
      <c r="AR1068" s="68"/>
      <c r="AS1068" s="68"/>
      <c r="AT1068" s="68"/>
      <c r="AU1068" s="68"/>
      <c r="AV1068" s="14"/>
      <c r="AW1068" s="14"/>
      <c r="AX1068" s="14"/>
      <c r="AY1068" s="14"/>
      <c r="BA1068" s="1174">
        <f>MAX($BA$1067-$BA$1064,0)</f>
        <v>4002934</v>
      </c>
      <c r="BB1068" s="3" t="s">
        <v>2419</v>
      </c>
    </row>
    <row r="1069" spans="1:56" ht="12.95" customHeight="1">
      <c r="A1069" s="88"/>
      <c r="B1069" s="1160"/>
      <c r="C1069" s="1160"/>
      <c r="D1069" s="1160"/>
      <c r="E1069" s="1160"/>
      <c r="F1069" s="1160"/>
      <c r="G1069" s="1813"/>
      <c r="H1069" s="1813"/>
      <c r="I1069" s="1813"/>
      <c r="J1069" s="1813"/>
      <c r="K1069" s="1813"/>
      <c r="L1069" s="1813"/>
      <c r="M1069" s="1813"/>
      <c r="N1069" s="1813"/>
      <c r="O1069" s="1813"/>
      <c r="P1069" s="1813"/>
      <c r="Q1069" s="1813"/>
      <c r="R1069" s="1813"/>
      <c r="S1069" s="1813"/>
      <c r="T1069" s="1813"/>
      <c r="U1069" s="1813"/>
      <c r="V1069" s="1813"/>
      <c r="W1069" s="1813"/>
      <c r="X1069" s="1813"/>
      <c r="Y1069" s="1813"/>
      <c r="Z1069" s="1813"/>
      <c r="AA1069" s="1813"/>
      <c r="AB1069" s="1813"/>
      <c r="AC1069" s="1813"/>
      <c r="AD1069" s="1813"/>
      <c r="AE1069" s="1813"/>
      <c r="AF1069" s="1813"/>
      <c r="AG1069" s="1813"/>
      <c r="AH1069" s="1813"/>
      <c r="AI1069" s="1813"/>
      <c r="AJ1069" s="1813"/>
      <c r="AK1069" s="1813"/>
      <c r="AL1069" s="1813"/>
      <c r="AM1069" s="1813"/>
      <c r="AN1069" s="1813"/>
      <c r="AO1069" s="1160"/>
      <c r="AP1069" s="1160"/>
      <c r="AQ1069" s="68"/>
      <c r="AR1069" s="68"/>
      <c r="AS1069" s="68"/>
      <c r="AT1069" s="68"/>
      <c r="AU1069" s="68"/>
      <c r="AV1069" s="68"/>
      <c r="AW1069" s="68"/>
      <c r="AX1069" s="68"/>
      <c r="AY1069" s="68"/>
    </row>
    <row r="1070" spans="1:56" ht="12.95" customHeight="1">
      <c r="A1070" s="1286" t="s">
        <v>794</v>
      </c>
      <c r="B1070" s="1286"/>
      <c r="C1070" s="1286"/>
      <c r="D1070" s="1286"/>
      <c r="E1070" s="1286"/>
      <c r="F1070" s="1286"/>
      <c r="G1070" s="1286"/>
      <c r="H1070" s="1286"/>
      <c r="I1070" s="1286"/>
      <c r="J1070" s="1286"/>
      <c r="K1070" s="1286"/>
      <c r="L1070" s="1286"/>
      <c r="M1070" s="1286"/>
      <c r="N1070" s="1286"/>
      <c r="O1070" s="1286"/>
      <c r="P1070" s="1286"/>
      <c r="Q1070" s="1286"/>
      <c r="R1070" s="1286"/>
      <c r="S1070" s="1286"/>
      <c r="T1070" s="1286"/>
      <c r="U1070" s="1286"/>
      <c r="V1070" s="1286"/>
      <c r="W1070" s="1286"/>
      <c r="X1070" s="1286"/>
      <c r="Y1070" s="1286"/>
      <c r="Z1070" s="1286"/>
      <c r="AA1070" s="1286"/>
      <c r="AB1070" s="1286"/>
      <c r="AC1070" s="1286"/>
      <c r="AD1070" s="1286"/>
      <c r="AE1070" s="1286"/>
      <c r="AF1070" s="1286"/>
      <c r="AG1070" s="1286"/>
      <c r="AH1070" s="1286"/>
      <c r="AI1070" s="1286"/>
      <c r="AJ1070" s="1286"/>
      <c r="AK1070" s="1286"/>
      <c r="AL1070" s="1286"/>
      <c r="AM1070" s="1286"/>
      <c r="AN1070" s="1286"/>
      <c r="AO1070" s="1286"/>
      <c r="AP1070" s="1286"/>
      <c r="AQ1070" s="1286"/>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285" t="s">
        <v>591</v>
      </c>
      <c r="B1074" s="1285"/>
      <c r="C1074" s="1311">
        <v>1</v>
      </c>
      <c r="D1074" s="1311"/>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311"/>
      <c r="D1075" s="1311"/>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285" t="s">
        <v>591</v>
      </c>
      <c r="B1076" s="1285"/>
      <c r="C1076" s="1311">
        <v>2</v>
      </c>
      <c r="D1076" s="1311"/>
      <c r="E1076" s="1314" t="s">
        <v>2186</v>
      </c>
      <c r="F1076" s="1314"/>
      <c r="G1076" s="1314"/>
      <c r="H1076" s="1314"/>
      <c r="I1076" s="1314"/>
      <c r="J1076" s="1314"/>
      <c r="K1076" s="1314"/>
      <c r="L1076" s="1314"/>
      <c r="M1076" s="1314"/>
      <c r="N1076" s="1314"/>
      <c r="O1076" s="1314"/>
      <c r="P1076" s="1314"/>
      <c r="Q1076" s="1314"/>
      <c r="R1076" s="1314"/>
      <c r="S1076" s="1314"/>
      <c r="T1076" s="1314"/>
      <c r="U1076" s="1314"/>
      <c r="V1076" s="1314"/>
      <c r="W1076" s="1314"/>
      <c r="X1076" s="1314"/>
      <c r="Y1076" s="1314"/>
      <c r="Z1076" s="1314"/>
      <c r="AA1076" s="1314"/>
      <c r="AB1076" s="1314"/>
      <c r="AC1076" s="1314"/>
      <c r="AD1076" s="1314"/>
      <c r="AE1076" s="1314"/>
      <c r="AF1076" s="1314"/>
      <c r="AG1076" s="1314"/>
      <c r="AH1076" s="1314"/>
      <c r="AI1076" s="1314"/>
      <c r="AJ1076" s="1314"/>
      <c r="AK1076" s="1314"/>
      <c r="AL1076" s="1314"/>
      <c r="AM1076" s="1314"/>
      <c r="AN1076" s="1314"/>
      <c r="AO1076" s="1314"/>
      <c r="AP1076" s="1314"/>
      <c r="AQ1076" s="1314"/>
      <c r="AR1076" s="1314"/>
      <c r="AS1076" s="14"/>
      <c r="AT1076" s="14"/>
      <c r="AV1076" s="68"/>
      <c r="AW1076" s="68"/>
      <c r="AX1076" s="68"/>
      <c r="AY1076" s="68"/>
    </row>
    <row r="1077" spans="1:51" ht="12.95" customHeight="1">
      <c r="A1077" s="198"/>
      <c r="B1077" s="67"/>
      <c r="C1077" s="1311"/>
      <c r="D1077" s="1311"/>
      <c r="E1077" s="1314"/>
      <c r="F1077" s="1314"/>
      <c r="G1077" s="1314"/>
      <c r="H1077" s="1314"/>
      <c r="I1077" s="1314"/>
      <c r="J1077" s="1314"/>
      <c r="K1077" s="1314"/>
      <c r="L1077" s="1314"/>
      <c r="M1077" s="1314"/>
      <c r="N1077" s="1314"/>
      <c r="O1077" s="1314"/>
      <c r="P1077" s="1314"/>
      <c r="Q1077" s="1314"/>
      <c r="R1077" s="1314"/>
      <c r="S1077" s="1314"/>
      <c r="T1077" s="1314"/>
      <c r="U1077" s="1314"/>
      <c r="V1077" s="1314"/>
      <c r="W1077" s="1314"/>
      <c r="X1077" s="1314"/>
      <c r="Y1077" s="1314"/>
      <c r="Z1077" s="1314"/>
      <c r="AA1077" s="1314"/>
      <c r="AB1077" s="1314"/>
      <c r="AC1077" s="1314"/>
      <c r="AD1077" s="1314"/>
      <c r="AE1077" s="1314"/>
      <c r="AF1077" s="1314"/>
      <c r="AG1077" s="1314"/>
      <c r="AH1077" s="1314"/>
      <c r="AI1077" s="1314"/>
      <c r="AJ1077" s="1314"/>
      <c r="AK1077" s="1314"/>
      <c r="AL1077" s="1314"/>
      <c r="AM1077" s="1314"/>
      <c r="AN1077" s="1314"/>
      <c r="AO1077" s="1314"/>
      <c r="AP1077" s="1314"/>
      <c r="AQ1077" s="1314"/>
      <c r="AR1077" s="1314"/>
      <c r="AS1077" s="14"/>
      <c r="AT1077" s="14"/>
      <c r="AV1077" s="68"/>
      <c r="AW1077" s="68"/>
      <c r="AX1077" s="68"/>
      <c r="AY1077" s="68"/>
    </row>
    <row r="1078" spans="1:51" ht="12.95" customHeight="1">
      <c r="A1078" s="198"/>
      <c r="B1078" s="67"/>
      <c r="C1078" s="1311"/>
      <c r="D1078" s="1311"/>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285" t="s">
        <v>591</v>
      </c>
      <c r="B1079" s="1285"/>
      <c r="C1079" s="1313">
        <v>3</v>
      </c>
      <c r="D1079" s="1313"/>
      <c r="E1079" s="1315" t="s">
        <v>1080</v>
      </c>
      <c r="F1079" s="1315"/>
      <c r="G1079" s="1315"/>
      <c r="H1079" s="1315"/>
      <c r="I1079" s="1315"/>
      <c r="J1079" s="1315"/>
      <c r="K1079" s="1315"/>
      <c r="L1079" s="1315"/>
      <c r="M1079" s="1315"/>
      <c r="N1079" s="1315"/>
      <c r="O1079" s="1315"/>
      <c r="P1079" s="1315"/>
      <c r="Q1079" s="1315"/>
      <c r="R1079" s="1315"/>
      <c r="S1079" s="1315"/>
      <c r="T1079" s="1315"/>
      <c r="U1079" s="1315"/>
      <c r="V1079" s="1315"/>
      <c r="W1079" s="1315"/>
      <c r="X1079" s="1315"/>
      <c r="Y1079" s="1315"/>
      <c r="Z1079" s="1315"/>
      <c r="AA1079" s="1315"/>
      <c r="AB1079" s="1315"/>
      <c r="AC1079" s="1315"/>
      <c r="AD1079" s="1315"/>
      <c r="AE1079" s="1315"/>
      <c r="AF1079" s="1315"/>
      <c r="AG1079" s="1315"/>
      <c r="AH1079" s="1315"/>
      <c r="AI1079" s="1315"/>
      <c r="AJ1079" s="1315"/>
      <c r="AK1079" s="1315"/>
      <c r="AL1079" s="1315"/>
      <c r="AM1079" s="1315"/>
      <c r="AN1079" s="1315"/>
      <c r="AO1079" s="1315"/>
      <c r="AP1079" s="1315"/>
      <c r="AQ1079" s="1315"/>
      <c r="AR1079" s="1315"/>
      <c r="AS1079" s="14"/>
      <c r="AT1079" s="68"/>
      <c r="AV1079" s="68"/>
      <c r="AW1079" s="68"/>
      <c r="AX1079" s="68"/>
      <c r="AY1079" s="68"/>
    </row>
    <row r="1080" spans="1:51" ht="12.95" customHeight="1">
      <c r="A1080" s="1"/>
      <c r="B1080" s="1"/>
      <c r="C1080" s="1313"/>
      <c r="D1080" s="1313"/>
      <c r="E1080" s="1315"/>
      <c r="F1080" s="1315"/>
      <c r="G1080" s="1315"/>
      <c r="H1080" s="1315"/>
      <c r="I1080" s="1315"/>
      <c r="J1080" s="1315"/>
      <c r="K1080" s="1315"/>
      <c r="L1080" s="1315"/>
      <c r="M1080" s="1315"/>
      <c r="N1080" s="1315"/>
      <c r="O1080" s="1315"/>
      <c r="P1080" s="1315"/>
      <c r="Q1080" s="1315"/>
      <c r="R1080" s="1315"/>
      <c r="S1080" s="1315"/>
      <c r="T1080" s="1315"/>
      <c r="U1080" s="1315"/>
      <c r="V1080" s="1315"/>
      <c r="W1080" s="1315"/>
      <c r="X1080" s="1315"/>
      <c r="Y1080" s="1315"/>
      <c r="Z1080" s="1315"/>
      <c r="AA1080" s="1315"/>
      <c r="AB1080" s="1315"/>
      <c r="AC1080" s="1315"/>
      <c r="AD1080" s="1315"/>
      <c r="AE1080" s="1315"/>
      <c r="AF1080" s="1315"/>
      <c r="AG1080" s="1315"/>
      <c r="AH1080" s="1315"/>
      <c r="AI1080" s="1315"/>
      <c r="AJ1080" s="1315"/>
      <c r="AK1080" s="1315"/>
      <c r="AL1080" s="1315"/>
      <c r="AM1080" s="1315"/>
      <c r="AN1080" s="1315"/>
      <c r="AO1080" s="1315"/>
      <c r="AP1080" s="1315"/>
      <c r="AQ1080" s="1315"/>
      <c r="AR1080" s="1315"/>
      <c r="AS1080" s="14"/>
      <c r="AT1080" s="68"/>
      <c r="AV1080" s="68"/>
      <c r="AW1080" s="68"/>
      <c r="AX1080" s="68"/>
      <c r="AY1080" s="68"/>
    </row>
    <row r="1081" spans="1:51" ht="12.95" customHeight="1">
      <c r="A1081" s="1"/>
      <c r="B1081" s="1"/>
      <c r="C1081" s="1313"/>
      <c r="D1081" s="1313"/>
      <c r="E1081" s="1315"/>
      <c r="F1081" s="1315"/>
      <c r="G1081" s="1315"/>
      <c r="H1081" s="1315"/>
      <c r="I1081" s="1315"/>
      <c r="J1081" s="1315"/>
      <c r="K1081" s="1315"/>
      <c r="L1081" s="1315"/>
      <c r="M1081" s="1315"/>
      <c r="N1081" s="1315"/>
      <c r="O1081" s="1315"/>
      <c r="P1081" s="1315"/>
      <c r="Q1081" s="1315"/>
      <c r="R1081" s="1315"/>
      <c r="S1081" s="1315"/>
      <c r="T1081" s="1315"/>
      <c r="U1081" s="1315"/>
      <c r="V1081" s="1315"/>
      <c r="W1081" s="1315"/>
      <c r="X1081" s="1315"/>
      <c r="Y1081" s="1315"/>
      <c r="Z1081" s="1315"/>
      <c r="AA1081" s="1315"/>
      <c r="AB1081" s="1315"/>
      <c r="AC1081" s="1315"/>
      <c r="AD1081" s="1315"/>
      <c r="AE1081" s="1315"/>
      <c r="AF1081" s="1315"/>
      <c r="AG1081" s="1315"/>
      <c r="AH1081" s="1315"/>
      <c r="AI1081" s="1315"/>
      <c r="AJ1081" s="1315"/>
      <c r="AK1081" s="1315"/>
      <c r="AL1081" s="1315"/>
      <c r="AM1081" s="1315"/>
      <c r="AN1081" s="1315"/>
      <c r="AO1081" s="1315"/>
      <c r="AP1081" s="1315"/>
      <c r="AQ1081" s="1315"/>
      <c r="AR1081" s="1315"/>
      <c r="AS1081" s="14"/>
      <c r="AT1081" s="68"/>
      <c r="AV1081" s="68"/>
      <c r="AW1081" s="68"/>
      <c r="AX1081" s="68"/>
      <c r="AY1081" s="68"/>
    </row>
    <row r="1082" spans="1:51" ht="12.95" customHeight="1">
      <c r="A1082" s="1"/>
      <c r="B1082" s="1"/>
      <c r="C1082" s="1313"/>
      <c r="D1082" s="1313"/>
      <c r="E1082" s="1315"/>
      <c r="F1082" s="1315"/>
      <c r="G1082" s="1315"/>
      <c r="H1082" s="1315"/>
      <c r="I1082" s="1315"/>
      <c r="J1082" s="1315"/>
      <c r="K1082" s="1315"/>
      <c r="L1082" s="1315"/>
      <c r="M1082" s="1315"/>
      <c r="N1082" s="1315"/>
      <c r="O1082" s="1315"/>
      <c r="P1082" s="1315"/>
      <c r="Q1082" s="1315"/>
      <c r="R1082" s="1315"/>
      <c r="S1082" s="1315"/>
      <c r="T1082" s="1315"/>
      <c r="U1082" s="1315"/>
      <c r="V1082" s="1315"/>
      <c r="W1082" s="1315"/>
      <c r="X1082" s="1315"/>
      <c r="Y1082" s="1315"/>
      <c r="Z1082" s="1315"/>
      <c r="AA1082" s="1315"/>
      <c r="AB1082" s="1315"/>
      <c r="AC1082" s="1315"/>
      <c r="AD1082" s="1315"/>
      <c r="AE1082" s="1315"/>
      <c r="AF1082" s="1315"/>
      <c r="AG1082" s="1315"/>
      <c r="AH1082" s="1315"/>
      <c r="AI1082" s="1315"/>
      <c r="AJ1082" s="1315"/>
      <c r="AK1082" s="1315"/>
      <c r="AL1082" s="1315"/>
      <c r="AM1082" s="1315"/>
      <c r="AN1082" s="1315"/>
      <c r="AO1082" s="1315"/>
      <c r="AP1082" s="1315"/>
      <c r="AQ1082" s="1315"/>
      <c r="AR1082" s="1315"/>
      <c r="AS1082" s="14"/>
      <c r="AT1082" s="68"/>
      <c r="AV1082" s="68"/>
      <c r="AW1082" s="68"/>
      <c r="AX1082" s="68"/>
      <c r="AY1082" s="68"/>
    </row>
    <row r="1083" spans="1:51" ht="12.95" customHeight="1">
      <c r="A1083" s="2"/>
      <c r="B1083" s="25"/>
      <c r="C1083" s="1313"/>
      <c r="D1083" s="1313"/>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285" t="s">
        <v>591</v>
      </c>
      <c r="B1084" s="1285"/>
      <c r="C1084" s="1313">
        <v>4</v>
      </c>
      <c r="D1084" s="1313"/>
      <c r="E1084" s="1315" t="s">
        <v>1079</v>
      </c>
      <c r="F1084" s="1315"/>
      <c r="G1084" s="1315"/>
      <c r="H1084" s="1315"/>
      <c r="I1084" s="1315"/>
      <c r="J1084" s="1315"/>
      <c r="K1084" s="1315"/>
      <c r="L1084" s="1315"/>
      <c r="M1084" s="1315"/>
      <c r="N1084" s="1315"/>
      <c r="O1084" s="1315"/>
      <c r="P1084" s="1315"/>
      <c r="Q1084" s="1315"/>
      <c r="R1084" s="1315"/>
      <c r="S1084" s="1315"/>
      <c r="T1084" s="1315"/>
      <c r="U1084" s="1315"/>
      <c r="V1084" s="1315"/>
      <c r="W1084" s="1315"/>
      <c r="X1084" s="1315"/>
      <c r="Y1084" s="1315"/>
      <c r="Z1084" s="1315"/>
      <c r="AA1084" s="1315"/>
      <c r="AB1084" s="1315"/>
      <c r="AC1084" s="1315"/>
      <c r="AD1084" s="1315"/>
      <c r="AE1084" s="1315"/>
      <c r="AF1084" s="1315"/>
      <c r="AG1084" s="1315"/>
      <c r="AH1084" s="1315"/>
      <c r="AI1084" s="1315"/>
      <c r="AJ1084" s="1315"/>
      <c r="AK1084" s="1315"/>
      <c r="AL1084" s="1315"/>
      <c r="AM1084" s="1315"/>
      <c r="AN1084" s="1315"/>
      <c r="AO1084" s="1315"/>
      <c r="AP1084" s="1315"/>
      <c r="AQ1084" s="1315"/>
      <c r="AR1084" s="1315"/>
      <c r="AS1084" s="14"/>
      <c r="AT1084" s="68"/>
    </row>
    <row r="1085" spans="1:51" ht="12.95" customHeight="1">
      <c r="A1085" s="1"/>
      <c r="B1085" s="1"/>
      <c r="C1085" s="1313"/>
      <c r="D1085" s="1313"/>
      <c r="E1085" s="1315"/>
      <c r="F1085" s="1315"/>
      <c r="G1085" s="1315"/>
      <c r="H1085" s="1315"/>
      <c r="I1085" s="1315"/>
      <c r="J1085" s="1315"/>
      <c r="K1085" s="1315"/>
      <c r="L1085" s="1315"/>
      <c r="M1085" s="1315"/>
      <c r="N1085" s="1315"/>
      <c r="O1085" s="1315"/>
      <c r="P1085" s="1315"/>
      <c r="Q1085" s="1315"/>
      <c r="R1085" s="1315"/>
      <c r="S1085" s="1315"/>
      <c r="T1085" s="1315"/>
      <c r="U1085" s="1315"/>
      <c r="V1085" s="1315"/>
      <c r="W1085" s="1315"/>
      <c r="X1085" s="1315"/>
      <c r="Y1085" s="1315"/>
      <c r="Z1085" s="1315"/>
      <c r="AA1085" s="1315"/>
      <c r="AB1085" s="1315"/>
      <c r="AC1085" s="1315"/>
      <c r="AD1085" s="1315"/>
      <c r="AE1085" s="1315"/>
      <c r="AF1085" s="1315"/>
      <c r="AG1085" s="1315"/>
      <c r="AH1085" s="1315"/>
      <c r="AI1085" s="1315"/>
      <c r="AJ1085" s="1315"/>
      <c r="AK1085" s="1315"/>
      <c r="AL1085" s="1315"/>
      <c r="AM1085" s="1315"/>
      <c r="AN1085" s="1315"/>
      <c r="AO1085" s="1315"/>
      <c r="AP1085" s="1315"/>
      <c r="AQ1085" s="1315"/>
      <c r="AR1085" s="1315"/>
      <c r="AS1085" s="14"/>
      <c r="AT1085" s="68"/>
    </row>
    <row r="1086" spans="1:51" ht="12.95" customHeight="1">
      <c r="A1086" s="1"/>
      <c r="B1086" s="1"/>
      <c r="C1086" s="1313"/>
      <c r="D1086" s="1313"/>
      <c r="E1086" s="1315"/>
      <c r="F1086" s="1315"/>
      <c r="G1086" s="1315"/>
      <c r="H1086" s="1315"/>
      <c r="I1086" s="1315"/>
      <c r="J1086" s="1315"/>
      <c r="K1086" s="1315"/>
      <c r="L1086" s="1315"/>
      <c r="M1086" s="1315"/>
      <c r="N1086" s="1315"/>
      <c r="O1086" s="1315"/>
      <c r="P1086" s="1315"/>
      <c r="Q1086" s="1315"/>
      <c r="R1086" s="1315"/>
      <c r="S1086" s="1315"/>
      <c r="T1086" s="1315"/>
      <c r="U1086" s="1315"/>
      <c r="V1086" s="1315"/>
      <c r="W1086" s="1315"/>
      <c r="X1086" s="1315"/>
      <c r="Y1086" s="1315"/>
      <c r="Z1086" s="1315"/>
      <c r="AA1086" s="1315"/>
      <c r="AB1086" s="1315"/>
      <c r="AC1086" s="1315"/>
      <c r="AD1086" s="1315"/>
      <c r="AE1086" s="1315"/>
      <c r="AF1086" s="1315"/>
      <c r="AG1086" s="1315"/>
      <c r="AH1086" s="1315"/>
      <c r="AI1086" s="1315"/>
      <c r="AJ1086" s="1315"/>
      <c r="AK1086" s="1315"/>
      <c r="AL1086" s="1315"/>
      <c r="AM1086" s="1315"/>
      <c r="AN1086" s="1315"/>
      <c r="AO1086" s="1315"/>
      <c r="AP1086" s="1315"/>
      <c r="AQ1086" s="1315"/>
      <c r="AR1086" s="1315"/>
      <c r="AS1086" s="14"/>
      <c r="AT1086" s="68"/>
    </row>
    <row r="1087" spans="1:51" ht="12.95" customHeight="1">
      <c r="A1087" s="1"/>
      <c r="B1087" s="1"/>
      <c r="C1087" s="1313"/>
      <c r="D1087" s="1313"/>
      <c r="E1087" s="1315"/>
      <c r="F1087" s="1315"/>
      <c r="G1087" s="1315"/>
      <c r="H1087" s="1315"/>
      <c r="I1087" s="1315"/>
      <c r="J1087" s="1315"/>
      <c r="K1087" s="1315"/>
      <c r="L1087" s="1315"/>
      <c r="M1087" s="1315"/>
      <c r="N1087" s="1315"/>
      <c r="O1087" s="1315"/>
      <c r="P1087" s="1315"/>
      <c r="Q1087" s="1315"/>
      <c r="R1087" s="1315"/>
      <c r="S1087" s="1315"/>
      <c r="T1087" s="1315"/>
      <c r="U1087" s="1315"/>
      <c r="V1087" s="1315"/>
      <c r="W1087" s="1315"/>
      <c r="X1087" s="1315"/>
      <c r="Y1087" s="1315"/>
      <c r="Z1087" s="1315"/>
      <c r="AA1087" s="1315"/>
      <c r="AB1087" s="1315"/>
      <c r="AC1087" s="1315"/>
      <c r="AD1087" s="1315"/>
      <c r="AE1087" s="1315"/>
      <c r="AF1087" s="1315"/>
      <c r="AG1087" s="1315"/>
      <c r="AH1087" s="1315"/>
      <c r="AI1087" s="1315"/>
      <c r="AJ1087" s="1315"/>
      <c r="AK1087" s="1315"/>
      <c r="AL1087" s="1315"/>
      <c r="AM1087" s="1315"/>
      <c r="AN1087" s="1315"/>
      <c r="AO1087" s="1315"/>
      <c r="AP1087" s="1315"/>
      <c r="AQ1087" s="1315"/>
      <c r="AR1087" s="1315"/>
      <c r="AS1087" s="14"/>
      <c r="AT1087" s="68"/>
    </row>
    <row r="1088" spans="1:51" ht="12.95" customHeight="1">
      <c r="A1088" s="1"/>
      <c r="B1088" s="1"/>
      <c r="C1088" s="1313"/>
      <c r="D1088" s="1313"/>
      <c r="E1088" s="1315"/>
      <c r="F1088" s="1315"/>
      <c r="G1088" s="1315"/>
      <c r="H1088" s="1315"/>
      <c r="I1088" s="1315"/>
      <c r="J1088" s="1315"/>
      <c r="K1088" s="1315"/>
      <c r="L1088" s="1315"/>
      <c r="M1088" s="1315"/>
      <c r="N1088" s="1315"/>
      <c r="O1088" s="1315"/>
      <c r="P1088" s="1315"/>
      <c r="Q1088" s="1315"/>
      <c r="R1088" s="1315"/>
      <c r="S1088" s="1315"/>
      <c r="T1088" s="1315"/>
      <c r="U1088" s="1315"/>
      <c r="V1088" s="1315"/>
      <c r="W1088" s="1315"/>
      <c r="X1088" s="1315"/>
      <c r="Y1088" s="1315"/>
      <c r="Z1088" s="1315"/>
      <c r="AA1088" s="1315"/>
      <c r="AB1088" s="1315"/>
      <c r="AC1088" s="1315"/>
      <c r="AD1088" s="1315"/>
      <c r="AE1088" s="1315"/>
      <c r="AF1088" s="1315"/>
      <c r="AG1088" s="1315"/>
      <c r="AH1088" s="1315"/>
      <c r="AI1088" s="1315"/>
      <c r="AJ1088" s="1315"/>
      <c r="AK1088" s="1315"/>
      <c r="AL1088" s="1315"/>
      <c r="AM1088" s="1315"/>
      <c r="AN1088" s="1315"/>
      <c r="AO1088" s="1315"/>
      <c r="AP1088" s="1315"/>
      <c r="AQ1088" s="1315"/>
      <c r="AR1088" s="1315"/>
      <c r="AS1088" s="14"/>
      <c r="AT1088" s="68"/>
    </row>
    <row r="1089" spans="1:45" ht="12.95" customHeight="1">
      <c r="A1089" s="1"/>
      <c r="B1089" s="1"/>
      <c r="C1089" s="1313"/>
      <c r="D1089" s="1313"/>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285" t="s">
        <v>591</v>
      </c>
      <c r="B1090" s="1285"/>
      <c r="C1090" s="1313">
        <v>5</v>
      </c>
      <c r="D1090" s="1313"/>
      <c r="E1090" s="1315" t="s">
        <v>2189</v>
      </c>
      <c r="F1090" s="1315"/>
      <c r="G1090" s="1315"/>
      <c r="H1090" s="1315"/>
      <c r="I1090" s="1315"/>
      <c r="J1090" s="1315"/>
      <c r="K1090" s="1315"/>
      <c r="L1090" s="1315"/>
      <c r="M1090" s="1315"/>
      <c r="N1090" s="1315"/>
      <c r="O1090" s="1315"/>
      <c r="P1090" s="1315"/>
      <c r="Q1090" s="1315"/>
      <c r="R1090" s="1315"/>
      <c r="S1090" s="1315"/>
      <c r="T1090" s="1315"/>
      <c r="U1090" s="1315"/>
      <c r="V1090" s="1315"/>
      <c r="W1090" s="1315"/>
      <c r="X1090" s="1315"/>
      <c r="Y1090" s="1315"/>
      <c r="Z1090" s="1315"/>
      <c r="AA1090" s="1315"/>
      <c r="AB1090" s="1315"/>
      <c r="AC1090" s="1315"/>
      <c r="AD1090" s="1315"/>
      <c r="AE1090" s="1315"/>
      <c r="AF1090" s="1315"/>
      <c r="AG1090" s="1315"/>
      <c r="AH1090" s="1315"/>
      <c r="AI1090" s="1315"/>
      <c r="AJ1090" s="1315"/>
      <c r="AK1090" s="1315"/>
      <c r="AL1090" s="1315"/>
      <c r="AM1090" s="1315"/>
      <c r="AN1090" s="1315"/>
      <c r="AO1090" s="1315"/>
      <c r="AP1090" s="1315"/>
      <c r="AQ1090" s="1315"/>
      <c r="AR1090" s="1315"/>
      <c r="AS1090" s="14"/>
    </row>
    <row r="1091" spans="1:45" ht="12.95" customHeight="1">
      <c r="A1091" s="4"/>
      <c r="B1091" s="4"/>
      <c r="C1091" s="1313"/>
      <c r="D1091" s="1313"/>
      <c r="E1091" s="1315"/>
      <c r="F1091" s="1315"/>
      <c r="G1091" s="1315"/>
      <c r="H1091" s="1315"/>
      <c r="I1091" s="1315"/>
      <c r="J1091" s="1315"/>
      <c r="K1091" s="1315"/>
      <c r="L1091" s="1315"/>
      <c r="M1091" s="1315"/>
      <c r="N1091" s="1315"/>
      <c r="O1091" s="1315"/>
      <c r="P1091" s="1315"/>
      <c r="Q1091" s="1315"/>
      <c r="R1091" s="1315"/>
      <c r="S1091" s="1315"/>
      <c r="T1091" s="1315"/>
      <c r="U1091" s="1315"/>
      <c r="V1091" s="1315"/>
      <c r="W1091" s="1315"/>
      <c r="X1091" s="1315"/>
      <c r="Y1091" s="1315"/>
      <c r="Z1091" s="1315"/>
      <c r="AA1091" s="1315"/>
      <c r="AB1091" s="1315"/>
      <c r="AC1091" s="1315"/>
      <c r="AD1091" s="1315"/>
      <c r="AE1091" s="1315"/>
      <c r="AF1091" s="1315"/>
      <c r="AG1091" s="1315"/>
      <c r="AH1091" s="1315"/>
      <c r="AI1091" s="1315"/>
      <c r="AJ1091" s="1315"/>
      <c r="AK1091" s="1315"/>
      <c r="AL1091" s="1315"/>
      <c r="AM1091" s="1315"/>
      <c r="AN1091" s="1315"/>
      <c r="AO1091" s="1315"/>
      <c r="AP1091" s="1315"/>
      <c r="AQ1091" s="1315"/>
      <c r="AR1091" s="1315"/>
      <c r="AS1091" s="14"/>
    </row>
    <row r="1092" spans="1:45" ht="12.95" customHeight="1">
      <c r="A1092" s="4"/>
      <c r="B1092" s="4"/>
      <c r="C1092" s="1313"/>
      <c r="D1092" s="1313"/>
      <c r="E1092" s="1315"/>
      <c r="F1092" s="1315"/>
      <c r="G1092" s="1315"/>
      <c r="H1092" s="1315"/>
      <c r="I1092" s="1315"/>
      <c r="J1092" s="1315"/>
      <c r="K1092" s="1315"/>
      <c r="L1092" s="1315"/>
      <c r="M1092" s="1315"/>
      <c r="N1092" s="1315"/>
      <c r="O1092" s="1315"/>
      <c r="P1092" s="1315"/>
      <c r="Q1092" s="1315"/>
      <c r="R1092" s="1315"/>
      <c r="S1092" s="1315"/>
      <c r="T1092" s="1315"/>
      <c r="U1092" s="1315"/>
      <c r="V1092" s="1315"/>
      <c r="W1092" s="1315"/>
      <c r="X1092" s="1315"/>
      <c r="Y1092" s="1315"/>
      <c r="Z1092" s="1315"/>
      <c r="AA1092" s="1315"/>
      <c r="AB1092" s="1315"/>
      <c r="AC1092" s="1315"/>
      <c r="AD1092" s="1315"/>
      <c r="AE1092" s="1315"/>
      <c r="AF1092" s="1315"/>
      <c r="AG1092" s="1315"/>
      <c r="AH1092" s="1315"/>
      <c r="AI1092" s="1315"/>
      <c r="AJ1092" s="1315"/>
      <c r="AK1092" s="1315"/>
      <c r="AL1092" s="1315"/>
      <c r="AM1092" s="1315"/>
      <c r="AN1092" s="1315"/>
      <c r="AO1092" s="1315"/>
      <c r="AP1092" s="1315"/>
      <c r="AQ1092" s="1315"/>
      <c r="AR1092" s="1315"/>
      <c r="AS1092" s="14"/>
    </row>
    <row r="1093" spans="1:45" ht="12.95" customHeight="1">
      <c r="A1093" s="35"/>
      <c r="B1093" s="25"/>
      <c r="C1093" s="1313"/>
      <c r="D1093" s="1313"/>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285" t="s">
        <v>591</v>
      </c>
      <c r="B1094" s="1285"/>
      <c r="C1094" s="1313">
        <v>6</v>
      </c>
      <c r="D1094" s="1313"/>
      <c r="E1094" s="1315" t="s">
        <v>2190</v>
      </c>
      <c r="F1094" s="1315"/>
      <c r="G1094" s="1315"/>
      <c r="H1094" s="1315"/>
      <c r="I1094" s="1315"/>
      <c r="J1094" s="1315"/>
      <c r="K1094" s="1315"/>
      <c r="L1094" s="1315"/>
      <c r="M1094" s="1315"/>
      <c r="N1094" s="1315"/>
      <c r="O1094" s="1315"/>
      <c r="P1094" s="1315"/>
      <c r="Q1094" s="1315"/>
      <c r="R1094" s="1315"/>
      <c r="S1094" s="1315"/>
      <c r="T1094" s="1315"/>
      <c r="U1094" s="1315"/>
      <c r="V1094" s="1315"/>
      <c r="W1094" s="1315"/>
      <c r="X1094" s="1315"/>
      <c r="Y1094" s="1315"/>
      <c r="Z1094" s="1315"/>
      <c r="AA1094" s="1315"/>
      <c r="AB1094" s="1315"/>
      <c r="AC1094" s="1315"/>
      <c r="AD1094" s="1315"/>
      <c r="AE1094" s="1315"/>
      <c r="AF1094" s="1315"/>
      <c r="AG1094" s="1315"/>
      <c r="AH1094" s="1315"/>
      <c r="AI1094" s="1315"/>
      <c r="AJ1094" s="1315"/>
      <c r="AK1094" s="1315"/>
      <c r="AL1094" s="1315"/>
      <c r="AM1094" s="1315"/>
      <c r="AN1094" s="1315"/>
      <c r="AO1094" s="1315"/>
      <c r="AP1094" s="1315"/>
      <c r="AQ1094" s="1315"/>
      <c r="AR1094" s="1315"/>
      <c r="AS1094" s="14"/>
    </row>
    <row r="1095" spans="1:45" ht="12.95" customHeight="1">
      <c r="A1095" s="1"/>
      <c r="B1095" s="1"/>
      <c r="C1095" s="1"/>
      <c r="D1095" s="1"/>
      <c r="E1095" s="1315"/>
      <c r="F1095" s="1315"/>
      <c r="G1095" s="1315"/>
      <c r="H1095" s="1315"/>
      <c r="I1095" s="1315"/>
      <c r="J1095" s="1315"/>
      <c r="K1095" s="1315"/>
      <c r="L1095" s="1315"/>
      <c r="M1095" s="1315"/>
      <c r="N1095" s="1315"/>
      <c r="O1095" s="1315"/>
      <c r="P1095" s="1315"/>
      <c r="Q1095" s="1315"/>
      <c r="R1095" s="1315"/>
      <c r="S1095" s="1315"/>
      <c r="T1095" s="1315"/>
      <c r="U1095" s="1315"/>
      <c r="V1095" s="1315"/>
      <c r="W1095" s="1315"/>
      <c r="X1095" s="1315"/>
      <c r="Y1095" s="1315"/>
      <c r="Z1095" s="1315"/>
      <c r="AA1095" s="1315"/>
      <c r="AB1095" s="1315"/>
      <c r="AC1095" s="1315"/>
      <c r="AD1095" s="1315"/>
      <c r="AE1095" s="1315"/>
      <c r="AF1095" s="1315"/>
      <c r="AG1095" s="1315"/>
      <c r="AH1095" s="1315"/>
      <c r="AI1095" s="1315"/>
      <c r="AJ1095" s="1315"/>
      <c r="AK1095" s="1315"/>
      <c r="AL1095" s="1315"/>
      <c r="AM1095" s="1315"/>
      <c r="AN1095" s="1315"/>
      <c r="AO1095" s="1315"/>
      <c r="AP1095" s="1315"/>
      <c r="AQ1095" s="1315"/>
      <c r="AR1095" s="1315"/>
      <c r="AS1095" s="14"/>
    </row>
    <row r="1096" spans="1:45" ht="12.95" customHeight="1">
      <c r="A1096" s="1"/>
      <c r="B1096" s="1"/>
      <c r="C1096" s="1313"/>
      <c r="D1096" s="1313"/>
      <c r="E1096" s="1315"/>
      <c r="F1096" s="1315"/>
      <c r="G1096" s="1315"/>
      <c r="H1096" s="1315"/>
      <c r="I1096" s="1315"/>
      <c r="J1096" s="1315"/>
      <c r="K1096" s="1315"/>
      <c r="L1096" s="1315"/>
      <c r="M1096" s="1315"/>
      <c r="N1096" s="1315"/>
      <c r="O1096" s="1315"/>
      <c r="P1096" s="1315"/>
      <c r="Q1096" s="1315"/>
      <c r="R1096" s="1315"/>
      <c r="S1096" s="1315"/>
      <c r="T1096" s="1315"/>
      <c r="U1096" s="1315"/>
      <c r="V1096" s="1315"/>
      <c r="W1096" s="1315"/>
      <c r="X1096" s="1315"/>
      <c r="Y1096" s="1315"/>
      <c r="Z1096" s="1315"/>
      <c r="AA1096" s="1315"/>
      <c r="AB1096" s="1315"/>
      <c r="AC1096" s="1315"/>
      <c r="AD1096" s="1315"/>
      <c r="AE1096" s="1315"/>
      <c r="AF1096" s="1315"/>
      <c r="AG1096" s="1315"/>
      <c r="AH1096" s="1315"/>
      <c r="AI1096" s="1315"/>
      <c r="AJ1096" s="1315"/>
      <c r="AK1096" s="1315"/>
      <c r="AL1096" s="1315"/>
      <c r="AM1096" s="1315"/>
      <c r="AN1096" s="1315"/>
      <c r="AO1096" s="1315"/>
      <c r="AP1096" s="1315"/>
      <c r="AQ1096" s="1315"/>
      <c r="AR1096" s="1315"/>
      <c r="AS1096" s="14"/>
    </row>
    <row r="1097" spans="1:45" ht="12.95" customHeight="1">
      <c r="A1097" s="35"/>
      <c r="B1097" s="25"/>
      <c r="C1097" s="1313"/>
      <c r="D1097" s="1313"/>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285" t="s">
        <v>591</v>
      </c>
      <c r="B1098" s="1285"/>
      <c r="C1098" s="1313">
        <v>7</v>
      </c>
      <c r="D1098" s="1313"/>
      <c r="E1098" s="1315" t="s">
        <v>2088</v>
      </c>
      <c r="F1098" s="1315"/>
      <c r="G1098" s="1315"/>
      <c r="H1098" s="1315"/>
      <c r="I1098" s="1315"/>
      <c r="J1098" s="1315"/>
      <c r="K1098" s="1315"/>
      <c r="L1098" s="1315"/>
      <c r="M1098" s="1315"/>
      <c r="N1098" s="1315"/>
      <c r="O1098" s="1315"/>
      <c r="P1098" s="1315"/>
      <c r="Q1098" s="1315"/>
      <c r="R1098" s="1315"/>
      <c r="S1098" s="1315"/>
      <c r="T1098" s="1315"/>
      <c r="U1098" s="1315"/>
      <c r="V1098" s="1315"/>
      <c r="W1098" s="1315"/>
      <c r="X1098" s="1315"/>
      <c r="Y1098" s="1315"/>
      <c r="Z1098" s="1315"/>
      <c r="AA1098" s="1315"/>
      <c r="AB1098" s="1315"/>
      <c r="AC1098" s="1315"/>
      <c r="AD1098" s="1315"/>
      <c r="AE1098" s="1315"/>
      <c r="AF1098" s="1315"/>
      <c r="AG1098" s="1315"/>
      <c r="AH1098" s="1315"/>
      <c r="AI1098" s="1315"/>
      <c r="AJ1098" s="1315"/>
      <c r="AK1098" s="1315"/>
      <c r="AL1098" s="1315"/>
      <c r="AM1098" s="1315"/>
      <c r="AN1098" s="1315"/>
      <c r="AO1098" s="1315"/>
      <c r="AP1098" s="1315"/>
      <c r="AQ1098" s="1315"/>
      <c r="AR1098" s="1315"/>
      <c r="AS1098" s="14"/>
    </row>
    <row r="1099" spans="1:45" ht="12.95" customHeight="1">
      <c r="A1099" s="1"/>
      <c r="B1099" s="1"/>
      <c r="C1099" s="1313"/>
      <c r="D1099" s="1313"/>
      <c r="E1099" s="1315"/>
      <c r="F1099" s="1315"/>
      <c r="G1099" s="1315"/>
      <c r="H1099" s="1315"/>
      <c r="I1099" s="1315"/>
      <c r="J1099" s="1315"/>
      <c r="K1099" s="1315"/>
      <c r="L1099" s="1315"/>
      <c r="M1099" s="1315"/>
      <c r="N1099" s="1315"/>
      <c r="O1099" s="1315"/>
      <c r="P1099" s="1315"/>
      <c r="Q1099" s="1315"/>
      <c r="R1099" s="1315"/>
      <c r="S1099" s="1315"/>
      <c r="T1099" s="1315"/>
      <c r="U1099" s="1315"/>
      <c r="V1099" s="1315"/>
      <c r="W1099" s="1315"/>
      <c r="X1099" s="1315"/>
      <c r="Y1099" s="1315"/>
      <c r="Z1099" s="1315"/>
      <c r="AA1099" s="1315"/>
      <c r="AB1099" s="1315"/>
      <c r="AC1099" s="1315"/>
      <c r="AD1099" s="1315"/>
      <c r="AE1099" s="1315"/>
      <c r="AF1099" s="1315"/>
      <c r="AG1099" s="1315"/>
      <c r="AH1099" s="1315"/>
      <c r="AI1099" s="1315"/>
      <c r="AJ1099" s="1315"/>
      <c r="AK1099" s="1315"/>
      <c r="AL1099" s="1315"/>
      <c r="AM1099" s="1315"/>
      <c r="AN1099" s="1315"/>
      <c r="AO1099" s="1315"/>
      <c r="AP1099" s="1315"/>
      <c r="AQ1099" s="1315"/>
      <c r="AR1099" s="1315"/>
      <c r="AS1099" s="14"/>
    </row>
    <row r="1100" spans="1:45" ht="12.95" customHeight="1">
      <c r="A1100" s="1"/>
      <c r="B1100" s="1"/>
      <c r="C1100" s="1313"/>
      <c r="D1100" s="1313"/>
      <c r="E1100" s="1315"/>
      <c r="F1100" s="1315"/>
      <c r="G1100" s="1315"/>
      <c r="H1100" s="1315"/>
      <c r="I1100" s="1315"/>
      <c r="J1100" s="1315"/>
      <c r="K1100" s="1315"/>
      <c r="L1100" s="1315"/>
      <c r="M1100" s="1315"/>
      <c r="N1100" s="1315"/>
      <c r="O1100" s="1315"/>
      <c r="P1100" s="1315"/>
      <c r="Q1100" s="1315"/>
      <c r="R1100" s="1315"/>
      <c r="S1100" s="1315"/>
      <c r="T1100" s="1315"/>
      <c r="U1100" s="1315"/>
      <c r="V1100" s="1315"/>
      <c r="W1100" s="1315"/>
      <c r="X1100" s="1315"/>
      <c r="Y1100" s="1315"/>
      <c r="Z1100" s="1315"/>
      <c r="AA1100" s="1315"/>
      <c r="AB1100" s="1315"/>
      <c r="AC1100" s="1315"/>
      <c r="AD1100" s="1315"/>
      <c r="AE1100" s="1315"/>
      <c r="AF1100" s="1315"/>
      <c r="AG1100" s="1315"/>
      <c r="AH1100" s="1315"/>
      <c r="AI1100" s="1315"/>
      <c r="AJ1100" s="1315"/>
      <c r="AK1100" s="1315"/>
      <c r="AL1100" s="1315"/>
      <c r="AM1100" s="1315"/>
      <c r="AN1100" s="1315"/>
      <c r="AO1100" s="1315"/>
      <c r="AP1100" s="1315"/>
      <c r="AQ1100" s="1315"/>
      <c r="AR1100" s="1315"/>
      <c r="AS1100" s="14"/>
    </row>
    <row r="1101" spans="1:45" ht="12.95" customHeight="1">
      <c r="A1101" s="1"/>
      <c r="B1101" s="1"/>
      <c r="C1101" s="1313"/>
      <c r="D1101" s="1313"/>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313"/>
      <c r="D1102" s="1313"/>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285" t="s">
        <v>591</v>
      </c>
      <c r="B1103" s="1285"/>
      <c r="C1103" s="1313">
        <v>8</v>
      </c>
      <c r="D1103" s="1313"/>
      <c r="E1103" s="1315" t="s">
        <v>1073</v>
      </c>
      <c r="F1103" s="1315"/>
      <c r="G1103" s="1315"/>
      <c r="H1103" s="1315"/>
      <c r="I1103" s="1315"/>
      <c r="J1103" s="1315"/>
      <c r="K1103" s="1315"/>
      <c r="L1103" s="1315"/>
      <c r="M1103" s="1315"/>
      <c r="N1103" s="1315"/>
      <c r="O1103" s="1315"/>
      <c r="P1103" s="1315"/>
      <c r="Q1103" s="1315"/>
      <c r="R1103" s="1315"/>
      <c r="S1103" s="1315"/>
      <c r="T1103" s="1315"/>
      <c r="U1103" s="1315"/>
      <c r="V1103" s="1315"/>
      <c r="W1103" s="1315"/>
      <c r="X1103" s="1315"/>
      <c r="Y1103" s="1315"/>
      <c r="Z1103" s="1315"/>
      <c r="AA1103" s="1315"/>
      <c r="AB1103" s="1315"/>
      <c r="AC1103" s="1315"/>
      <c r="AD1103" s="1315"/>
      <c r="AE1103" s="1315"/>
      <c r="AF1103" s="1315"/>
      <c r="AG1103" s="1315"/>
      <c r="AH1103" s="1315"/>
      <c r="AI1103" s="1315"/>
      <c r="AJ1103" s="1315"/>
      <c r="AK1103" s="1315"/>
      <c r="AL1103" s="1315"/>
      <c r="AM1103" s="1315"/>
      <c r="AN1103" s="1315"/>
      <c r="AO1103" s="1315"/>
      <c r="AP1103" s="1315"/>
      <c r="AQ1103" s="1315"/>
      <c r="AR1103" s="1315"/>
    </row>
    <row r="1104" spans="1:45" ht="12.95" customHeight="1">
      <c r="A1104" s="35"/>
      <c r="B1104" s="25"/>
      <c r="C1104" s="1313"/>
      <c r="D1104" s="1313"/>
      <c r="E1104" s="1315"/>
      <c r="F1104" s="1315"/>
      <c r="G1104" s="1315"/>
      <c r="H1104" s="1315"/>
      <c r="I1104" s="1315"/>
      <c r="J1104" s="1315"/>
      <c r="K1104" s="1315"/>
      <c r="L1104" s="1315"/>
      <c r="M1104" s="1315"/>
      <c r="N1104" s="1315"/>
      <c r="O1104" s="1315"/>
      <c r="P1104" s="1315"/>
      <c r="Q1104" s="1315"/>
      <c r="R1104" s="1315"/>
      <c r="S1104" s="1315"/>
      <c r="T1104" s="1315"/>
      <c r="U1104" s="1315"/>
      <c r="V1104" s="1315"/>
      <c r="W1104" s="1315"/>
      <c r="X1104" s="1315"/>
      <c r="Y1104" s="1315"/>
      <c r="Z1104" s="1315"/>
      <c r="AA1104" s="1315"/>
      <c r="AB1104" s="1315"/>
      <c r="AC1104" s="1315"/>
      <c r="AD1104" s="1315"/>
      <c r="AE1104" s="1315"/>
      <c r="AF1104" s="1315"/>
      <c r="AG1104" s="1315"/>
      <c r="AH1104" s="1315"/>
      <c r="AI1104" s="1315"/>
      <c r="AJ1104" s="1315"/>
      <c r="AK1104" s="1315"/>
      <c r="AL1104" s="1315"/>
      <c r="AM1104" s="1315"/>
      <c r="AN1104" s="1315"/>
      <c r="AO1104" s="1315"/>
      <c r="AP1104" s="1315"/>
      <c r="AQ1104" s="1315"/>
      <c r="AR1104" s="1315"/>
    </row>
    <row r="1105" spans="1:44" ht="12.95" customHeight="1">
      <c r="A1105" s="35"/>
      <c r="B1105" s="25"/>
      <c r="C1105" s="1313"/>
      <c r="D1105" s="1313"/>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285" t="s">
        <v>591</v>
      </c>
      <c r="B1106" s="1285"/>
      <c r="C1106" s="1311">
        <v>9</v>
      </c>
      <c r="D1106" s="1311"/>
      <c r="E1106" s="1315" t="s">
        <v>1075</v>
      </c>
      <c r="F1106" s="1315"/>
      <c r="G1106" s="1315"/>
      <c r="H1106" s="1315"/>
      <c r="I1106" s="1315"/>
      <c r="J1106" s="1315"/>
      <c r="K1106" s="1315"/>
      <c r="L1106" s="1315"/>
      <c r="M1106" s="1315"/>
      <c r="N1106" s="1315"/>
      <c r="O1106" s="1315"/>
      <c r="P1106" s="1315"/>
      <c r="Q1106" s="1315"/>
      <c r="R1106" s="1315"/>
      <c r="S1106" s="1315"/>
      <c r="T1106" s="1315"/>
      <c r="U1106" s="1315"/>
      <c r="V1106" s="1315"/>
      <c r="W1106" s="1315"/>
      <c r="X1106" s="1315"/>
      <c r="Y1106" s="1315"/>
      <c r="Z1106" s="1315"/>
      <c r="AA1106" s="1315"/>
      <c r="AB1106" s="1315"/>
      <c r="AC1106" s="1315"/>
      <c r="AD1106" s="1315"/>
      <c r="AE1106" s="1315"/>
      <c r="AF1106" s="1315"/>
      <c r="AG1106" s="1315"/>
      <c r="AH1106" s="1315"/>
      <c r="AI1106" s="1315"/>
      <c r="AJ1106" s="1315"/>
      <c r="AK1106" s="1315"/>
      <c r="AL1106" s="1315"/>
      <c r="AM1106" s="1315"/>
      <c r="AN1106" s="1315"/>
      <c r="AO1106" s="1315"/>
      <c r="AP1106" s="1315"/>
      <c r="AQ1106" s="1315"/>
      <c r="AR1106" s="1315"/>
    </row>
    <row r="1107" spans="1:44" ht="12.95" customHeight="1">
      <c r="A1107" s="1"/>
      <c r="B1107" s="1"/>
      <c r="C1107" s="1311"/>
      <c r="D1107" s="1311"/>
      <c r="E1107" s="1315"/>
      <c r="F1107" s="1315"/>
      <c r="G1107" s="1315"/>
      <c r="H1107" s="1315"/>
      <c r="I1107" s="1315"/>
      <c r="J1107" s="1315"/>
      <c r="K1107" s="1315"/>
      <c r="L1107" s="1315"/>
      <c r="M1107" s="1315"/>
      <c r="N1107" s="1315"/>
      <c r="O1107" s="1315"/>
      <c r="P1107" s="1315"/>
      <c r="Q1107" s="1315"/>
      <c r="R1107" s="1315"/>
      <c r="S1107" s="1315"/>
      <c r="T1107" s="1315"/>
      <c r="U1107" s="1315"/>
      <c r="V1107" s="1315"/>
      <c r="W1107" s="1315"/>
      <c r="X1107" s="1315"/>
      <c r="Y1107" s="1315"/>
      <c r="Z1107" s="1315"/>
      <c r="AA1107" s="1315"/>
      <c r="AB1107" s="1315"/>
      <c r="AC1107" s="1315"/>
      <c r="AD1107" s="1315"/>
      <c r="AE1107" s="1315"/>
      <c r="AF1107" s="1315"/>
      <c r="AG1107" s="1315"/>
      <c r="AH1107" s="1315"/>
      <c r="AI1107" s="1315"/>
      <c r="AJ1107" s="1315"/>
      <c r="AK1107" s="1315"/>
      <c r="AL1107" s="1315"/>
      <c r="AM1107" s="1315"/>
      <c r="AN1107" s="1315"/>
      <c r="AO1107" s="1315"/>
      <c r="AP1107" s="1315"/>
      <c r="AQ1107" s="1315"/>
      <c r="AR1107" s="1315"/>
    </row>
    <row r="1108" spans="1:44" ht="12.95" customHeight="1">
      <c r="A1108" s="35"/>
      <c r="B1108" s="25"/>
      <c r="C1108" s="1311"/>
      <c r="D1108" s="1311"/>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285" t="s">
        <v>591</v>
      </c>
      <c r="B1109" s="1285"/>
      <c r="C1109" s="1311">
        <v>10</v>
      </c>
      <c r="D1109" s="1311"/>
      <c r="E1109" s="1312" t="s">
        <v>2187</v>
      </c>
      <c r="F1109" s="1312"/>
      <c r="G1109" s="1312"/>
      <c r="H1109" s="1312"/>
      <c r="I1109" s="1312"/>
      <c r="J1109" s="1312"/>
      <c r="K1109" s="1312"/>
      <c r="L1109" s="1312"/>
      <c r="M1109" s="1312"/>
      <c r="N1109" s="1312"/>
      <c r="O1109" s="1312"/>
      <c r="P1109" s="1312"/>
      <c r="Q1109" s="1312"/>
      <c r="R1109" s="1312"/>
      <c r="S1109" s="1312"/>
      <c r="T1109" s="1312"/>
      <c r="U1109" s="1312"/>
      <c r="V1109" s="1312"/>
      <c r="W1109" s="1312"/>
      <c r="X1109" s="1312"/>
      <c r="Y1109" s="1312"/>
      <c r="Z1109" s="1312"/>
      <c r="AA1109" s="1312"/>
      <c r="AB1109" s="1312"/>
      <c r="AC1109" s="1312"/>
      <c r="AD1109" s="1312"/>
      <c r="AE1109" s="1312"/>
      <c r="AF1109" s="1312"/>
      <c r="AG1109" s="1312"/>
      <c r="AH1109" s="1312"/>
      <c r="AI1109" s="1312"/>
      <c r="AJ1109" s="1312"/>
      <c r="AK1109" s="1312"/>
      <c r="AL1109" s="1312"/>
      <c r="AM1109" s="1312"/>
      <c r="AN1109" s="1312"/>
      <c r="AO1109" s="1312"/>
      <c r="AP1109" s="1312"/>
      <c r="AQ1109" s="1312"/>
      <c r="AR1109" s="1312"/>
    </row>
    <row r="1110" spans="1:44" ht="12.95" customHeight="1">
      <c r="A1110" s="1"/>
      <c r="B1110" s="1"/>
      <c r="C1110" s="199"/>
      <c r="D1110" s="1149"/>
      <c r="E1110" s="1312"/>
      <c r="F1110" s="1312"/>
      <c r="G1110" s="1312"/>
      <c r="H1110" s="1312"/>
      <c r="I1110" s="1312"/>
      <c r="J1110" s="1312"/>
      <c r="K1110" s="1312"/>
      <c r="L1110" s="1312"/>
      <c r="M1110" s="1312"/>
      <c r="N1110" s="1312"/>
      <c r="O1110" s="1312"/>
      <c r="P1110" s="1312"/>
      <c r="Q1110" s="1312"/>
      <c r="R1110" s="1312"/>
      <c r="S1110" s="1312"/>
      <c r="T1110" s="1312"/>
      <c r="U1110" s="1312"/>
      <c r="V1110" s="1312"/>
      <c r="W1110" s="1312"/>
      <c r="X1110" s="1312"/>
      <c r="Y1110" s="1312"/>
      <c r="Z1110" s="1312"/>
      <c r="AA1110" s="1312"/>
      <c r="AB1110" s="1312"/>
      <c r="AC1110" s="1312"/>
      <c r="AD1110" s="1312"/>
      <c r="AE1110" s="1312"/>
      <c r="AF1110" s="1312"/>
      <c r="AG1110" s="1312"/>
      <c r="AH1110" s="1312"/>
      <c r="AI1110" s="1312"/>
      <c r="AJ1110" s="1312"/>
      <c r="AK1110" s="1312"/>
      <c r="AL1110" s="1312"/>
      <c r="AM1110" s="1312"/>
      <c r="AN1110" s="1312"/>
      <c r="AO1110" s="1312"/>
      <c r="AP1110" s="1312"/>
      <c r="AQ1110" s="1312"/>
      <c r="AR1110" s="1312"/>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285" t="s">
        <v>591</v>
      </c>
      <c r="B1112" s="1285"/>
      <c r="C1112" s="1311">
        <v>11</v>
      </c>
      <c r="D1112" s="1311"/>
      <c r="E1112" s="1312" t="s">
        <v>2188</v>
      </c>
      <c r="F1112" s="1312"/>
      <c r="G1112" s="1312"/>
      <c r="H1112" s="1312"/>
      <c r="I1112" s="1312"/>
      <c r="J1112" s="1312"/>
      <c r="K1112" s="1312"/>
      <c r="L1112" s="1312"/>
      <c r="M1112" s="1312"/>
      <c r="N1112" s="1312"/>
      <c r="O1112" s="1312"/>
      <c r="P1112" s="1312"/>
      <c r="Q1112" s="1312"/>
      <c r="R1112" s="1312"/>
      <c r="S1112" s="1312"/>
      <c r="T1112" s="1312"/>
      <c r="U1112" s="1312"/>
      <c r="V1112" s="1312"/>
      <c r="W1112" s="1312"/>
      <c r="X1112" s="1312"/>
      <c r="Y1112" s="1312"/>
      <c r="Z1112" s="1312"/>
      <c r="AA1112" s="1312"/>
      <c r="AB1112" s="1312"/>
      <c r="AC1112" s="1312"/>
      <c r="AD1112" s="1312"/>
      <c r="AE1112" s="1312"/>
      <c r="AF1112" s="1312"/>
      <c r="AG1112" s="1312"/>
      <c r="AH1112" s="1312"/>
      <c r="AI1112" s="1312"/>
      <c r="AJ1112" s="1312"/>
      <c r="AK1112" s="1312"/>
      <c r="AL1112" s="1312"/>
      <c r="AM1112" s="1312"/>
      <c r="AN1112" s="1312"/>
      <c r="AO1112" s="1312"/>
      <c r="AP1112" s="1312"/>
      <c r="AQ1112" s="1312"/>
      <c r="AR1112" s="1312"/>
    </row>
    <row r="1113" spans="1:44" ht="12.95" customHeight="1">
      <c r="A1113" s="1"/>
      <c r="B1113" s="1"/>
      <c r="C1113" s="199"/>
      <c r="D1113" s="1149"/>
      <c r="E1113" s="1312"/>
      <c r="F1113" s="1312"/>
      <c r="G1113" s="1312"/>
      <c r="H1113" s="1312"/>
      <c r="I1113" s="1312"/>
      <c r="J1113" s="1312"/>
      <c r="K1113" s="1312"/>
      <c r="L1113" s="1312"/>
      <c r="M1113" s="1312"/>
      <c r="N1113" s="1312"/>
      <c r="O1113" s="1312"/>
      <c r="P1113" s="1312"/>
      <c r="Q1113" s="1312"/>
      <c r="R1113" s="1312"/>
      <c r="S1113" s="1312"/>
      <c r="T1113" s="1312"/>
      <c r="U1113" s="1312"/>
      <c r="V1113" s="1312"/>
      <c r="W1113" s="1312"/>
      <c r="X1113" s="1312"/>
      <c r="Y1113" s="1312"/>
      <c r="Z1113" s="1312"/>
      <c r="AA1113" s="1312"/>
      <c r="AB1113" s="1312"/>
      <c r="AC1113" s="1312"/>
      <c r="AD1113" s="1312"/>
      <c r="AE1113" s="1312"/>
      <c r="AF1113" s="1312"/>
      <c r="AG1113" s="1312"/>
      <c r="AH1113" s="1312"/>
      <c r="AI1113" s="1312"/>
      <c r="AJ1113" s="1312"/>
      <c r="AK1113" s="1312"/>
      <c r="AL1113" s="1312"/>
      <c r="AM1113" s="1312"/>
      <c r="AN1113" s="1312"/>
      <c r="AO1113" s="1312"/>
      <c r="AP1113" s="1312"/>
      <c r="AQ1113" s="1312"/>
      <c r="AR1113" s="1312"/>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85" t="s">
        <v>591</v>
      </c>
      <c r="B1134" s="1285"/>
      <c r="C1134" s="199">
        <v>9</v>
      </c>
      <c r="D1134" s="1465" t="s">
        <v>1074</v>
      </c>
      <c r="E1134" s="1465"/>
      <c r="F1134" s="1465"/>
      <c r="G1134" s="1465"/>
      <c r="H1134" s="1465"/>
      <c r="I1134" s="1465"/>
      <c r="J1134" s="1465"/>
      <c r="K1134" s="1465"/>
      <c r="L1134" s="1465"/>
      <c r="M1134" s="1465"/>
      <c r="N1134" s="1465"/>
      <c r="O1134" s="1465"/>
      <c r="P1134" s="1465"/>
      <c r="Q1134" s="1465"/>
      <c r="R1134" s="1465"/>
      <c r="S1134" s="1465"/>
      <c r="T1134" s="1465"/>
      <c r="U1134" s="1465"/>
      <c r="V1134" s="1465"/>
      <c r="W1134" s="1465"/>
      <c r="X1134" s="1465"/>
      <c r="Y1134" s="1465"/>
      <c r="Z1134" s="1465"/>
      <c r="AA1134" s="1465"/>
      <c r="AB1134" s="1465"/>
      <c r="AC1134" s="1465"/>
      <c r="AD1134" s="1465"/>
      <c r="AE1134" s="1465"/>
      <c r="AF1134" s="1465"/>
      <c r="AG1134" s="1465"/>
      <c r="AH1134" s="1465"/>
      <c r="AI1134" s="1465"/>
      <c r="AJ1134" s="1465"/>
      <c r="AK1134" s="1465"/>
    </row>
    <row r="1135" spans="1:37" ht="0" hidden="1" customHeight="1">
      <c r="A1135" s="35"/>
      <c r="B1135" s="25"/>
      <c r="C1135" s="199"/>
      <c r="D1135" s="1465"/>
      <c r="E1135" s="1465"/>
      <c r="F1135" s="1465"/>
      <c r="G1135" s="1465"/>
      <c r="H1135" s="1465"/>
      <c r="I1135" s="1465"/>
      <c r="J1135" s="1465"/>
      <c r="K1135" s="1465"/>
      <c r="L1135" s="1465"/>
      <c r="M1135" s="1465"/>
      <c r="N1135" s="1465"/>
      <c r="O1135" s="1465"/>
      <c r="P1135" s="1465"/>
      <c r="Q1135" s="1465"/>
      <c r="R1135" s="1465"/>
      <c r="S1135" s="1465"/>
      <c r="T1135" s="1465"/>
      <c r="U1135" s="1465"/>
      <c r="V1135" s="1465"/>
      <c r="W1135" s="1465"/>
      <c r="X1135" s="1465"/>
      <c r="Y1135" s="1465"/>
      <c r="Z1135" s="1465"/>
      <c r="AA1135" s="1465"/>
      <c r="AB1135" s="1465"/>
      <c r="AC1135" s="1465"/>
      <c r="AD1135" s="1465"/>
      <c r="AE1135" s="1465"/>
      <c r="AF1135" s="1465"/>
      <c r="AG1135" s="1465"/>
      <c r="AH1135" s="1465"/>
      <c r="AI1135" s="1465"/>
      <c r="AJ1135" s="1465"/>
      <c r="AK1135" s="1465"/>
    </row>
    <row r="1136" spans="1:37" ht="0" hidden="1" customHeight="1">
      <c r="D1136" s="1465"/>
      <c r="E1136" s="1465"/>
      <c r="F1136" s="1465"/>
      <c r="G1136" s="1465"/>
      <c r="H1136" s="1465"/>
      <c r="I1136" s="1465"/>
      <c r="J1136" s="1465"/>
      <c r="K1136" s="1465"/>
      <c r="L1136" s="1465"/>
      <c r="M1136" s="1465"/>
      <c r="N1136" s="1465"/>
      <c r="O1136" s="1465"/>
      <c r="P1136" s="1465"/>
      <c r="Q1136" s="1465"/>
      <c r="R1136" s="1465"/>
      <c r="S1136" s="1465"/>
      <c r="T1136" s="1465"/>
      <c r="U1136" s="1465"/>
      <c r="V1136" s="1465"/>
      <c r="W1136" s="1465"/>
      <c r="X1136" s="1465"/>
      <c r="Y1136" s="1465"/>
      <c r="Z1136" s="1465"/>
      <c r="AA1136" s="1465"/>
      <c r="AB1136" s="1465"/>
      <c r="AC1136" s="1465"/>
      <c r="AD1136" s="1465"/>
      <c r="AE1136" s="1465"/>
      <c r="AF1136" s="1465"/>
      <c r="AG1136" s="1465"/>
      <c r="AH1136" s="1465"/>
      <c r="AI1136" s="1465"/>
      <c r="AJ1136" s="1465"/>
      <c r="AK1136" s="1465"/>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DE798:DI798"/>
    <mergeCell ref="DO804:DS804"/>
    <mergeCell ref="DO805:DS805"/>
    <mergeCell ref="Z586:AK586"/>
    <mergeCell ref="Z587:AK587"/>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DE800:DI800"/>
    <mergeCell ref="CZ782:DD782"/>
    <mergeCell ref="DO762:DS762"/>
    <mergeCell ref="CZ785:DD785"/>
    <mergeCell ref="DE785:DI785"/>
    <mergeCell ref="DE783:DI783"/>
    <mergeCell ref="DJ785:DN785"/>
    <mergeCell ref="CP756:CT756"/>
    <mergeCell ref="DO801:DS801"/>
    <mergeCell ref="DO802:DS802"/>
    <mergeCell ref="DO803:DS803"/>
    <mergeCell ref="DO800:DS800"/>
    <mergeCell ref="DE754:DI754"/>
    <mergeCell ref="CP803:CT803"/>
    <mergeCell ref="CZ752:DD752"/>
    <mergeCell ref="CG758:CH758"/>
    <mergeCell ref="CP744:CT744"/>
    <mergeCell ref="CM753:CN753"/>
    <mergeCell ref="CZ805:DD805"/>
    <mergeCell ref="DJ800:DN800"/>
    <mergeCell ref="DJ801:DN801"/>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DJ798:DN798"/>
    <mergeCell ref="DJ799:DN799"/>
    <mergeCell ref="DJ803:DN803"/>
    <mergeCell ref="DJ804:DN804"/>
    <mergeCell ref="DJ805:DN805"/>
    <mergeCell ref="DO795:DS795"/>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CI758:CJ758"/>
    <mergeCell ref="DE799:DI799"/>
    <mergeCell ref="CU795:CY795"/>
    <mergeCell ref="CI761:CJ761"/>
    <mergeCell ref="CZ803:DD803"/>
    <mergeCell ref="DJ802:DN802"/>
    <mergeCell ref="CI760:CJ760"/>
    <mergeCell ref="CP761:CT761"/>
    <mergeCell ref="DJ757:DN757"/>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O761:DS761"/>
    <mergeCell ref="CZ781:DD781"/>
    <mergeCell ref="DJ782:DN782"/>
    <mergeCell ref="DO784:DS784"/>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K756:CL756"/>
    <mergeCell ref="CM756:CN756"/>
    <mergeCell ref="CG757:CH757"/>
    <mergeCell ref="DE757:DI757"/>
    <mergeCell ref="CZ754:DD754"/>
    <mergeCell ref="CU746:CY746"/>
    <mergeCell ref="CZ747:DD747"/>
    <mergeCell ref="CU751:CY751"/>
    <mergeCell ref="FT761:FX761"/>
    <mergeCell ref="FE761:FI761"/>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G752:CH752"/>
    <mergeCell ref="CI752:CJ752"/>
    <mergeCell ref="CG748:CH748"/>
    <mergeCell ref="CP748:CT748"/>
    <mergeCell ref="CK753:CL753"/>
    <mergeCell ref="CI751:CJ751"/>
    <mergeCell ref="CP746:CT746"/>
    <mergeCell ref="FE749:FI749"/>
    <mergeCell ref="FE760:FI760"/>
    <mergeCell ref="EZ761:FD761"/>
    <mergeCell ref="DO760:DS760"/>
    <mergeCell ref="CM761:CN761"/>
    <mergeCell ref="CZ753:DD753"/>
    <mergeCell ref="DE753:DI753"/>
    <mergeCell ref="EJ760:EN760"/>
    <mergeCell ref="DJ749:DN749"/>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DU750:DY750"/>
    <mergeCell ref="DZ750:ED750"/>
    <mergeCell ref="ET750:EX750"/>
    <mergeCell ref="FE750:FI750"/>
    <mergeCell ref="FJ750:FN750"/>
    <mergeCell ref="FO750:FS750"/>
    <mergeCell ref="FJ761:FN761"/>
    <mergeCell ref="FO758:FS758"/>
    <mergeCell ref="DJ752:DN752"/>
    <mergeCell ref="CZ757:DD757"/>
    <mergeCell ref="CU750:CY750"/>
    <mergeCell ref="CZ750:DD750"/>
    <mergeCell ref="FJ760:FN760"/>
    <mergeCell ref="FO760:FS760"/>
    <mergeCell ref="EO760:ES760"/>
    <mergeCell ref="EO753:ES753"/>
    <mergeCell ref="DZ757:ED757"/>
    <mergeCell ref="DO754:DS754"/>
    <mergeCell ref="EO749:ES749"/>
    <mergeCell ref="EZ755:FD755"/>
    <mergeCell ref="FE755:FI755"/>
    <mergeCell ref="ET742:EX742"/>
    <mergeCell ref="ET743:EX743"/>
    <mergeCell ref="FT749:FX749"/>
    <mergeCell ref="FY746:GC746"/>
    <mergeCell ref="EZ747:FD747"/>
    <mergeCell ref="EZ744:FD744"/>
    <mergeCell ref="FE744:FI744"/>
    <mergeCell ref="FJ744:FN744"/>
    <mergeCell ref="FJ748:FN748"/>
    <mergeCell ref="EO752:ES752"/>
    <mergeCell ref="FY756:GC756"/>
    <mergeCell ref="CP750:CT750"/>
    <mergeCell ref="CP751:CT751"/>
    <mergeCell ref="DJ751:DN751"/>
    <mergeCell ref="DJ753:DN753"/>
    <mergeCell ref="DO753:DS753"/>
    <mergeCell ref="CU756:CY756"/>
    <mergeCell ref="FY754:GC754"/>
    <mergeCell ref="FY747:GC747"/>
    <mergeCell ref="EZ742:FD742"/>
    <mergeCell ref="FE742:FI742"/>
    <mergeCell ref="EZ746:FD746"/>
    <mergeCell ref="FE746:FI746"/>
    <mergeCell ref="FJ746:FN746"/>
    <mergeCell ref="FO746:FS746"/>
    <mergeCell ref="FT746:FX746"/>
    <mergeCell ref="FT747:FX747"/>
    <mergeCell ref="FY748:GC748"/>
    <mergeCell ref="FO748:FS748"/>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EH649:EL649"/>
    <mergeCell ref="EC663:EG663"/>
    <mergeCell ref="FE754:FI754"/>
    <mergeCell ref="FJ754:FN754"/>
    <mergeCell ref="FO754:FS754"/>
    <mergeCell ref="DU749:DY749"/>
    <mergeCell ref="FY731:GC731"/>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CP730:CT730"/>
    <mergeCell ref="CP726:CT726"/>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H525:AK525"/>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D476:V476"/>
    <mergeCell ref="AC520:AF520"/>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G609:R609"/>
    <mergeCell ref="AA581:AK581"/>
    <mergeCell ref="AG607:AH607"/>
    <mergeCell ref="G603:R603"/>
    <mergeCell ref="G604:R604"/>
    <mergeCell ref="Q570:S570"/>
    <mergeCell ref="AI573:AL573"/>
    <mergeCell ref="G613:L613"/>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H760:AJ760"/>
    <mergeCell ref="AK758:AO758"/>
    <mergeCell ref="AE704:AI704"/>
    <mergeCell ref="K726:N726"/>
    <mergeCell ref="G726:J726"/>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H734:AJ734"/>
    <mergeCell ref="T738:W738"/>
    <mergeCell ref="T734:W734"/>
    <mergeCell ref="AC753:AG753"/>
    <mergeCell ref="AC754:AG754"/>
    <mergeCell ref="K739:N739"/>
    <mergeCell ref="X736:AB736"/>
    <mergeCell ref="O727:S727"/>
    <mergeCell ref="K732:N732"/>
    <mergeCell ref="AH728:AJ728"/>
    <mergeCell ref="T737:W737"/>
    <mergeCell ref="AC782:AG782"/>
    <mergeCell ref="AH753:AJ753"/>
    <mergeCell ref="AH754:AJ754"/>
    <mergeCell ref="AH755:AJ755"/>
    <mergeCell ref="AH756:AJ756"/>
    <mergeCell ref="AH741:AJ741"/>
    <mergeCell ref="K745:N745"/>
    <mergeCell ref="AC785:AG785"/>
    <mergeCell ref="T756:W756"/>
    <mergeCell ref="K760:N760"/>
    <mergeCell ref="O805:S805"/>
    <mergeCell ref="O785:S785"/>
    <mergeCell ref="H614:R614"/>
    <mergeCell ref="G618:R618"/>
    <mergeCell ref="B726:F726"/>
    <mergeCell ref="G728:J728"/>
    <mergeCell ref="B729:F729"/>
    <mergeCell ref="B761:F761"/>
    <mergeCell ref="O760:S760"/>
    <mergeCell ref="G621:L621"/>
    <mergeCell ref="AA614:AK614"/>
    <mergeCell ref="AG665:AH665"/>
    <mergeCell ref="Z642:AB642"/>
    <mergeCell ref="AK755:AO755"/>
    <mergeCell ref="AK754:AO754"/>
    <mergeCell ref="AK737:AO737"/>
    <mergeCell ref="K737:N737"/>
    <mergeCell ref="AH751:AJ751"/>
    <mergeCell ref="AH752:AJ752"/>
    <mergeCell ref="K738:N738"/>
    <mergeCell ref="T736:W736"/>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C749:AG749"/>
    <mergeCell ref="AC745:AG745"/>
    <mergeCell ref="X746:AB746"/>
    <mergeCell ref="K749:N749"/>
    <mergeCell ref="X748:AB748"/>
    <mergeCell ref="X743:AB743"/>
    <mergeCell ref="X796:AB796"/>
    <mergeCell ref="AC781:AG781"/>
    <mergeCell ref="AC747:AG747"/>
    <mergeCell ref="X740:AB740"/>
    <mergeCell ref="K742:N742"/>
    <mergeCell ref="G755:J755"/>
    <mergeCell ref="G756:J756"/>
    <mergeCell ref="G757:J757"/>
    <mergeCell ref="G758:J758"/>
    <mergeCell ref="G759:J759"/>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AG831:AJ832"/>
    <mergeCell ref="AC805:AG805"/>
    <mergeCell ref="Z824:AE824"/>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N681:O681"/>
    <mergeCell ref="G695:L695"/>
    <mergeCell ref="K728:N728"/>
    <mergeCell ref="AC727:AG727"/>
    <mergeCell ref="AH730:AJ730"/>
    <mergeCell ref="G729:J729"/>
    <mergeCell ref="AK726:AO726"/>
    <mergeCell ref="Z691:AK691"/>
    <mergeCell ref="Z687:AE687"/>
    <mergeCell ref="Z683:AK683"/>
    <mergeCell ref="T732:W732"/>
    <mergeCell ref="X753:AB753"/>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K744:CL744"/>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P736:CT736"/>
    <mergeCell ref="CP732:CT732"/>
    <mergeCell ref="CU738:CY738"/>
    <mergeCell ref="CZ741:DD741"/>
    <mergeCell ref="CM743:CN743"/>
    <mergeCell ref="CP742:CT742"/>
    <mergeCell ref="CP738:CT738"/>
    <mergeCell ref="CU739:CY739"/>
    <mergeCell ref="CK734:CL734"/>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AK642:AN642"/>
    <mergeCell ref="W646:Y646"/>
    <mergeCell ref="Z669:AK669"/>
    <mergeCell ref="G675:R675"/>
    <mergeCell ref="G655:L655"/>
    <mergeCell ref="Q646:S646"/>
    <mergeCell ref="H656:R656"/>
    <mergeCell ref="Z640:AB640"/>
    <mergeCell ref="M638:P638"/>
    <mergeCell ref="M639:P639"/>
    <mergeCell ref="G679:L679"/>
    <mergeCell ref="M367:N367"/>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AG673:AH673"/>
    <mergeCell ref="M635:P635"/>
    <mergeCell ref="G677:R677"/>
    <mergeCell ref="W637:Y637"/>
    <mergeCell ref="T571:V571"/>
    <mergeCell ref="Z572:AD572"/>
    <mergeCell ref="DE728:DI728"/>
    <mergeCell ref="AM570:AS570"/>
    <mergeCell ref="AO639:AS639"/>
    <mergeCell ref="Z685:AK685"/>
    <mergeCell ref="N657:O657"/>
    <mergeCell ref="N665:O665"/>
    <mergeCell ref="G683:R683"/>
    <mergeCell ref="N697:O697"/>
    <mergeCell ref="M645:P645"/>
    <mergeCell ref="M646:P646"/>
    <mergeCell ref="Z662:AK662"/>
    <mergeCell ref="Z645:AB645"/>
    <mergeCell ref="Z646:AB646"/>
    <mergeCell ref="G653:R653"/>
    <mergeCell ref="AG681:AH681"/>
    <mergeCell ref="AI597:AK597"/>
    <mergeCell ref="Z604:AK604"/>
    <mergeCell ref="H606:R606"/>
    <mergeCell ref="Z603:AK603"/>
    <mergeCell ref="G611:R611"/>
    <mergeCell ref="AC637:AE637"/>
    <mergeCell ref="M632:P634"/>
    <mergeCell ref="G602:R602"/>
    <mergeCell ref="Z602:AK602"/>
    <mergeCell ref="Z611:AK611"/>
    <mergeCell ref="AG599:AH599"/>
    <mergeCell ref="G605:L605"/>
    <mergeCell ref="G610:R610"/>
    <mergeCell ref="G587:R587"/>
    <mergeCell ref="N615:O615"/>
    <mergeCell ref="P613:R613"/>
    <mergeCell ref="C635:L635"/>
    <mergeCell ref="P589:R589"/>
    <mergeCell ref="AA590:AK590"/>
    <mergeCell ref="P605:R605"/>
    <mergeCell ref="Z618:AK618"/>
    <mergeCell ref="AA598:AK598"/>
    <mergeCell ref="AG615:AH615"/>
    <mergeCell ref="Z588:AK588"/>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Z596:AK596"/>
    <mergeCell ref="AK646:AN646"/>
    <mergeCell ref="AF644:AJ644"/>
    <mergeCell ref="AF645:AJ645"/>
    <mergeCell ref="AC641:AE641"/>
    <mergeCell ref="B647:AN647"/>
    <mergeCell ref="B648:AN648"/>
    <mergeCell ref="AC638:AE638"/>
    <mergeCell ref="AK636:AN636"/>
    <mergeCell ref="W635:Y635"/>
    <mergeCell ref="W645:Y645"/>
    <mergeCell ref="AG591:AH591"/>
    <mergeCell ref="G596:R596"/>
    <mergeCell ref="W643:Y643"/>
    <mergeCell ref="Z605:AE605"/>
    <mergeCell ref="AF637:AJ637"/>
    <mergeCell ref="G617:R617"/>
    <mergeCell ref="M636:P636"/>
    <mergeCell ref="Z613:AE613"/>
    <mergeCell ref="Z617:AK617"/>
    <mergeCell ref="M642:P642"/>
    <mergeCell ref="N607:O607"/>
    <mergeCell ref="M640:P640"/>
    <mergeCell ref="Q641:S641"/>
    <mergeCell ref="AF639:AJ639"/>
    <mergeCell ref="Z637:AB637"/>
    <mergeCell ref="Z580:AE580"/>
    <mergeCell ref="Z597:AE597"/>
    <mergeCell ref="G593:R593"/>
    <mergeCell ref="Z652:AK652"/>
    <mergeCell ref="Z663:AE663"/>
    <mergeCell ref="AH727:AJ727"/>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Z676:AK676"/>
    <mergeCell ref="AA680:AK680"/>
    <mergeCell ref="G588:R588"/>
    <mergeCell ref="W639:Y639"/>
    <mergeCell ref="AG623:AH623"/>
    <mergeCell ref="AO644:AS644"/>
    <mergeCell ref="Z585:AK585"/>
    <mergeCell ref="T637:V637"/>
    <mergeCell ref="M582:R582"/>
    <mergeCell ref="G620:R620"/>
    <mergeCell ref="Q644:S644"/>
    <mergeCell ref="Q645:S645"/>
    <mergeCell ref="C644:L644"/>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T728:W728"/>
    <mergeCell ref="B727:F727"/>
    <mergeCell ref="Z694:AK694"/>
    <mergeCell ref="CI729:CJ729"/>
    <mergeCell ref="AA696:AK696"/>
    <mergeCell ref="CI728:CJ728"/>
    <mergeCell ref="AK731:AO731"/>
    <mergeCell ref="AE701:AF701"/>
    <mergeCell ref="CM728:CN728"/>
    <mergeCell ref="AC728:AG728"/>
    <mergeCell ref="G693:R693"/>
    <mergeCell ref="H696:R696"/>
    <mergeCell ref="Z695:AE695"/>
    <mergeCell ref="CM726:CN726"/>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G731:CH731"/>
    <mergeCell ref="CG728:CH728"/>
    <mergeCell ref="AK733:AO733"/>
    <mergeCell ref="P695:R695"/>
    <mergeCell ref="G732:J732"/>
    <mergeCell ref="AO641:AS641"/>
    <mergeCell ref="EC667:EG667"/>
    <mergeCell ref="B735:F735"/>
    <mergeCell ref="CP727:CT727"/>
    <mergeCell ref="CU727:CY727"/>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CG733:CH733"/>
    <mergeCell ref="CI733:CJ733"/>
    <mergeCell ref="G731:J731"/>
    <mergeCell ref="O733:S733"/>
    <mergeCell ref="CU732:CY732"/>
    <mergeCell ref="CU733:CY733"/>
    <mergeCell ref="CG730:CH730"/>
    <mergeCell ref="CU729:CY729"/>
    <mergeCell ref="AH735:AJ735"/>
    <mergeCell ref="O735:S735"/>
    <mergeCell ref="DE731:DI731"/>
    <mergeCell ref="DX652:EB652"/>
    <mergeCell ref="B728:F728"/>
    <mergeCell ref="CG737:CH737"/>
    <mergeCell ref="X737:AB737"/>
    <mergeCell ref="AC733:AG733"/>
    <mergeCell ref="AC734:AG734"/>
    <mergeCell ref="EC678:EG678"/>
    <mergeCell ref="AO642:AS642"/>
    <mergeCell ref="AF643:AJ643"/>
    <mergeCell ref="AO643:AS643"/>
    <mergeCell ref="DO728:DS728"/>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CI726:CJ726"/>
    <mergeCell ref="CI732:CJ732"/>
    <mergeCell ref="CG726:CH726"/>
    <mergeCell ref="DX675:EB675"/>
    <mergeCell ref="DO727:DS727"/>
    <mergeCell ref="CU737:CY737"/>
    <mergeCell ref="DE733:DI733"/>
    <mergeCell ref="DE737:DI737"/>
    <mergeCell ref="DE734:DI734"/>
    <mergeCell ref="CU736:CY736"/>
    <mergeCell ref="DZ735:ED735"/>
    <mergeCell ref="DX650:EB650"/>
    <mergeCell ref="DU727:DY727"/>
    <mergeCell ref="DX671:EB671"/>
    <mergeCell ref="DX668:EB668"/>
    <mergeCell ref="DX647:EB647"/>
    <mergeCell ref="DX674:EB674"/>
    <mergeCell ref="DX658:EB658"/>
    <mergeCell ref="DE726:DI726"/>
    <mergeCell ref="CM730:CN730"/>
    <mergeCell ref="CM735:CN735"/>
    <mergeCell ref="DU731:DY731"/>
    <mergeCell ref="DZ731:ED731"/>
    <mergeCell ref="DO735:DS735"/>
    <mergeCell ref="DX663:EB663"/>
    <mergeCell ref="DU725:DY725"/>
    <mergeCell ref="EC655:EG655"/>
    <mergeCell ref="DX657:EB657"/>
    <mergeCell ref="DX649:EB649"/>
    <mergeCell ref="DO729:DS729"/>
    <mergeCell ref="CZ726:DD726"/>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DE735:DI735"/>
    <mergeCell ref="DJ735:DN735"/>
    <mergeCell ref="DJ730:DN730"/>
    <mergeCell ref="DO736:DS736"/>
    <mergeCell ref="DO731:DS731"/>
    <mergeCell ref="DO732:DS732"/>
    <mergeCell ref="DO730:DS730"/>
    <mergeCell ref="DJ731:DN731"/>
    <mergeCell ref="DJ732:DN732"/>
    <mergeCell ref="DZ733:ED733"/>
    <mergeCell ref="DZ732:ED732"/>
    <mergeCell ref="EJ737:EN737"/>
    <mergeCell ref="DZ729:ED729"/>
    <mergeCell ref="DU738:DY738"/>
    <mergeCell ref="EE737:EI737"/>
    <mergeCell ref="DJ734:DN734"/>
    <mergeCell ref="DJ736:DN736"/>
    <mergeCell ref="EJ735:EN735"/>
    <mergeCell ref="DO737:DS737"/>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X728:AB728"/>
    <mergeCell ref="AC640:AE640"/>
    <mergeCell ref="T755:W755"/>
    <mergeCell ref="AC756:AG756"/>
    <mergeCell ref="T750:W750"/>
    <mergeCell ref="CI725:CJ725"/>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T738:EX738"/>
    <mergeCell ref="EO732:ES732"/>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BI849:BL849"/>
    <mergeCell ref="AC831:AF8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M976:S976"/>
    <mergeCell ref="AA953:AF953"/>
    <mergeCell ref="G754:J754"/>
    <mergeCell ref="K750:N750"/>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G747:J747"/>
    <mergeCell ref="X749:AB749"/>
    <mergeCell ref="AH744:AJ744"/>
    <mergeCell ref="AC744:AG744"/>
    <mergeCell ref="X744:AB744"/>
    <mergeCell ref="T743:W743"/>
    <mergeCell ref="K740:N740"/>
    <mergeCell ref="O749:S749"/>
    <mergeCell ref="O747:S747"/>
    <mergeCell ref="O744:S744"/>
    <mergeCell ref="AC741:AG741"/>
    <mergeCell ref="X739:AB739"/>
    <mergeCell ref="AH740:AJ740"/>
    <mergeCell ref="G746:J746"/>
    <mergeCell ref="G736:J736"/>
    <mergeCell ref="O745:S745"/>
    <mergeCell ref="O746:S746"/>
    <mergeCell ref="T747:W747"/>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O751:S751"/>
    <mergeCell ref="T751:W751"/>
    <mergeCell ref="K752:N752"/>
    <mergeCell ref="O752:S752"/>
    <mergeCell ref="G745:J745"/>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M971:S971"/>
    <mergeCell ref="AA934:AF934"/>
    <mergeCell ref="AE967:AK967"/>
    <mergeCell ref="F925:T926"/>
    <mergeCell ref="F948:T948"/>
    <mergeCell ref="AF1030:AI1031"/>
    <mergeCell ref="AB996:AI996"/>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08:AE1008"/>
    <mergeCell ref="R996:AA996"/>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FT734:FX734"/>
    <mergeCell ref="FT736:FX736"/>
    <mergeCell ref="FY734:GC734"/>
    <mergeCell ref="FT732:FX732"/>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58:GC758"/>
    <mergeCell ref="FT728:FX728"/>
    <mergeCell ref="FT729:FX729"/>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Y732:GC732"/>
    <mergeCell ref="FJ732:FN732"/>
    <mergeCell ref="FO732:FS732"/>
    <mergeCell ref="FE732:FI732"/>
    <mergeCell ref="FJ733:FN733"/>
    <mergeCell ref="FJ729:FN729"/>
    <mergeCell ref="FO729:FS729"/>
    <mergeCell ref="FY735:GC735"/>
    <mergeCell ref="FE735:FI735"/>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FT735:FX735"/>
    <mergeCell ref="FY738:GC738"/>
    <mergeCell ref="FY740:GC740"/>
    <mergeCell ref="FO744:FS744"/>
    <mergeCell ref="FY741:GC741"/>
    <mergeCell ref="FO741:FS741"/>
    <mergeCell ref="FY759:GC759"/>
    <mergeCell ref="FE759:FI759"/>
    <mergeCell ref="FJ759:FN759"/>
    <mergeCell ref="FT750:FX750"/>
    <mergeCell ref="FY755:GC755"/>
    <mergeCell ref="FT756:FX756"/>
    <mergeCell ref="FO759:FS759"/>
    <mergeCell ref="FY744:GC744"/>
    <mergeCell ref="EZ745:FD745"/>
    <mergeCell ref="FE745:FI745"/>
    <mergeCell ref="FJ745:FN745"/>
    <mergeCell ref="FO745:FS745"/>
    <mergeCell ref="FJ742:FN742"/>
    <mergeCell ref="FO742:FS742"/>
    <mergeCell ref="FT759:FX759"/>
    <mergeCell ref="EZ757:FD757"/>
    <mergeCell ref="FE757:FI757"/>
    <mergeCell ref="FJ757:FN757"/>
    <mergeCell ref="FJ749:FN749"/>
    <mergeCell ref="FO749:FS749"/>
    <mergeCell ref="FY749:GC749"/>
    <mergeCell ref="EZ750:FD750"/>
    <mergeCell ref="FE751:FI751"/>
    <mergeCell ref="FJ751:FN751"/>
    <mergeCell ref="FO751:FS751"/>
    <mergeCell ref="FT751:FX751"/>
    <mergeCell ref="FT760:FX760"/>
    <mergeCell ref="EZ738:FD738"/>
    <mergeCell ref="EZ759:FD759"/>
    <mergeCell ref="EZ748:FD748"/>
    <mergeCell ref="FE748:FI748"/>
    <mergeCell ref="FE753:FI753"/>
    <mergeCell ref="FJ753:FN753"/>
    <mergeCell ref="FO753:FS753"/>
    <mergeCell ref="FT753:FX753"/>
    <mergeCell ref="FO738:FS738"/>
    <mergeCell ref="FT738:FX738"/>
    <mergeCell ref="FO740:FS740"/>
    <mergeCell ref="FT740:FX740"/>
    <mergeCell ref="ET759:EX759"/>
    <mergeCell ref="FT739:FX739"/>
    <mergeCell ref="FT744:FX744"/>
    <mergeCell ref="FE741:FI741"/>
    <mergeCell ref="FJ743:FN743"/>
    <mergeCell ref="FE739:FI739"/>
    <mergeCell ref="FJ739:FN739"/>
    <mergeCell ref="FO739:FS739"/>
    <mergeCell ref="FO743:FS743"/>
    <mergeCell ref="EZ740:FD740"/>
    <mergeCell ref="FT758:FX758"/>
    <mergeCell ref="FT757:FX757"/>
    <mergeCell ref="FJ755:FN755"/>
    <mergeCell ref="FO755:FS755"/>
    <mergeCell ref="FT755:FX755"/>
    <mergeCell ref="EZ749:FD749"/>
    <mergeCell ref="ET749:EX749"/>
    <mergeCell ref="FO757:FS757"/>
    <mergeCell ref="EZ760:FD760"/>
    <mergeCell ref="EZ739:FD739"/>
    <mergeCell ref="EZ734:FD734"/>
    <mergeCell ref="DZ726:ED726"/>
    <mergeCell ref="EE726:EI726"/>
    <mergeCell ref="FO728:FS728"/>
    <mergeCell ref="FJ728:FN728"/>
    <mergeCell ref="ET745:EX745"/>
    <mergeCell ref="ET735:EX735"/>
    <mergeCell ref="ET740:EX740"/>
    <mergeCell ref="EE736:EI736"/>
    <mergeCell ref="EJ736:EN736"/>
    <mergeCell ref="EE748:EI748"/>
    <mergeCell ref="EJ748:EN748"/>
    <mergeCell ref="EO748:ES748"/>
    <mergeCell ref="EO738:ES738"/>
    <mergeCell ref="ET746:EX746"/>
    <mergeCell ref="ET737:EX737"/>
    <mergeCell ref="FJ735:FN735"/>
    <mergeCell ref="FO735:FS735"/>
    <mergeCell ref="FE734:FI734"/>
    <mergeCell ref="EZ736:FD736"/>
    <mergeCell ref="FE736:FI736"/>
    <mergeCell ref="FJ736:FN736"/>
    <mergeCell ref="FO736:FS736"/>
    <mergeCell ref="FJ734:FN734"/>
    <mergeCell ref="FO734:FS734"/>
    <mergeCell ref="FE728:FI728"/>
    <mergeCell ref="ET739:EX739"/>
    <mergeCell ref="DZ746:ED746"/>
    <mergeCell ref="EO735:ES735"/>
    <mergeCell ref="EJ732:EN732"/>
    <mergeCell ref="FJ741:FN741"/>
    <mergeCell ref="EJ749:EN749"/>
    <mergeCell ref="ET729:EX729"/>
    <mergeCell ref="EW675:FA675"/>
    <mergeCell ref="EE731:EI731"/>
    <mergeCell ref="EJ731:EN731"/>
    <mergeCell ref="EO733:ES733"/>
    <mergeCell ref="EE733:EI733"/>
    <mergeCell ref="EW666:FA666"/>
    <mergeCell ref="EM675:EQ675"/>
    <mergeCell ref="ER675:EV675"/>
    <mergeCell ref="EH674:EL674"/>
    <mergeCell ref="EH676:EL676"/>
    <mergeCell ref="ET725:EX725"/>
    <mergeCell ref="DZ740:ED740"/>
    <mergeCell ref="EE740:EI740"/>
    <mergeCell ref="EJ740:EN740"/>
    <mergeCell ref="EO739:ES739"/>
    <mergeCell ref="DZ742:ED742"/>
    <mergeCell ref="DZ739:ED739"/>
    <mergeCell ref="EE739:EI739"/>
    <mergeCell ref="EJ739:EN739"/>
    <mergeCell ref="DZ734:ED734"/>
    <mergeCell ref="EZ728:FD728"/>
    <mergeCell ref="DZ728:ED728"/>
    <mergeCell ref="EJ727:EN727"/>
    <mergeCell ref="EC675:EG675"/>
    <mergeCell ref="EW669:FA669"/>
    <mergeCell ref="EM670:EQ670"/>
    <mergeCell ref="ER670:EV670"/>
    <mergeCell ref="DX673:EB673"/>
    <mergeCell ref="EE747:EI747"/>
    <mergeCell ref="EZ735:FD73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ER647:EV647"/>
    <mergeCell ref="EW649:FA649"/>
    <mergeCell ref="EM649:EQ649"/>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W671:FA671"/>
    <mergeCell ref="EH678:EL678"/>
    <mergeCell ref="ER664:EV664"/>
    <mergeCell ref="EC677:EG677"/>
    <mergeCell ref="ER656:EV656"/>
    <mergeCell ref="ER655:EV655"/>
    <mergeCell ref="EO728:ES728"/>
    <mergeCell ref="EM657:EQ657"/>
    <mergeCell ref="EH675:EL675"/>
    <mergeCell ref="EZ725:FD725"/>
    <mergeCell ref="FE725:FI725"/>
    <mergeCell ref="EH677:EL677"/>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25:ES725"/>
    <mergeCell ref="ET726:EX726"/>
    <mergeCell ref="ER665:EV665"/>
    <mergeCell ref="EW665:FA665"/>
    <mergeCell ref="EE727:EI727"/>
    <mergeCell ref="DU728:DY728"/>
    <mergeCell ref="EW662:FA662"/>
    <mergeCell ref="DX655:EB655"/>
    <mergeCell ref="EW670:FA670"/>
    <mergeCell ref="EO727:ES727"/>
    <mergeCell ref="ET727:EX727"/>
    <mergeCell ref="EJ726:EN726"/>
    <mergeCell ref="EH668:EL668"/>
    <mergeCell ref="EM668:EQ668"/>
    <mergeCell ref="EE728:EI728"/>
    <mergeCell ref="ER677:EV677"/>
    <mergeCell ref="ER676:EV676"/>
    <mergeCell ref="EW676:FA676"/>
    <mergeCell ref="EW672:FA672"/>
    <mergeCell ref="EM678:EQ678"/>
    <mergeCell ref="DU735:DY735"/>
    <mergeCell ref="DU734:DY734"/>
    <mergeCell ref="DU736:DY736"/>
    <mergeCell ref="EE735:EI735"/>
    <mergeCell ref="EJ734:EN734"/>
    <mergeCell ref="ER678:EV678"/>
    <mergeCell ref="DX677:EB677"/>
    <mergeCell ref="EE729:EI729"/>
    <mergeCell ref="ET747:EX747"/>
    <mergeCell ref="EZ741:FD741"/>
    <mergeCell ref="ET748:EX748"/>
    <mergeCell ref="DU732:DY732"/>
    <mergeCell ref="ET732:EX732"/>
    <mergeCell ref="EO734:ES734"/>
    <mergeCell ref="ET734:EX734"/>
    <mergeCell ref="ET730:EX730"/>
    <mergeCell ref="ET728:EX728"/>
    <mergeCell ref="EO736:ES736"/>
    <mergeCell ref="ET736:EX736"/>
    <mergeCell ref="EO747:ES747"/>
    <mergeCell ref="EO746:ES746"/>
    <mergeCell ref="EJ745:EN745"/>
    <mergeCell ref="DZ744:ED744"/>
    <mergeCell ref="EE744:EI744"/>
    <mergeCell ref="EJ744:EN744"/>
    <mergeCell ref="EJ747:EN747"/>
    <mergeCell ref="EE746:EI746"/>
    <mergeCell ref="EE745:EI745"/>
    <mergeCell ref="DU730:DY730"/>
    <mergeCell ref="EJ733:EN733"/>
    <mergeCell ref="ET731:EX731"/>
    <mergeCell ref="DU733:DY733"/>
    <mergeCell ref="EO744:ES744"/>
    <mergeCell ref="EE742:EI742"/>
    <mergeCell ref="EJ741:EN741"/>
    <mergeCell ref="DZ737:ED737"/>
    <mergeCell ref="EO731:ES731"/>
    <mergeCell ref="EO729:ES729"/>
    <mergeCell ref="ET733:EX733"/>
    <mergeCell ref="EO730:ES730"/>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DE782:DI782"/>
    <mergeCell ref="DE761:DI761"/>
    <mergeCell ref="DO759:DS759"/>
    <mergeCell ref="DE752:DI752"/>
    <mergeCell ref="DZ761:ED761"/>
    <mergeCell ref="EE761:EI761"/>
    <mergeCell ref="DJ761:DN761"/>
    <mergeCell ref="DE781:DI781"/>
    <mergeCell ref="EE760:EI760"/>
    <mergeCell ref="EE758:EI758"/>
    <mergeCell ref="CU755:CY755"/>
    <mergeCell ref="CZ758:DD758"/>
    <mergeCell ref="DJ784:DN784"/>
    <mergeCell ref="DO758:DS758"/>
    <mergeCell ref="CZ761:DD761"/>
    <mergeCell ref="EJ752:EN752"/>
    <mergeCell ref="EJ761:EN761"/>
    <mergeCell ref="EO761:ES761"/>
    <mergeCell ref="EJ758:EN758"/>
    <mergeCell ref="EO758:ES758"/>
    <mergeCell ref="CM751:CN751"/>
    <mergeCell ref="DE750:DI750"/>
    <mergeCell ref="EE753:EI753"/>
    <mergeCell ref="EJ759:EN759"/>
    <mergeCell ref="DJ756:DN756"/>
    <mergeCell ref="DO756:DS756"/>
    <mergeCell ref="DJ755:DN755"/>
    <mergeCell ref="DE751:DI751"/>
    <mergeCell ref="EJ753:EN753"/>
    <mergeCell ref="CI738:CJ738"/>
    <mergeCell ref="CI744:CJ744"/>
    <mergeCell ref="CZ745:DD745"/>
    <mergeCell ref="DE741:DI741"/>
    <mergeCell ref="CU743:CY743"/>
    <mergeCell ref="CZ759:DD759"/>
    <mergeCell ref="CI759:CJ759"/>
    <mergeCell ref="CP743:CT743"/>
    <mergeCell ref="DJ744:DN744"/>
    <mergeCell ref="DE744:DI744"/>
    <mergeCell ref="CM748:CN748"/>
    <mergeCell ref="DU759:DY759"/>
    <mergeCell ref="DU758:DY758"/>
    <mergeCell ref="DE759:DI759"/>
    <mergeCell ref="CP757:CT757"/>
    <mergeCell ref="CU757:CY757"/>
    <mergeCell ref="DJ759:DN759"/>
    <mergeCell ref="EE749:EI749"/>
    <mergeCell ref="CK751:CL751"/>
    <mergeCell ref="DO750:DS750"/>
    <mergeCell ref="CZ751:DD751"/>
    <mergeCell ref="CP752:CT752"/>
    <mergeCell ref="DO748:DS748"/>
    <mergeCell ref="DJ748:DN748"/>
    <mergeCell ref="DJ741:DN741"/>
    <mergeCell ref="DO757:DS757"/>
    <mergeCell ref="CZ756:DD756"/>
    <mergeCell ref="DE756:DI756"/>
    <mergeCell ref="DU757:DY757"/>
    <mergeCell ref="DJ750:DN750"/>
    <mergeCell ref="DE746:DI746"/>
    <mergeCell ref="DU745:DY745"/>
    <mergeCell ref="DU743:DY743"/>
    <mergeCell ref="DO745:DS745"/>
    <mergeCell ref="CU744:CY744"/>
    <mergeCell ref="DJ754:DN754"/>
    <mergeCell ref="DZ745:ED745"/>
    <mergeCell ref="DO752:DS752"/>
    <mergeCell ref="DO746:DS746"/>
    <mergeCell ref="DE748:DI748"/>
    <mergeCell ref="DU748:DY748"/>
    <mergeCell ref="DZ748:ED748"/>
    <mergeCell ref="DU744:DY744"/>
    <mergeCell ref="CU748:CY748"/>
    <mergeCell ref="DZ749:ED749"/>
    <mergeCell ref="DO755:DS755"/>
    <mergeCell ref="DU753:DY753"/>
    <mergeCell ref="DZ753:ED753"/>
    <mergeCell ref="CZ749:DD749"/>
    <mergeCell ref="CU741:CY741"/>
    <mergeCell ref="CZ748:DD748"/>
    <mergeCell ref="CU749:CY749"/>
    <mergeCell ref="DO739:DS739"/>
    <mergeCell ref="DU739:DY739"/>
    <mergeCell ref="DU740:DY740"/>
    <mergeCell ref="CZ744:DD744"/>
    <mergeCell ref="DJ746:DN746"/>
    <mergeCell ref="DU747:DY747"/>
    <mergeCell ref="DZ747:ED747"/>
    <mergeCell ref="DZ741:ED741"/>
    <mergeCell ref="DO743:DS743"/>
    <mergeCell ref="DO744:DS744"/>
    <mergeCell ref="CU747:CY747"/>
    <mergeCell ref="DJ742:DN742"/>
    <mergeCell ref="DO747:DS747"/>
    <mergeCell ref="DU742:DY742"/>
    <mergeCell ref="EW646:FA646"/>
    <mergeCell ref="DJ725:DN725"/>
    <mergeCell ref="EC661:EG661"/>
    <mergeCell ref="DX662:EB662"/>
    <mergeCell ref="DX659:EB659"/>
    <mergeCell ref="EC659:EG659"/>
    <mergeCell ref="EM676:EQ676"/>
    <mergeCell ref="DX678:EB678"/>
    <mergeCell ref="EM672:EQ672"/>
    <mergeCell ref="ER672:EV672"/>
    <mergeCell ref="DZ725:ED725"/>
    <mergeCell ref="DZ727:ED727"/>
    <mergeCell ref="DO740:DS740"/>
    <mergeCell ref="DU746:DY746"/>
    <mergeCell ref="EO737:ES737"/>
    <mergeCell ref="EJ743:EN743"/>
    <mergeCell ref="EE734:EI734"/>
    <mergeCell ref="EO743:ES743"/>
    <mergeCell ref="DZ743:ED743"/>
    <mergeCell ref="EE743:EI743"/>
    <mergeCell ref="EJ742:EN742"/>
    <mergeCell ref="EE741:EI741"/>
    <mergeCell ref="EO740:ES740"/>
    <mergeCell ref="DU741:DY741"/>
    <mergeCell ref="DO733:DS733"/>
    <mergeCell ref="DX669:EB669"/>
    <mergeCell ref="ER659:EV659"/>
    <mergeCell ref="ER660:EV660"/>
    <mergeCell ref="DZ730:ED730"/>
    <mergeCell ref="EO741:ES741"/>
    <mergeCell ref="EO742:ES742"/>
    <mergeCell ref="EJ746:EN746"/>
    <mergeCell ref="ET744:EX744"/>
    <mergeCell ref="EM669:EQ669"/>
    <mergeCell ref="ER674:EV674"/>
    <mergeCell ref="EH667:EL667"/>
    <mergeCell ref="EC669:EG669"/>
    <mergeCell ref="EM656:EQ656"/>
    <mergeCell ref="EH663:EL663"/>
    <mergeCell ref="EM663:EQ663"/>
    <mergeCell ref="DU726:DY726"/>
    <mergeCell ref="DU729:DY729"/>
    <mergeCell ref="EJ729:EN729"/>
    <mergeCell ref="EW668:FA668"/>
    <mergeCell ref="EW674:FA674"/>
    <mergeCell ref="ER669:EV669"/>
    <mergeCell ref="EM677:EQ677"/>
    <mergeCell ref="DX672:EB672"/>
    <mergeCell ref="EM661:EQ661"/>
    <mergeCell ref="ER661:EV661"/>
    <mergeCell ref="EW663:FA663"/>
    <mergeCell ref="ER663:EV663"/>
    <mergeCell ref="EH659:EL659"/>
    <mergeCell ref="EM662:EQ662"/>
    <mergeCell ref="ER662:EV662"/>
    <mergeCell ref="EM660:EQ660"/>
    <mergeCell ref="DX661:EB661"/>
    <mergeCell ref="EC666:EG666"/>
    <mergeCell ref="EJ730:EN730"/>
    <mergeCell ref="ET741:EX741"/>
    <mergeCell ref="DX670:EB670"/>
    <mergeCell ref="EC670:EG670"/>
    <mergeCell ref="EH670:EL670"/>
    <mergeCell ref="ER668:EV668"/>
    <mergeCell ref="M569:P569"/>
    <mergeCell ref="C573:L573"/>
    <mergeCell ref="G601:R601"/>
    <mergeCell ref="AI605:AK605"/>
    <mergeCell ref="A625:AT626"/>
    <mergeCell ref="B632:L634"/>
    <mergeCell ref="AE571:AH571"/>
    <mergeCell ref="AM571:AS571"/>
    <mergeCell ref="AO636:AS636"/>
    <mergeCell ref="Z644:AB644"/>
    <mergeCell ref="AM572:AS572"/>
    <mergeCell ref="AM574:AS574"/>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DJ740:DN740"/>
    <mergeCell ref="EH666:EL666"/>
    <mergeCell ref="EM666:EQ666"/>
    <mergeCell ref="EH653:EL653"/>
    <mergeCell ref="EM653:EQ653"/>
    <mergeCell ref="EC658:EG658"/>
    <mergeCell ref="EO726:ES726"/>
    <mergeCell ref="K736:N736"/>
    <mergeCell ref="N673:O673"/>
    <mergeCell ref="G619:R619"/>
    <mergeCell ref="Z610:AK610"/>
    <mergeCell ref="Z620:AK620"/>
    <mergeCell ref="AC635:AE635"/>
    <mergeCell ref="AA664:AK664"/>
    <mergeCell ref="C646:L646"/>
    <mergeCell ref="Z589:AE589"/>
    <mergeCell ref="Z594:AK594"/>
    <mergeCell ref="T632:V634"/>
    <mergeCell ref="Q638:S638"/>
    <mergeCell ref="Z661:AK661"/>
    <mergeCell ref="Z668:AK668"/>
    <mergeCell ref="AK643:AN643"/>
    <mergeCell ref="AI621:AK621"/>
    <mergeCell ref="AA622:AK622"/>
    <mergeCell ref="P671:R671"/>
    <mergeCell ref="P655:R655"/>
    <mergeCell ref="AI655:AK655"/>
    <mergeCell ref="G662:R662"/>
    <mergeCell ref="G661:R661"/>
    <mergeCell ref="M643:P643"/>
    <mergeCell ref="G654:R654"/>
    <mergeCell ref="Z660:AK660"/>
    <mergeCell ref="Q642:S642"/>
    <mergeCell ref="AK644:AN644"/>
    <mergeCell ref="C645:L645"/>
    <mergeCell ref="C640:L640"/>
    <mergeCell ref="Z621:AE621"/>
    <mergeCell ref="N623:O623"/>
    <mergeCell ref="H622:R622"/>
    <mergeCell ref="P597:R597"/>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T563:V563"/>
    <mergeCell ref="H348:M348"/>
    <mergeCell ref="T635:V635"/>
    <mergeCell ref="AO635:AS635"/>
    <mergeCell ref="W567:Y567"/>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A69:AT70"/>
    <mergeCell ref="AO632:AS634"/>
    <mergeCell ref="H680:R680"/>
    <mergeCell ref="G751:J751"/>
    <mergeCell ref="G752:J752"/>
    <mergeCell ref="G753:J753"/>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AC632:AE634"/>
    <mergeCell ref="AK738:AO738"/>
    <mergeCell ref="AC732:AG732"/>
    <mergeCell ref="AC738:AG738"/>
    <mergeCell ref="AG764:AJ764"/>
    <mergeCell ref="AE707:AI707"/>
    <mergeCell ref="C642:L642"/>
    <mergeCell ref="H672:R672"/>
    <mergeCell ref="G686:R686"/>
    <mergeCell ref="AH749:AJ749"/>
    <mergeCell ref="AK748:AO748"/>
    <mergeCell ref="AK749:AO749"/>
    <mergeCell ref="AK760:AO760"/>
    <mergeCell ref="K746:N746"/>
    <mergeCell ref="T752:W752"/>
    <mergeCell ref="O755:S755"/>
    <mergeCell ref="AH748:AJ748"/>
    <mergeCell ref="G742:J742"/>
    <mergeCell ref="O743:S743"/>
    <mergeCell ref="AC737:AG737"/>
    <mergeCell ref="O736:S736"/>
    <mergeCell ref="O754:S754"/>
    <mergeCell ref="B752:F752"/>
    <mergeCell ref="B753:F753"/>
    <mergeCell ref="AK736:AO736"/>
    <mergeCell ref="AC644:AE644"/>
    <mergeCell ref="H664:R664"/>
    <mergeCell ref="AG657:AH657"/>
    <mergeCell ref="Z654:AK654"/>
    <mergeCell ref="G738:J738"/>
    <mergeCell ref="G743:J743"/>
    <mergeCell ref="K751:N751"/>
    <mergeCell ref="AC746:AG746"/>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P687:R687"/>
    <mergeCell ref="C765:AM766"/>
    <mergeCell ref="G750:J750"/>
    <mergeCell ref="Z678:AK678"/>
    <mergeCell ref="Z639:AB639"/>
    <mergeCell ref="AF632:AJ634"/>
    <mergeCell ref="AK744:AO744"/>
    <mergeCell ref="AK641:AN641"/>
    <mergeCell ref="G663:L66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O777:S780"/>
    <mergeCell ref="D995:Q995"/>
    <mergeCell ref="AB995:AI995"/>
    <mergeCell ref="AG1038:AH1038"/>
    <mergeCell ref="M984:S984"/>
    <mergeCell ref="D1009:AE1009"/>
    <mergeCell ref="D1003:AE1003"/>
    <mergeCell ref="D996:Q996"/>
    <mergeCell ref="R998:AA998"/>
    <mergeCell ref="AJ998:AQ998"/>
    <mergeCell ref="J1033:AE1033"/>
    <mergeCell ref="AJ1001:AQ1001"/>
    <mergeCell ref="AJ1002:AQ1002"/>
    <mergeCell ref="D994:Q994"/>
    <mergeCell ref="AB994:AI994"/>
    <mergeCell ref="M981:S981"/>
    <mergeCell ref="O784:S784"/>
    <mergeCell ref="O983:P983"/>
    <mergeCell ref="C1090:D1090"/>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C1091:D1091"/>
    <mergeCell ref="C1092:D1092"/>
    <mergeCell ref="C1093:D1093"/>
    <mergeCell ref="C1094:D1094"/>
    <mergeCell ref="C1099:D1099"/>
    <mergeCell ref="A1103:B1103"/>
    <mergeCell ref="A1070:AQ1070"/>
    <mergeCell ref="AF1026:AI1028"/>
    <mergeCell ref="AF1023:AI1024"/>
    <mergeCell ref="AJ1062:AQ1062"/>
    <mergeCell ref="D1046:AE1049"/>
    <mergeCell ref="D1054:AE1054"/>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57" workbookViewId="0">
      <selection activeCell="S81" sqref="S81"/>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85" t="s">
        <v>621</v>
      </c>
      <c r="G1" s="1886"/>
      <c r="H1" s="1886"/>
      <c r="I1" s="1886"/>
      <c r="J1" s="1886"/>
      <c r="K1" s="1886"/>
      <c r="L1" s="1886"/>
      <c r="M1" s="1886"/>
      <c r="N1" s="1886"/>
      <c r="O1" s="1886"/>
      <c r="P1" s="1886"/>
      <c r="Q1" s="1886"/>
      <c r="R1" s="1887"/>
      <c r="S1" s="112"/>
      <c r="T1" s="111"/>
      <c r="U1" s="113"/>
    </row>
    <row r="2" spans="1:21" s="138" customFormat="1" ht="71.25" customHeight="1">
      <c r="A2" s="137"/>
      <c r="B2" s="138" t="s">
        <v>23</v>
      </c>
      <c r="C2" s="138" t="s">
        <v>374</v>
      </c>
      <c r="D2" s="138" t="s">
        <v>373</v>
      </c>
      <c r="E2" s="138" t="s">
        <v>24</v>
      </c>
      <c r="F2" s="139" t="str">
        <f>Application!B635&amp;Application!C635</f>
        <v>1)Citibank, N.A.</v>
      </c>
      <c r="G2" s="139" t="str">
        <f>Application!B636&amp;Application!C636</f>
        <v>2)Bonneville Multifamily Capital</v>
      </c>
      <c r="H2" s="139" t="str">
        <f>Application!B637&amp;Application!C637</f>
        <v>3)Pacific West Communities, Inc.</v>
      </c>
      <c r="I2" s="139" t="str">
        <f>Application!B638&amp;Application!C638</f>
        <v>4)</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4500000</v>
      </c>
      <c r="C4" s="147">
        <v>4500000</v>
      </c>
      <c r="D4" s="147"/>
      <c r="E4" s="147">
        <v>4500000</v>
      </c>
      <c r="F4" s="147"/>
      <c r="G4" s="147"/>
      <c r="H4" s="147"/>
      <c r="I4" s="147"/>
      <c r="J4" s="147"/>
      <c r="K4" s="147"/>
      <c r="L4" s="147"/>
      <c r="M4" s="147"/>
      <c r="N4" s="147"/>
      <c r="O4" s="147"/>
      <c r="P4" s="147"/>
      <c r="Q4" s="147"/>
      <c r="R4" s="512">
        <f>SUM(E4:Q4)</f>
        <v>4500000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5000</v>
      </c>
      <c r="C6" s="147">
        <v>5000</v>
      </c>
      <c r="D6" s="147"/>
      <c r="E6" s="147">
        <v>5000</v>
      </c>
      <c r="F6" s="147"/>
      <c r="G6" s="147"/>
      <c r="H6" s="147"/>
      <c r="I6" s="147"/>
      <c r="J6" s="147"/>
      <c r="K6" s="147"/>
      <c r="L6" s="147"/>
      <c r="M6" s="147"/>
      <c r="N6" s="147"/>
      <c r="O6" s="147"/>
      <c r="P6" s="147"/>
      <c r="Q6" s="147"/>
      <c r="R6" s="512">
        <f>SUM(E6:Q6)</f>
        <v>5000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4505000</v>
      </c>
      <c r="C8" s="146">
        <f t="shared" ref="C8:Q8" si="0">SUM(C4:C7)</f>
        <v>4505000</v>
      </c>
      <c r="D8" s="146">
        <f t="shared" si="0"/>
        <v>0</v>
      </c>
      <c r="E8" s="146">
        <f t="shared" si="0"/>
        <v>4505000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4505000</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95236</v>
      </c>
      <c r="C10" s="147">
        <v>95236</v>
      </c>
      <c r="D10" s="147"/>
      <c r="E10" s="147">
        <v>95236</v>
      </c>
      <c r="F10" s="147"/>
      <c r="G10" s="147"/>
      <c r="H10" s="147"/>
      <c r="I10" s="147"/>
      <c r="J10" s="147"/>
      <c r="K10" s="147"/>
      <c r="L10" s="147"/>
      <c r="M10" s="147"/>
      <c r="N10" s="147"/>
      <c r="O10" s="147"/>
      <c r="P10" s="147"/>
      <c r="Q10" s="147"/>
      <c r="R10" s="512">
        <f>SUM(E10:Q10)</f>
        <v>95236</v>
      </c>
      <c r="S10" s="147">
        <v>95236</v>
      </c>
      <c r="T10" s="147"/>
      <c r="U10" s="143"/>
    </row>
    <row r="11" spans="1:21" s="144" customFormat="1">
      <c r="A11" s="149" t="s">
        <v>596</v>
      </c>
      <c r="B11" s="146">
        <f>SUM(C11:D11)</f>
        <v>95236</v>
      </c>
      <c r="C11" s="146">
        <f t="shared" ref="C11:Q11" si="1">SUM(C9:C10)</f>
        <v>95236</v>
      </c>
      <c r="D11" s="146">
        <f t="shared" si="1"/>
        <v>0</v>
      </c>
      <c r="E11" s="146">
        <f t="shared" si="1"/>
        <v>95236</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95236</v>
      </c>
      <c r="S11" s="148"/>
      <c r="T11" s="150">
        <f>SUM(T9:T10)</f>
        <v>0</v>
      </c>
      <c r="U11" s="143"/>
    </row>
    <row r="12" spans="1:21" s="144" customFormat="1">
      <c r="A12" s="149" t="s">
        <v>84</v>
      </c>
      <c r="B12" s="146">
        <f t="shared" ref="B12:Q12" si="2">SUM(B8+B11)</f>
        <v>4600236</v>
      </c>
      <c r="C12" s="146">
        <f t="shared" si="2"/>
        <v>4600236</v>
      </c>
      <c r="D12" s="146">
        <f t="shared" si="2"/>
        <v>0</v>
      </c>
      <c r="E12" s="146">
        <f t="shared" si="2"/>
        <v>4600236</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4600236</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1944000</v>
      </c>
      <c r="C29" s="147">
        <v>1944000</v>
      </c>
      <c r="D29" s="147"/>
      <c r="E29" s="147"/>
      <c r="F29" s="147">
        <v>1944000</v>
      </c>
      <c r="G29" s="147"/>
      <c r="H29" s="147"/>
      <c r="I29" s="147"/>
      <c r="J29" s="147"/>
      <c r="K29" s="147"/>
      <c r="L29" s="147"/>
      <c r="M29" s="147"/>
      <c r="N29" s="147"/>
      <c r="O29" s="147"/>
      <c r="P29" s="147"/>
      <c r="Q29" s="147"/>
      <c r="R29" s="512">
        <f t="shared" ref="R29:R37" si="7">SUM(E29:Q29)</f>
        <v>1944000</v>
      </c>
      <c r="S29" s="147">
        <v>1944000</v>
      </c>
      <c r="T29" s="147"/>
      <c r="U29" s="143"/>
    </row>
    <row r="30" spans="1:21" s="144" customFormat="1">
      <c r="A30" s="145" t="s">
        <v>599</v>
      </c>
      <c r="B30" s="146">
        <f t="shared" si="6"/>
        <v>25804998</v>
      </c>
      <c r="C30" s="147">
        <v>25804998</v>
      </c>
      <c r="D30" s="147"/>
      <c r="E30" s="147"/>
      <c r="F30" s="147">
        <v>17556000</v>
      </c>
      <c r="G30" s="147">
        <v>8248998</v>
      </c>
      <c r="H30" s="147"/>
      <c r="I30" s="147"/>
      <c r="J30" s="147"/>
      <c r="K30" s="147"/>
      <c r="L30" s="147"/>
      <c r="M30" s="147"/>
      <c r="N30" s="147"/>
      <c r="O30" s="147"/>
      <c r="P30" s="147"/>
      <c r="Q30" s="147"/>
      <c r="R30" s="512">
        <f t="shared" si="7"/>
        <v>25804998</v>
      </c>
      <c r="S30" s="147">
        <v>25804998</v>
      </c>
      <c r="T30" s="147"/>
      <c r="U30" s="143"/>
    </row>
    <row r="31" spans="1:21" s="144" customFormat="1">
      <c r="A31" s="145" t="s">
        <v>600</v>
      </c>
      <c r="B31" s="146">
        <f t="shared" si="6"/>
        <v>1670654</v>
      </c>
      <c r="C31" s="147">
        <v>1670654</v>
      </c>
      <c r="D31" s="147"/>
      <c r="E31" s="147"/>
      <c r="F31" s="147"/>
      <c r="G31" s="147">
        <v>1670654</v>
      </c>
      <c r="H31" s="147"/>
      <c r="I31" s="147"/>
      <c r="J31" s="147"/>
      <c r="K31" s="147"/>
      <c r="L31" s="147"/>
      <c r="M31" s="147"/>
      <c r="N31" s="147"/>
      <c r="O31" s="147"/>
      <c r="P31" s="147"/>
      <c r="Q31" s="147"/>
      <c r="R31" s="512">
        <f t="shared" si="7"/>
        <v>1670654</v>
      </c>
      <c r="S31" s="147">
        <v>1670654</v>
      </c>
      <c r="T31" s="147"/>
      <c r="U31" s="143"/>
    </row>
    <row r="32" spans="1:21" s="144" customFormat="1">
      <c r="A32" s="145" t="s">
        <v>137</v>
      </c>
      <c r="B32" s="146">
        <f t="shared" si="6"/>
        <v>590298</v>
      </c>
      <c r="C32" s="147">
        <v>590298</v>
      </c>
      <c r="D32" s="147"/>
      <c r="E32" s="147"/>
      <c r="F32" s="147"/>
      <c r="G32" s="147">
        <v>590298</v>
      </c>
      <c r="H32" s="147"/>
      <c r="I32" s="147"/>
      <c r="J32" s="147"/>
      <c r="K32" s="147"/>
      <c r="L32" s="147"/>
      <c r="M32" s="147"/>
      <c r="N32" s="147"/>
      <c r="O32" s="147"/>
      <c r="P32" s="147"/>
      <c r="Q32" s="147"/>
      <c r="R32" s="512">
        <f t="shared" si="7"/>
        <v>590298</v>
      </c>
      <c r="S32" s="147">
        <v>590298</v>
      </c>
      <c r="T32" s="147"/>
      <c r="U32" s="143"/>
    </row>
    <row r="33" spans="1:21" s="144" customFormat="1">
      <c r="A33" s="145" t="s">
        <v>138</v>
      </c>
      <c r="B33" s="146">
        <f t="shared" si="6"/>
        <v>1770893</v>
      </c>
      <c r="C33" s="147">
        <v>1770893</v>
      </c>
      <c r="D33" s="147"/>
      <c r="E33" s="147">
        <v>280843</v>
      </c>
      <c r="F33" s="147"/>
      <c r="G33" s="147">
        <v>1490050</v>
      </c>
      <c r="H33" s="147"/>
      <c r="I33" s="147"/>
      <c r="J33" s="147"/>
      <c r="K33" s="147"/>
      <c r="L33" s="147"/>
      <c r="M33" s="147"/>
      <c r="N33" s="147"/>
      <c r="O33" s="147"/>
      <c r="P33" s="147"/>
      <c r="Q33" s="147"/>
      <c r="R33" s="512">
        <f t="shared" si="7"/>
        <v>1770893</v>
      </c>
      <c r="S33" s="147">
        <v>1770893</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0</v>
      </c>
      <c r="C35" s="147"/>
      <c r="D35" s="147"/>
      <c r="E35" s="147"/>
      <c r="F35" s="147"/>
      <c r="G35" s="147"/>
      <c r="H35" s="147"/>
      <c r="I35" s="147"/>
      <c r="J35" s="147"/>
      <c r="K35" s="147"/>
      <c r="L35" s="147"/>
      <c r="M35" s="147"/>
      <c r="N35" s="147"/>
      <c r="O35" s="147"/>
      <c r="P35" s="147"/>
      <c r="Q35" s="147"/>
      <c r="R35" s="512">
        <f t="shared" si="7"/>
        <v>0</v>
      </c>
      <c r="S35" s="147"/>
      <c r="T35" s="147"/>
      <c r="U35" s="143"/>
    </row>
    <row r="36" spans="1:21" s="144" customFormat="1">
      <c r="A36" s="283" t="s">
        <v>1628</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31780843</v>
      </c>
      <c r="C38" s="146">
        <f>SUM(C29:C37)</f>
        <v>31780843</v>
      </c>
      <c r="D38" s="146">
        <f t="shared" ref="D38:Q38" si="8">SUM(D29:D37)</f>
        <v>0</v>
      </c>
      <c r="E38" s="146">
        <f t="shared" si="8"/>
        <v>280843</v>
      </c>
      <c r="F38" s="146">
        <f t="shared" si="8"/>
        <v>19500000</v>
      </c>
      <c r="G38" s="146">
        <f t="shared" si="8"/>
        <v>12000000</v>
      </c>
      <c r="H38" s="146">
        <f t="shared" si="8"/>
        <v>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31780843</v>
      </c>
      <c r="S38" s="150">
        <f>SUM(S29:S37)</f>
        <v>31780843</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600000</v>
      </c>
      <c r="C40" s="147">
        <v>600000</v>
      </c>
      <c r="D40" s="147"/>
      <c r="E40" s="147">
        <v>600000</v>
      </c>
      <c r="F40" s="147"/>
      <c r="G40" s="147"/>
      <c r="H40" s="147"/>
      <c r="I40" s="147"/>
      <c r="J40" s="147"/>
      <c r="K40" s="147"/>
      <c r="L40" s="147"/>
      <c r="M40" s="147"/>
      <c r="N40" s="147"/>
      <c r="O40" s="147"/>
      <c r="P40" s="147"/>
      <c r="Q40" s="147"/>
      <c r="R40" s="512">
        <f>SUM(E40:Q40)</f>
        <v>600000</v>
      </c>
      <c r="S40" s="147">
        <v>600000</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600000</v>
      </c>
      <c r="C42" s="146">
        <f>SUM(C39:C41)</f>
        <v>600000</v>
      </c>
      <c r="D42" s="146">
        <f>SUM(D39:D41)</f>
        <v>0</v>
      </c>
      <c r="E42" s="146">
        <f t="shared" ref="E42:T42" si="9">SUM(E40:E41)</f>
        <v>600000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600000</v>
      </c>
      <c r="S42" s="150">
        <f t="shared" si="9"/>
        <v>600000</v>
      </c>
      <c r="T42" s="150">
        <f t="shared" si="9"/>
        <v>0</v>
      </c>
      <c r="U42" s="143"/>
    </row>
    <row r="43" spans="1:21" s="144" customFormat="1">
      <c r="A43" s="149" t="s">
        <v>148</v>
      </c>
      <c r="B43" s="146">
        <f>SUM(C43:D43)</f>
        <v>300000</v>
      </c>
      <c r="C43" s="147">
        <v>300000</v>
      </c>
      <c r="D43" s="147"/>
      <c r="E43" s="147">
        <v>300000</v>
      </c>
      <c r="F43" s="147"/>
      <c r="G43" s="147"/>
      <c r="H43" s="147"/>
      <c r="I43" s="147"/>
      <c r="J43" s="147"/>
      <c r="K43" s="147"/>
      <c r="L43" s="147"/>
      <c r="M43" s="147"/>
      <c r="N43" s="147"/>
      <c r="O43" s="147"/>
      <c r="P43" s="147"/>
      <c r="Q43" s="147"/>
      <c r="R43" s="512">
        <f>SUM(E43:Q43)</f>
        <v>300000</v>
      </c>
      <c r="S43" s="147">
        <v>300000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3965000</v>
      </c>
      <c r="C45" s="147">
        <v>3965000</v>
      </c>
      <c r="D45" s="147"/>
      <c r="E45" s="147">
        <v>3965000</v>
      </c>
      <c r="F45" s="147"/>
      <c r="G45" s="147"/>
      <c r="H45" s="147"/>
      <c r="I45" s="147"/>
      <c r="J45" s="147"/>
      <c r="K45" s="147"/>
      <c r="L45" s="147"/>
      <c r="M45" s="147"/>
      <c r="N45" s="147"/>
      <c r="O45" s="147"/>
      <c r="P45" s="147"/>
      <c r="Q45" s="147"/>
      <c r="R45" s="512">
        <f t="shared" ref="R45:R53" si="11">SUM(E45:Q45)</f>
        <v>3965000</v>
      </c>
      <c r="S45" s="147">
        <f>975000+2490000</f>
        <v>3465000</v>
      </c>
      <c r="T45" s="147"/>
      <c r="U45" s="143"/>
    </row>
    <row r="46" spans="1:21" s="144" customFormat="1">
      <c r="A46" s="145" t="s">
        <v>151</v>
      </c>
      <c r="B46" s="146">
        <f t="shared" si="10"/>
        <v>0</v>
      </c>
      <c r="C46" s="147"/>
      <c r="D46" s="147"/>
      <c r="E46" s="147"/>
      <c r="F46" s="147"/>
      <c r="G46" s="147"/>
      <c r="H46" s="147"/>
      <c r="I46" s="147"/>
      <c r="J46" s="147"/>
      <c r="K46" s="147"/>
      <c r="L46" s="147"/>
      <c r="M46" s="147"/>
      <c r="N46" s="147"/>
      <c r="O46" s="147"/>
      <c r="P46" s="147"/>
      <c r="Q46" s="147"/>
      <c r="R46" s="512">
        <f t="shared" si="11"/>
        <v>0</v>
      </c>
      <c r="S46" s="147"/>
      <c r="T46" s="147"/>
      <c r="U46" s="143"/>
    </row>
    <row r="47" spans="1:21" s="144" customFormat="1">
      <c r="A47" s="186" t="s">
        <v>152</v>
      </c>
      <c r="B47" s="146">
        <f t="shared" si="10"/>
        <v>111750</v>
      </c>
      <c r="C47" s="147">
        <v>111750</v>
      </c>
      <c r="D47" s="147"/>
      <c r="E47" s="147">
        <v>111750</v>
      </c>
      <c r="F47" s="147"/>
      <c r="G47" s="147"/>
      <c r="H47" s="147"/>
      <c r="I47" s="147"/>
      <c r="J47" s="147"/>
      <c r="K47" s="147"/>
      <c r="L47" s="147"/>
      <c r="M47" s="147"/>
      <c r="N47" s="147"/>
      <c r="O47" s="147"/>
      <c r="P47" s="147"/>
      <c r="Q47" s="147"/>
      <c r="R47" s="512">
        <f t="shared" si="11"/>
        <v>111750</v>
      </c>
      <c r="S47" s="147">
        <v>111750</v>
      </c>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0</v>
      </c>
      <c r="C49" s="147"/>
      <c r="D49" s="147"/>
      <c r="E49" s="147"/>
      <c r="F49" s="147"/>
      <c r="G49" s="147"/>
      <c r="H49" s="147"/>
      <c r="I49" s="147"/>
      <c r="J49" s="147"/>
      <c r="K49" s="147"/>
      <c r="L49" s="147"/>
      <c r="M49" s="147"/>
      <c r="N49" s="147"/>
      <c r="O49" s="147"/>
      <c r="P49" s="147"/>
      <c r="Q49" s="147"/>
      <c r="R49" s="512">
        <f t="shared" si="11"/>
        <v>0</v>
      </c>
      <c r="S49" s="147"/>
      <c r="T49" s="147"/>
      <c r="U49" s="143"/>
    </row>
    <row r="50" spans="1:21" s="144" customFormat="1">
      <c r="A50" s="145" t="s">
        <v>156</v>
      </c>
      <c r="B50" s="146">
        <f t="shared" si="10"/>
        <v>120000</v>
      </c>
      <c r="C50" s="147">
        <v>120000</v>
      </c>
      <c r="D50" s="147"/>
      <c r="E50" s="147">
        <v>120000</v>
      </c>
      <c r="F50" s="147"/>
      <c r="G50" s="147"/>
      <c r="H50" s="147"/>
      <c r="I50" s="147"/>
      <c r="J50" s="147"/>
      <c r="K50" s="147"/>
      <c r="L50" s="147"/>
      <c r="M50" s="147"/>
      <c r="N50" s="147"/>
      <c r="O50" s="147"/>
      <c r="P50" s="147"/>
      <c r="Q50" s="147"/>
      <c r="R50" s="512">
        <f t="shared" si="11"/>
        <v>120000</v>
      </c>
      <c r="S50" s="147">
        <v>120000</v>
      </c>
      <c r="T50" s="147"/>
      <c r="U50" s="143"/>
    </row>
    <row r="51" spans="1:21" s="144" customFormat="1">
      <c r="A51" s="283" t="s">
        <v>154</v>
      </c>
      <c r="B51" s="146">
        <f t="shared" si="10"/>
        <v>180000</v>
      </c>
      <c r="C51" s="147">
        <v>180000</v>
      </c>
      <c r="D51" s="147"/>
      <c r="E51" s="147">
        <v>180000</v>
      </c>
      <c r="F51" s="147"/>
      <c r="G51" s="147"/>
      <c r="H51" s="147"/>
      <c r="I51" s="147"/>
      <c r="J51" s="147"/>
      <c r="K51" s="147"/>
      <c r="L51" s="147"/>
      <c r="M51" s="147"/>
      <c r="N51" s="147"/>
      <c r="O51" s="147"/>
      <c r="P51" s="147"/>
      <c r="Q51" s="147"/>
      <c r="R51" s="512">
        <f t="shared" si="11"/>
        <v>180000</v>
      </c>
      <c r="S51" s="147">
        <v>180000</v>
      </c>
      <c r="T51" s="147"/>
      <c r="U51" s="143"/>
    </row>
    <row r="52" spans="1:21" s="144" customFormat="1">
      <c r="A52" s="145" t="s">
        <v>155</v>
      </c>
      <c r="B52" s="146">
        <f t="shared" si="10"/>
        <v>511900</v>
      </c>
      <c r="C52" s="147">
        <v>511900</v>
      </c>
      <c r="D52" s="147"/>
      <c r="E52" s="147">
        <v>511900</v>
      </c>
      <c r="F52" s="147"/>
      <c r="G52" s="147"/>
      <c r="H52" s="147"/>
      <c r="I52" s="147"/>
      <c r="J52" s="147"/>
      <c r="K52" s="147"/>
      <c r="L52" s="147"/>
      <c r="M52" s="147"/>
      <c r="N52" s="147"/>
      <c r="O52" s="147"/>
      <c r="P52" s="147"/>
      <c r="Q52" s="147"/>
      <c r="R52" s="512">
        <f t="shared" si="11"/>
        <v>511900</v>
      </c>
      <c r="S52" s="147">
        <v>511900</v>
      </c>
      <c r="T52" s="147"/>
      <c r="U52" s="143"/>
    </row>
    <row r="53" spans="1:21" s="144" customFormat="1">
      <c r="A53" s="1138" t="s">
        <v>2799</v>
      </c>
      <c r="B53" s="146">
        <f t="shared" si="10"/>
        <v>120000</v>
      </c>
      <c r="C53" s="147">
        <v>120000</v>
      </c>
      <c r="D53" s="147"/>
      <c r="E53" s="147">
        <v>120000</v>
      </c>
      <c r="F53" s="147"/>
      <c r="G53" s="147"/>
      <c r="H53" s="147"/>
      <c r="I53" s="147"/>
      <c r="J53" s="147"/>
      <c r="K53" s="147"/>
      <c r="L53" s="147"/>
      <c r="M53" s="147"/>
      <c r="N53" s="147"/>
      <c r="O53" s="147"/>
      <c r="P53" s="147"/>
      <c r="Q53" s="147"/>
      <c r="R53" s="512">
        <f t="shared" si="11"/>
        <v>120000</v>
      </c>
      <c r="S53" s="147">
        <v>120000</v>
      </c>
      <c r="T53" s="147"/>
      <c r="U53" s="143"/>
    </row>
    <row r="54" spans="1:21" s="153" customFormat="1">
      <c r="A54" s="149" t="s">
        <v>157</v>
      </c>
      <c r="B54" s="150">
        <f>SUM(C54:D54)</f>
        <v>5008650</v>
      </c>
      <c r="C54" s="150">
        <f t="shared" ref="C54:T54" si="12">SUM(C45:C53)</f>
        <v>5008650</v>
      </c>
      <c r="D54" s="150">
        <f t="shared" si="12"/>
        <v>0</v>
      </c>
      <c r="E54" s="150">
        <f t="shared" si="12"/>
        <v>5008650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5008650</v>
      </c>
      <c r="S54" s="150">
        <f t="shared" si="12"/>
        <v>4508650</v>
      </c>
      <c r="T54" s="150">
        <f t="shared" si="12"/>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0</v>
      </c>
      <c r="C56" s="147"/>
      <c r="D56" s="147"/>
      <c r="E56" s="147"/>
      <c r="F56" s="147"/>
      <c r="G56" s="147"/>
      <c r="H56" s="147"/>
      <c r="I56" s="147"/>
      <c r="J56" s="147"/>
      <c r="K56" s="147"/>
      <c r="L56" s="147"/>
      <c r="M56" s="147"/>
      <c r="N56" s="147"/>
      <c r="O56" s="147"/>
      <c r="P56" s="147"/>
      <c r="Q56" s="147"/>
      <c r="R56" s="512">
        <f t="shared" ref="R56:R61" si="14">SUM(E56:Q56)</f>
        <v>0</v>
      </c>
      <c r="S56" s="148"/>
      <c r="T56" s="148"/>
      <c r="U56" s="143"/>
    </row>
    <row r="57" spans="1:21" s="192" customFormat="1">
      <c r="A57" s="186" t="s">
        <v>152</v>
      </c>
      <c r="B57" s="193">
        <f t="shared" si="13"/>
        <v>147500</v>
      </c>
      <c r="C57" s="190">
        <f>97500+50000</f>
        <v>147500</v>
      </c>
      <c r="D57" s="190"/>
      <c r="E57" s="190">
        <f>97500+50000</f>
        <v>147500</v>
      </c>
      <c r="F57" s="190"/>
      <c r="G57" s="190"/>
      <c r="H57" s="190"/>
      <c r="I57" s="190"/>
      <c r="J57" s="190"/>
      <c r="K57" s="190"/>
      <c r="L57" s="190"/>
      <c r="M57" s="190"/>
      <c r="N57" s="190"/>
      <c r="O57" s="190"/>
      <c r="P57" s="190"/>
      <c r="Q57" s="190"/>
      <c r="R57" s="512">
        <f t="shared" si="14"/>
        <v>147500</v>
      </c>
      <c r="S57" s="194"/>
      <c r="T57" s="194"/>
      <c r="U57" s="191"/>
    </row>
    <row r="58" spans="1:21" s="144" customFormat="1">
      <c r="A58" s="145" t="s">
        <v>156</v>
      </c>
      <c r="B58" s="146">
        <f t="shared" si="13"/>
        <v>0</v>
      </c>
      <c r="C58" s="147"/>
      <c r="D58" s="147"/>
      <c r="E58" s="147"/>
      <c r="F58" s="147"/>
      <c r="G58" s="147"/>
      <c r="H58" s="147"/>
      <c r="I58" s="147"/>
      <c r="J58" s="147"/>
      <c r="K58" s="147"/>
      <c r="L58" s="147"/>
      <c r="M58" s="147"/>
      <c r="N58" s="147"/>
      <c r="O58" s="147"/>
      <c r="P58" s="147"/>
      <c r="Q58" s="147"/>
      <c r="R58" s="512">
        <f t="shared" si="14"/>
        <v>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 customHeight="1">
      <c r="A62" s="149" t="s">
        <v>301</v>
      </c>
      <c r="B62" s="146">
        <f>SUM(C62:D62)</f>
        <v>147500</v>
      </c>
      <c r="C62" s="146">
        <f t="shared" ref="C62:R62" si="15">SUM(C56:C61)</f>
        <v>147500</v>
      </c>
      <c r="D62" s="146">
        <f t="shared" si="15"/>
        <v>0</v>
      </c>
      <c r="E62" s="146">
        <f t="shared" si="15"/>
        <v>147500</v>
      </c>
      <c r="F62" s="146">
        <f t="shared" si="15"/>
        <v>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147500</v>
      </c>
      <c r="S62" s="148"/>
      <c r="T62" s="148"/>
      <c r="U62" s="143"/>
    </row>
    <row r="63" spans="1:21" s="144" customFormat="1">
      <c r="A63" s="154" t="s">
        <v>302</v>
      </c>
      <c r="B63" s="146">
        <f t="shared" ref="B63:R63" si="16">SUM(B8+B11+B13+B14+B15+B26+B27+B38+B42+B43+B54+B62)</f>
        <v>42437229</v>
      </c>
      <c r="C63" s="146">
        <f t="shared" si="16"/>
        <v>42437229</v>
      </c>
      <c r="D63" s="146">
        <f t="shared" si="16"/>
        <v>0</v>
      </c>
      <c r="E63" s="146">
        <f t="shared" si="16"/>
        <v>10937229</v>
      </c>
      <c r="F63" s="146">
        <f t="shared" si="16"/>
        <v>19500000</v>
      </c>
      <c r="G63" s="146">
        <f t="shared" si="16"/>
        <v>12000000</v>
      </c>
      <c r="H63" s="146">
        <f t="shared" si="16"/>
        <v>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42437229</v>
      </c>
      <c r="S63" s="146">
        <f>SUM(S10+S13+S14+S15+S26+S27+S38+S42+S43+S54)</f>
        <v>37284729</v>
      </c>
      <c r="T63" s="146">
        <f>SUM(T11+T13+T14+T15+T26+T27+T38+T42+T43+T54)</f>
        <v>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120000</v>
      </c>
      <c r="C65" s="147">
        <f>120000</f>
        <v>120000</v>
      </c>
      <c r="D65" s="147"/>
      <c r="E65" s="147">
        <f>120000</f>
        <v>120000</v>
      </c>
      <c r="F65" s="147"/>
      <c r="G65" s="147"/>
      <c r="H65" s="147"/>
      <c r="I65" s="147"/>
      <c r="J65" s="147"/>
      <c r="K65" s="147"/>
      <c r="L65" s="147"/>
      <c r="M65" s="147"/>
      <c r="N65" s="147"/>
      <c r="O65" s="147"/>
      <c r="P65" s="147"/>
      <c r="Q65" s="147"/>
      <c r="R65" s="512">
        <f>SUM(E65:Q65)</f>
        <v>120000</v>
      </c>
      <c r="S65" s="147">
        <v>120000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ht="36">
      <c r="A69" s="1138" t="s">
        <v>2800</v>
      </c>
      <c r="B69" s="146">
        <f>SUM(C69+D69)</f>
        <v>235000</v>
      </c>
      <c r="C69" s="147">
        <f>110000+100000+25000</f>
        <v>235000</v>
      </c>
      <c r="D69" s="147"/>
      <c r="E69" s="147">
        <f>110000+100000+25000</f>
        <v>235000</v>
      </c>
      <c r="F69" s="147"/>
      <c r="G69" s="147"/>
      <c r="H69" s="147"/>
      <c r="I69" s="147"/>
      <c r="J69" s="147"/>
      <c r="K69" s="147"/>
      <c r="L69" s="147"/>
      <c r="M69" s="147"/>
      <c r="N69" s="147"/>
      <c r="O69" s="147"/>
      <c r="P69" s="147"/>
      <c r="Q69" s="147"/>
      <c r="R69" s="512">
        <f>SUM(E69:Q69)</f>
        <v>235000</v>
      </c>
      <c r="S69" s="147">
        <f>100000+25000</f>
        <v>125000</v>
      </c>
      <c r="T69" s="147"/>
      <c r="U69" s="143"/>
    </row>
    <row r="70" spans="1:21" s="144" customFormat="1">
      <c r="A70" s="149" t="s">
        <v>1633</v>
      </c>
      <c r="B70" s="146">
        <f>SUM(C70:D70)</f>
        <v>355000</v>
      </c>
      <c r="C70" s="146">
        <f>SUM(C65:C69)</f>
        <v>355000</v>
      </c>
      <c r="D70" s="146">
        <f>SUM(D65:D69)</f>
        <v>0</v>
      </c>
      <c r="E70" s="146">
        <f t="shared" ref="E70:T70" si="17">SUM(E65:E69)</f>
        <v>355000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355000</v>
      </c>
      <c r="S70" s="150">
        <f t="shared" si="17"/>
        <v>245000</v>
      </c>
      <c r="T70" s="150">
        <f t="shared" si="17"/>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544992</v>
      </c>
      <c r="C75" s="147">
        <v>544992</v>
      </c>
      <c r="D75" s="147"/>
      <c r="E75" s="147">
        <v>544992</v>
      </c>
      <c r="F75" s="147"/>
      <c r="G75" s="147"/>
      <c r="H75" s="147"/>
      <c r="I75" s="147"/>
      <c r="J75" s="147"/>
      <c r="K75" s="147"/>
      <c r="L75" s="147"/>
      <c r="M75" s="147"/>
      <c r="N75" s="147"/>
      <c r="O75" s="147"/>
      <c r="P75" s="147"/>
      <c r="Q75" s="147"/>
      <c r="R75" s="512">
        <f>SUM(E75:Q75)</f>
        <v>544992</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544992</v>
      </c>
      <c r="C77" s="146">
        <f>SUM(C72:C76)</f>
        <v>544992</v>
      </c>
      <c r="D77" s="146">
        <f>SUM(D72:D76)</f>
        <v>0</v>
      </c>
      <c r="E77" s="146">
        <f t="shared" ref="E77:Q77" si="18">SUM(E72:E76)</f>
        <v>544992</v>
      </c>
      <c r="F77" s="146">
        <f t="shared" si="18"/>
        <v>0</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544992</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2250000</v>
      </c>
      <c r="C79" s="147">
        <v>2250000</v>
      </c>
      <c r="D79" s="147"/>
      <c r="E79" s="147">
        <v>2250000</v>
      </c>
      <c r="F79" s="147"/>
      <c r="G79" s="147"/>
      <c r="H79" s="147"/>
      <c r="I79" s="147"/>
      <c r="J79" s="147"/>
      <c r="K79" s="147"/>
      <c r="L79" s="147"/>
      <c r="M79" s="147"/>
      <c r="N79" s="147"/>
      <c r="O79" s="147"/>
      <c r="P79" s="147"/>
      <c r="Q79" s="147"/>
      <c r="R79" s="512">
        <f>SUM(E79:Q79)</f>
        <v>2250000</v>
      </c>
      <c r="S79" s="147">
        <v>2250000</v>
      </c>
      <c r="T79" s="147"/>
      <c r="U79" s="143"/>
    </row>
    <row r="80" spans="1:21" s="144" customFormat="1">
      <c r="A80" s="283" t="s">
        <v>58</v>
      </c>
      <c r="B80" s="146">
        <f>SUM(C80:D80)</f>
        <v>1180636</v>
      </c>
      <c r="C80" s="147">
        <v>1180636</v>
      </c>
      <c r="D80" s="147"/>
      <c r="E80" s="147">
        <v>1180636</v>
      </c>
      <c r="F80" s="147"/>
      <c r="G80" s="147"/>
      <c r="H80" s="147"/>
      <c r="I80" s="147"/>
      <c r="J80" s="147"/>
      <c r="K80" s="147"/>
      <c r="L80" s="147"/>
      <c r="M80" s="147"/>
      <c r="N80" s="147"/>
      <c r="O80" s="147"/>
      <c r="P80" s="147"/>
      <c r="Q80" s="147"/>
      <c r="R80" s="512">
        <f>SUM(E80:Q80)</f>
        <v>1180636</v>
      </c>
      <c r="S80" s="147">
        <v>1180636</v>
      </c>
      <c r="T80" s="147"/>
      <c r="U80" s="143"/>
    </row>
    <row r="81" spans="1:21" s="144" customFormat="1">
      <c r="A81" s="149" t="s">
        <v>1208</v>
      </c>
      <c r="B81" s="146">
        <f>SUM(C81:D81)</f>
        <v>3430636</v>
      </c>
      <c r="C81" s="505">
        <f>SUM(C79:C80)</f>
        <v>3430636</v>
      </c>
      <c r="D81" s="505">
        <f t="shared" ref="D81:T81" si="19">SUM(D79:D80)</f>
        <v>0</v>
      </c>
      <c r="E81" s="505">
        <f t="shared" si="19"/>
        <v>3430636</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3430636</v>
      </c>
      <c r="S81" s="505">
        <f t="shared" si="19"/>
        <v>3430636</v>
      </c>
      <c r="T81" s="505">
        <f t="shared" si="19"/>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0">SUM(C83+D83)</f>
        <v>71795</v>
      </c>
      <c r="C83" s="147">
        <v>71795</v>
      </c>
      <c r="D83" s="147"/>
      <c r="E83" s="147">
        <v>71795</v>
      </c>
      <c r="F83" s="147"/>
      <c r="G83" s="147"/>
      <c r="H83" s="147"/>
      <c r="I83" s="147"/>
      <c r="J83" s="147"/>
      <c r="K83" s="147"/>
      <c r="L83" s="147"/>
      <c r="M83" s="147"/>
      <c r="N83" s="147"/>
      <c r="O83" s="147"/>
      <c r="P83" s="147"/>
      <c r="Q83" s="147"/>
      <c r="R83" s="512">
        <f t="shared" ref="R83:R95" si="21">SUM(E83:Q83)</f>
        <v>71795</v>
      </c>
      <c r="S83" s="148"/>
      <c r="T83" s="148"/>
      <c r="U83" s="143"/>
    </row>
    <row r="84" spans="1:21" s="144" customFormat="1">
      <c r="A84" s="145" t="s">
        <v>767</v>
      </c>
      <c r="B84" s="146">
        <f t="shared" si="20"/>
        <v>0</v>
      </c>
      <c r="C84" s="147"/>
      <c r="D84" s="147"/>
      <c r="E84" s="147"/>
      <c r="F84" s="147"/>
      <c r="G84" s="147"/>
      <c r="H84" s="147"/>
      <c r="I84" s="147"/>
      <c r="J84" s="147"/>
      <c r="K84" s="147"/>
      <c r="L84" s="147"/>
      <c r="M84" s="147"/>
      <c r="N84" s="147"/>
      <c r="O84" s="147"/>
      <c r="P84" s="147"/>
      <c r="Q84" s="147"/>
      <c r="R84" s="512">
        <f t="shared" si="21"/>
        <v>0</v>
      </c>
      <c r="S84" s="147"/>
      <c r="T84" s="147"/>
      <c r="U84" s="143"/>
    </row>
    <row r="85" spans="1:21" s="144" customFormat="1">
      <c r="A85" s="145" t="s">
        <v>768</v>
      </c>
      <c r="B85" s="146">
        <f t="shared" si="20"/>
        <v>2307529</v>
      </c>
      <c r="C85" s="147">
        <v>2307529</v>
      </c>
      <c r="D85" s="147"/>
      <c r="E85" s="147">
        <v>2307529</v>
      </c>
      <c r="F85" s="147"/>
      <c r="G85" s="147"/>
      <c r="H85" s="147"/>
      <c r="I85" s="147"/>
      <c r="J85" s="147"/>
      <c r="K85" s="147"/>
      <c r="L85" s="147"/>
      <c r="M85" s="147"/>
      <c r="N85" s="147"/>
      <c r="O85" s="147"/>
      <c r="P85" s="147"/>
      <c r="Q85" s="147"/>
      <c r="R85" s="512">
        <f t="shared" si="21"/>
        <v>2307529</v>
      </c>
      <c r="S85" s="147">
        <v>2307529</v>
      </c>
      <c r="T85" s="147"/>
      <c r="U85" s="143"/>
    </row>
    <row r="86" spans="1:21" s="144" customFormat="1">
      <c r="A86" s="145" t="s">
        <v>769</v>
      </c>
      <c r="B86" s="146">
        <f t="shared" si="20"/>
        <v>0</v>
      </c>
      <c r="C86" s="147"/>
      <c r="D86" s="147"/>
      <c r="E86" s="147"/>
      <c r="F86" s="147"/>
      <c r="G86" s="147"/>
      <c r="H86" s="147"/>
      <c r="I86" s="147"/>
      <c r="J86" s="147"/>
      <c r="K86" s="147"/>
      <c r="L86" s="147"/>
      <c r="M86" s="147"/>
      <c r="N86" s="147"/>
      <c r="O86" s="147"/>
      <c r="P86" s="147"/>
      <c r="Q86" s="147"/>
      <c r="R86" s="512">
        <f t="shared" si="21"/>
        <v>0</v>
      </c>
      <c r="S86" s="147"/>
      <c r="T86" s="147"/>
      <c r="U86" s="143"/>
    </row>
    <row r="87" spans="1:21" s="144" customFormat="1">
      <c r="A87" s="145" t="s">
        <v>770</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771</v>
      </c>
      <c r="B88" s="146">
        <f t="shared" si="20"/>
        <v>171458</v>
      </c>
      <c r="C88" s="147">
        <v>171458</v>
      </c>
      <c r="D88" s="147"/>
      <c r="E88" s="147">
        <v>171458</v>
      </c>
      <c r="F88" s="147"/>
      <c r="G88" s="147"/>
      <c r="H88" s="147"/>
      <c r="I88" s="147"/>
      <c r="J88" s="147"/>
      <c r="K88" s="147"/>
      <c r="L88" s="147"/>
      <c r="M88" s="147"/>
      <c r="N88" s="147"/>
      <c r="O88" s="147"/>
      <c r="P88" s="147"/>
      <c r="Q88" s="147"/>
      <c r="R88" s="512">
        <f t="shared" si="21"/>
        <v>171458</v>
      </c>
      <c r="S88" s="148"/>
      <c r="T88" s="148"/>
      <c r="U88" s="143"/>
    </row>
    <row r="89" spans="1:21" s="144" customFormat="1">
      <c r="A89" s="145" t="s">
        <v>772</v>
      </c>
      <c r="B89" s="146">
        <f t="shared" si="20"/>
        <v>50000</v>
      </c>
      <c r="C89" s="147">
        <v>50000</v>
      </c>
      <c r="D89" s="147"/>
      <c r="E89" s="147">
        <v>50000</v>
      </c>
      <c r="F89" s="147"/>
      <c r="G89" s="147"/>
      <c r="H89" s="147"/>
      <c r="I89" s="147"/>
      <c r="J89" s="147"/>
      <c r="K89" s="147"/>
      <c r="L89" s="147"/>
      <c r="M89" s="147"/>
      <c r="N89" s="147"/>
      <c r="O89" s="147"/>
      <c r="P89" s="147"/>
      <c r="Q89" s="147"/>
      <c r="R89" s="512">
        <f t="shared" si="21"/>
        <v>50000</v>
      </c>
      <c r="S89" s="147">
        <v>50000</v>
      </c>
      <c r="T89" s="147"/>
      <c r="U89" s="143"/>
    </row>
    <row r="90" spans="1:21" s="144" customFormat="1">
      <c r="A90" s="145" t="s">
        <v>773</v>
      </c>
      <c r="B90" s="146">
        <f t="shared" si="20"/>
        <v>25000</v>
      </c>
      <c r="C90" s="147">
        <v>25000</v>
      </c>
      <c r="D90" s="147"/>
      <c r="E90" s="147">
        <v>25000</v>
      </c>
      <c r="F90" s="147"/>
      <c r="G90" s="147"/>
      <c r="H90" s="147"/>
      <c r="I90" s="147"/>
      <c r="J90" s="147"/>
      <c r="K90" s="147"/>
      <c r="L90" s="147"/>
      <c r="M90" s="147"/>
      <c r="N90" s="147"/>
      <c r="O90" s="147"/>
      <c r="P90" s="147"/>
      <c r="Q90" s="147"/>
      <c r="R90" s="512">
        <f t="shared" si="21"/>
        <v>25000</v>
      </c>
      <c r="S90" s="147">
        <v>25000</v>
      </c>
      <c r="T90" s="147"/>
      <c r="U90" s="143"/>
    </row>
    <row r="91" spans="1:21" s="144" customFormat="1">
      <c r="A91" s="145" t="s">
        <v>372</v>
      </c>
      <c r="B91" s="146">
        <f t="shared" si="20"/>
        <v>0</v>
      </c>
      <c r="C91" s="147"/>
      <c r="D91" s="147"/>
      <c r="E91" s="147"/>
      <c r="F91" s="147"/>
      <c r="G91" s="147"/>
      <c r="H91" s="147"/>
      <c r="I91" s="147"/>
      <c r="J91" s="147"/>
      <c r="K91" s="147"/>
      <c r="L91" s="147"/>
      <c r="M91" s="147"/>
      <c r="N91" s="147"/>
      <c r="O91" s="147"/>
      <c r="P91" s="147"/>
      <c r="Q91" s="147"/>
      <c r="R91" s="512">
        <f t="shared" si="21"/>
        <v>0</v>
      </c>
      <c r="S91" s="147"/>
      <c r="T91" s="147"/>
      <c r="U91" s="143"/>
    </row>
    <row r="92" spans="1:21" s="144" customFormat="1">
      <c r="A92" s="283" t="s">
        <v>1210</v>
      </c>
      <c r="B92" s="146">
        <f t="shared" si="20"/>
        <v>0</v>
      </c>
      <c r="C92" s="147"/>
      <c r="D92" s="147"/>
      <c r="E92" s="147"/>
      <c r="F92" s="147"/>
      <c r="G92" s="147"/>
      <c r="H92" s="147"/>
      <c r="I92" s="147"/>
      <c r="J92" s="147"/>
      <c r="K92" s="147"/>
      <c r="L92" s="147"/>
      <c r="M92" s="147"/>
      <c r="N92" s="147"/>
      <c r="O92" s="147"/>
      <c r="P92" s="147"/>
      <c r="Q92" s="147"/>
      <c r="R92" s="512">
        <f t="shared" si="21"/>
        <v>0</v>
      </c>
      <c r="S92" s="147"/>
      <c r="T92" s="147"/>
      <c r="U92" s="143"/>
    </row>
    <row r="93" spans="1:21" s="144" customFormat="1">
      <c r="A93" s="1138" t="s">
        <v>2801</v>
      </c>
      <c r="B93" s="146">
        <f t="shared" si="20"/>
        <v>10000</v>
      </c>
      <c r="C93" s="147">
        <v>10000</v>
      </c>
      <c r="D93" s="147"/>
      <c r="E93" s="147">
        <v>10000</v>
      </c>
      <c r="F93" s="147"/>
      <c r="G93" s="147"/>
      <c r="H93" s="147"/>
      <c r="I93" s="147"/>
      <c r="J93" s="147"/>
      <c r="K93" s="147"/>
      <c r="L93" s="147"/>
      <c r="M93" s="147"/>
      <c r="N93" s="147"/>
      <c r="O93" s="147"/>
      <c r="P93" s="147"/>
      <c r="Q93" s="147"/>
      <c r="R93" s="512">
        <f t="shared" si="21"/>
        <v>10000</v>
      </c>
      <c r="S93" s="147">
        <v>10000</v>
      </c>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774</v>
      </c>
      <c r="B96" s="146">
        <f>SUM(C96:D96)</f>
        <v>2635782</v>
      </c>
      <c r="C96" s="146">
        <f t="shared" ref="C96:R96" si="22">SUM(C83:C95)</f>
        <v>2635782</v>
      </c>
      <c r="D96" s="146">
        <f t="shared" si="22"/>
        <v>0</v>
      </c>
      <c r="E96" s="146">
        <f t="shared" si="22"/>
        <v>2635782</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2635782</v>
      </c>
      <c r="S96" s="150">
        <f>SUM(S84:S87,S89:S95)</f>
        <v>2392529</v>
      </c>
      <c r="T96" s="146">
        <f>SUM(T84:T87,T89:T95)</f>
        <v>0</v>
      </c>
      <c r="U96" s="143"/>
    </row>
    <row r="97" spans="1:21" s="144" customFormat="1">
      <c r="A97" s="149" t="s">
        <v>775</v>
      </c>
      <c r="B97" s="146">
        <f>SUM(C97:D97)</f>
        <v>49403639</v>
      </c>
      <c r="C97" s="146">
        <f t="shared" ref="C97:R97" si="23">SUM(C63+C70+C77+C81+C96)</f>
        <v>49403639</v>
      </c>
      <c r="D97" s="146">
        <f t="shared" si="23"/>
        <v>0</v>
      </c>
      <c r="E97" s="146">
        <f t="shared" si="23"/>
        <v>17903639</v>
      </c>
      <c r="F97" s="146">
        <f t="shared" si="23"/>
        <v>19500000</v>
      </c>
      <c r="G97" s="146">
        <f t="shared" si="23"/>
        <v>12000000</v>
      </c>
      <c r="H97" s="146">
        <f t="shared" si="23"/>
        <v>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49403639</v>
      </c>
      <c r="S97" s="146">
        <f>SUM(S63+S70+S81+S96)</f>
        <v>43352894</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6502934</v>
      </c>
      <c r="C99" s="969">
        <v>6502934</v>
      </c>
      <c r="D99" s="969"/>
      <c r="E99" s="969">
        <f>C99-H99</f>
        <v>2834311</v>
      </c>
      <c r="F99" s="147"/>
      <c r="G99" s="147"/>
      <c r="H99" s="147">
        <v>3668623</v>
      </c>
      <c r="I99" s="147"/>
      <c r="J99" s="147"/>
      <c r="K99" s="147"/>
      <c r="L99" s="147"/>
      <c r="M99" s="147"/>
      <c r="N99" s="147"/>
      <c r="O99" s="147"/>
      <c r="P99" s="147"/>
      <c r="Q99" s="147"/>
      <c r="R99" s="512">
        <f>SUM(E99:Q99)</f>
        <v>6502934</v>
      </c>
      <c r="S99" s="147">
        <v>6502934</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6502934</v>
      </c>
      <c r="C104" s="146">
        <f>SUM(C99:C103)</f>
        <v>6502934</v>
      </c>
      <c r="D104" s="146">
        <f t="shared" ref="D104:T104" si="24">SUM(D99:D103)</f>
        <v>0</v>
      </c>
      <c r="E104" s="146">
        <f t="shared" si="24"/>
        <v>2834311</v>
      </c>
      <c r="F104" s="146">
        <f t="shared" si="24"/>
        <v>0</v>
      </c>
      <c r="G104" s="146">
        <f t="shared" si="24"/>
        <v>0</v>
      </c>
      <c r="H104" s="146">
        <f t="shared" si="24"/>
        <v>3668623</v>
      </c>
      <c r="I104" s="146">
        <f t="shared" si="24"/>
        <v>0</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6502934</v>
      </c>
      <c r="S104" s="150">
        <f t="shared" si="24"/>
        <v>6502934</v>
      </c>
      <c r="T104" s="150">
        <f t="shared" si="24"/>
        <v>0</v>
      </c>
      <c r="U104" s="143"/>
    </row>
    <row r="105" spans="1:21" s="144" customFormat="1">
      <c r="A105" s="149" t="s">
        <v>780</v>
      </c>
      <c r="B105" s="150">
        <f>SUM(C105:D105)</f>
        <v>55906573</v>
      </c>
      <c r="C105" s="150">
        <f t="shared" ref="C105:R105" si="25">SUM(C97+C104)</f>
        <v>55906573</v>
      </c>
      <c r="D105" s="150">
        <f t="shared" si="25"/>
        <v>0</v>
      </c>
      <c r="E105" s="150">
        <f t="shared" si="25"/>
        <v>20737950</v>
      </c>
      <c r="F105" s="150">
        <f t="shared" si="25"/>
        <v>19500000</v>
      </c>
      <c r="G105" s="150">
        <f t="shared" si="25"/>
        <v>12000000</v>
      </c>
      <c r="H105" s="150">
        <f t="shared" si="25"/>
        <v>3668623</v>
      </c>
      <c r="I105" s="150">
        <f t="shared" si="25"/>
        <v>0</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55906573</v>
      </c>
      <c r="S105" s="150">
        <f>S97+S104</f>
        <v>49855828</v>
      </c>
      <c r="T105" s="150">
        <f>T97+T104</f>
        <v>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49855828</v>
      </c>
      <c r="T107" s="150">
        <f>T105+T106</f>
        <v>0</v>
      </c>
    </row>
    <row r="108" spans="1:21" s="189" customFormat="1">
      <c r="A108" s="162" t="s">
        <v>879</v>
      </c>
      <c r="B108" s="157"/>
      <c r="C108" s="157"/>
      <c r="D108" s="157"/>
      <c r="E108" s="301">
        <f>Application!AO648</f>
        <v>20737950</v>
      </c>
      <c r="F108" s="301">
        <f>Application!AO635</f>
        <v>19500000</v>
      </c>
      <c r="G108" s="301">
        <f>Application!AO636</f>
        <v>12000000</v>
      </c>
      <c r="H108" s="301">
        <f>Application!AO637</f>
        <v>3668623</v>
      </c>
      <c r="I108" s="301">
        <f>Application!AO638</f>
        <v>0</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891" t="s">
        <v>990</v>
      </c>
      <c r="E122" s="1891"/>
      <c r="F122" s="1891"/>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3" t="s">
        <v>1223</v>
      </c>
      <c r="E123" s="1742"/>
      <c r="F123" s="1742"/>
      <c r="G123" s="1742"/>
      <c r="H123" s="1742"/>
      <c r="I123" s="1742"/>
      <c r="J123" s="1742"/>
      <c r="K123" s="1742"/>
      <c r="L123" s="1742"/>
      <c r="M123" s="1742"/>
      <c r="N123" s="1742"/>
      <c r="O123" s="1742"/>
      <c r="P123" s="1742"/>
      <c r="Q123" s="1742"/>
      <c r="R123" s="1742"/>
      <c r="S123" s="1742"/>
      <c r="T123" s="321"/>
      <c r="U123" s="323"/>
    </row>
    <row r="124" spans="1:21" ht="12.75">
      <c r="A124" s="117" t="s">
        <v>992</v>
      </c>
      <c r="B124" s="330"/>
      <c r="C124" s="117"/>
      <c r="D124" s="1742"/>
      <c r="E124" s="1742"/>
      <c r="F124" s="1742"/>
      <c r="G124" s="1742"/>
      <c r="H124" s="1742"/>
      <c r="I124" s="1742"/>
      <c r="J124" s="1742"/>
      <c r="K124" s="1742"/>
      <c r="L124" s="1742"/>
      <c r="M124" s="1742"/>
      <c r="N124" s="1742"/>
      <c r="O124" s="1742"/>
      <c r="P124" s="1742"/>
      <c r="Q124" s="1742"/>
      <c r="R124" s="1742"/>
      <c r="S124" s="1742"/>
      <c r="T124" s="321"/>
      <c r="U124" s="323"/>
    </row>
    <row r="125" spans="1:21" ht="12.75">
      <c r="A125" s="117" t="s">
        <v>993</v>
      </c>
      <c r="B125" s="330"/>
      <c r="C125" s="117"/>
      <c r="D125" s="1742"/>
      <c r="E125" s="1742"/>
      <c r="F125" s="1742"/>
      <c r="G125" s="1742"/>
      <c r="H125" s="1742"/>
      <c r="I125" s="1742"/>
      <c r="J125" s="1742"/>
      <c r="K125" s="1742"/>
      <c r="L125" s="1742"/>
      <c r="M125" s="1742"/>
      <c r="N125" s="1742"/>
      <c r="O125" s="1742"/>
      <c r="P125" s="1742"/>
      <c r="Q125" s="1742"/>
      <c r="R125" s="1742"/>
      <c r="S125" s="1742"/>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88"/>
      <c r="E128" s="1888"/>
      <c r="F128" s="1888"/>
      <c r="G128" s="1888"/>
      <c r="H128" s="1888"/>
      <c r="I128" s="117"/>
      <c r="J128" s="1889"/>
      <c r="K128" s="1889"/>
      <c r="L128" s="117"/>
      <c r="M128" s="117"/>
      <c r="N128" s="117"/>
      <c r="O128" s="117"/>
      <c r="P128" s="117"/>
      <c r="Q128" s="117"/>
      <c r="R128" s="117"/>
      <c r="S128" s="117"/>
      <c r="T128" s="321"/>
      <c r="U128" s="323"/>
    </row>
    <row r="129" spans="1:21" ht="12.75">
      <c r="A129" s="117" t="s">
        <v>300</v>
      </c>
      <c r="B129" s="330"/>
      <c r="C129" s="117"/>
      <c r="D129" s="1890" t="s">
        <v>997</v>
      </c>
      <c r="E129" s="1890"/>
      <c r="F129" s="1890"/>
      <c r="G129" s="1890"/>
      <c r="H129" s="1890"/>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761"/>
      <c r="E131" s="1761"/>
      <c r="F131" s="1761"/>
      <c r="G131" s="1761"/>
      <c r="H131" s="1761"/>
      <c r="I131" s="117"/>
      <c r="J131" s="1761"/>
      <c r="K131" s="1761"/>
      <c r="L131" s="1761"/>
      <c r="M131" s="1761"/>
      <c r="N131" s="117"/>
      <c r="O131" s="117"/>
      <c r="P131" s="117"/>
      <c r="Q131" s="117"/>
      <c r="R131" s="117"/>
      <c r="S131" s="117"/>
      <c r="T131" s="321"/>
      <c r="U131" s="323"/>
    </row>
    <row r="132" spans="1:21" ht="12" customHeight="1">
      <c r="A132" s="333"/>
      <c r="B132" s="117"/>
      <c r="C132" s="117"/>
      <c r="D132" s="1894" t="s">
        <v>1000</v>
      </c>
      <c r="E132" s="1894"/>
      <c r="F132" s="1894"/>
      <c r="G132" s="1894"/>
      <c r="H132" s="1894"/>
      <c r="I132" s="117"/>
      <c r="J132" s="1894" t="s">
        <v>1001</v>
      </c>
      <c r="K132" s="1894"/>
      <c r="L132" s="1894"/>
      <c r="M132" s="1894"/>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5"/>
      <c r="B138" s="1888"/>
      <c r="C138" s="1888"/>
      <c r="D138" s="325"/>
      <c r="E138" s="1889"/>
      <c r="F138" s="1889"/>
      <c r="G138" s="117"/>
      <c r="H138" s="117"/>
      <c r="I138" s="117"/>
      <c r="J138" s="117"/>
      <c r="K138" s="117"/>
      <c r="L138" s="117"/>
      <c r="M138" s="117"/>
      <c r="N138" s="117"/>
      <c r="O138" s="117"/>
      <c r="P138" s="117"/>
      <c r="Q138" s="117"/>
      <c r="R138" s="117"/>
      <c r="S138" s="117"/>
      <c r="T138" s="327"/>
      <c r="U138" s="328"/>
    </row>
    <row r="139" spans="1:21" ht="12.75">
      <c r="A139" s="1892" t="s">
        <v>1004</v>
      </c>
      <c r="B139" s="1892"/>
      <c r="C139" s="1892"/>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8" t="s">
        <v>1226</v>
      </c>
      <c r="B1" s="1899"/>
      <c r="C1" s="1899"/>
      <c r="D1" s="1899"/>
      <c r="E1" s="1899"/>
      <c r="F1" s="1899"/>
      <c r="G1" s="1899"/>
      <c r="H1" s="1899"/>
      <c r="I1" s="1899"/>
      <c r="J1" s="1900"/>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4500000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5000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4505000</v>
      </c>
      <c r="C8" s="357">
        <f>SUM(C4:C7)</f>
        <v>0</v>
      </c>
      <c r="D8" s="357">
        <f>SUM(D4:D7)</f>
        <v>0</v>
      </c>
      <c r="E8" s="359"/>
      <c r="F8" s="359"/>
      <c r="G8" s="359"/>
      <c r="H8" s="359"/>
      <c r="I8" s="359"/>
      <c r="J8" s="359"/>
      <c r="K8" s="355"/>
    </row>
    <row r="9" spans="1:11" s="356" customFormat="1">
      <c r="A9" s="360" t="s">
        <v>594</v>
      </c>
      <c r="B9" s="357">
        <f>'Sources and Uses Budget'!C9</f>
        <v>0</v>
      </c>
      <c r="C9" s="358"/>
      <c r="D9" s="358"/>
      <c r="E9" s="359"/>
      <c r="F9" s="359"/>
      <c r="G9" s="359"/>
      <c r="H9" s="357">
        <f>'Sources and Uses Budget'!T9</f>
        <v>0</v>
      </c>
      <c r="I9" s="358"/>
      <c r="J9" s="358"/>
      <c r="K9" s="355"/>
    </row>
    <row r="10" spans="1:11" s="356" customFormat="1">
      <c r="A10" s="360" t="s">
        <v>595</v>
      </c>
      <c r="B10" s="357">
        <f>'Sources and Uses Budget'!C10</f>
        <v>95236</v>
      </c>
      <c r="C10" s="358"/>
      <c r="D10" s="358"/>
      <c r="E10" s="357">
        <f>'Sources and Uses Budget'!S10</f>
        <v>95236</v>
      </c>
      <c r="F10" s="358"/>
      <c r="G10" s="358"/>
      <c r="H10" s="357">
        <f>'Sources and Uses Budget'!T10</f>
        <v>0</v>
      </c>
      <c r="I10" s="358"/>
      <c r="J10" s="358"/>
      <c r="K10" s="355"/>
    </row>
    <row r="11" spans="1:11" s="356" customFormat="1">
      <c r="A11" s="361" t="s">
        <v>596</v>
      </c>
      <c r="B11" s="357">
        <f>'Sources and Uses Budget'!C11</f>
        <v>95236</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4600236</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1944000</v>
      </c>
      <c r="C29" s="358"/>
      <c r="D29" s="358"/>
      <c r="E29" s="357">
        <f>'Sources and Uses Budget'!S29</f>
        <v>1944000</v>
      </c>
      <c r="F29" s="358"/>
      <c r="G29" s="358"/>
      <c r="H29" s="357">
        <f>'Sources and Uses Budget'!T29</f>
        <v>0</v>
      </c>
      <c r="I29" s="358"/>
      <c r="J29" s="358"/>
      <c r="K29" s="355"/>
    </row>
    <row r="30" spans="1:11" s="356" customFormat="1">
      <c r="A30" s="145" t="s">
        <v>599</v>
      </c>
      <c r="B30" s="357">
        <f>'Sources and Uses Budget'!C30</f>
        <v>25804998</v>
      </c>
      <c r="C30" s="358"/>
      <c r="D30" s="358"/>
      <c r="E30" s="357">
        <f>'Sources and Uses Budget'!S30</f>
        <v>25804998</v>
      </c>
      <c r="F30" s="358"/>
      <c r="G30" s="358"/>
      <c r="H30" s="357">
        <f>'Sources and Uses Budget'!T30</f>
        <v>0</v>
      </c>
      <c r="I30" s="358"/>
      <c r="J30" s="358"/>
      <c r="K30" s="355"/>
    </row>
    <row r="31" spans="1:11" s="356" customFormat="1">
      <c r="A31" s="145" t="s">
        <v>600</v>
      </c>
      <c r="B31" s="357">
        <f>'Sources and Uses Budget'!C31</f>
        <v>1670654</v>
      </c>
      <c r="C31" s="358"/>
      <c r="D31" s="358"/>
      <c r="E31" s="357">
        <f>'Sources and Uses Budget'!S31</f>
        <v>1670654</v>
      </c>
      <c r="F31" s="358"/>
      <c r="G31" s="358"/>
      <c r="H31" s="357">
        <f>'Sources and Uses Budget'!T31</f>
        <v>0</v>
      </c>
      <c r="I31" s="358"/>
      <c r="J31" s="358"/>
      <c r="K31" s="355"/>
    </row>
    <row r="32" spans="1:11" s="356" customFormat="1">
      <c r="A32" s="145" t="s">
        <v>137</v>
      </c>
      <c r="B32" s="357">
        <f>'Sources and Uses Budget'!C32</f>
        <v>590298</v>
      </c>
      <c r="C32" s="358"/>
      <c r="D32" s="358"/>
      <c r="E32" s="357">
        <f>'Sources and Uses Budget'!S32</f>
        <v>590298</v>
      </c>
      <c r="F32" s="358"/>
      <c r="G32" s="358"/>
      <c r="H32" s="357">
        <f>'Sources and Uses Budget'!T32</f>
        <v>0</v>
      </c>
      <c r="I32" s="358"/>
      <c r="J32" s="358"/>
      <c r="K32" s="355"/>
    </row>
    <row r="33" spans="1:11" s="356" customFormat="1">
      <c r="A33" s="145" t="s">
        <v>138</v>
      </c>
      <c r="B33" s="357">
        <f>'Sources and Uses Budget'!C33</f>
        <v>1770893</v>
      </c>
      <c r="C33" s="358"/>
      <c r="D33" s="358"/>
      <c r="E33" s="357">
        <f>'Sources and Uses Budget'!S33</f>
        <v>1770893</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31780843</v>
      </c>
      <c r="C38" s="357">
        <f>SUM(C29:C37)</f>
        <v>0</v>
      </c>
      <c r="D38" s="357">
        <f>SUM(D29:D37)</f>
        <v>0</v>
      </c>
      <c r="E38" s="357">
        <f>'Sources and Uses Budget'!S38</f>
        <v>31780843</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600000</v>
      </c>
      <c r="C40" s="358"/>
      <c r="D40" s="358"/>
      <c r="E40" s="357">
        <f>'Sources and Uses Budget'!S40</f>
        <v>600000</v>
      </c>
      <c r="F40" s="358"/>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600000</v>
      </c>
      <c r="C42" s="357">
        <f>SUM(C39:C41)</f>
        <v>0</v>
      </c>
      <c r="D42" s="357">
        <f>SUM(D39:D41)</f>
        <v>0</v>
      </c>
      <c r="E42" s="357">
        <f>'Sources and Uses Budget'!S42</f>
        <v>600000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300000</v>
      </c>
      <c r="C43" s="358"/>
      <c r="D43" s="358"/>
      <c r="E43" s="357">
        <f>'Sources and Uses Budget'!S43</f>
        <v>300000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3965000</v>
      </c>
      <c r="C45" s="358"/>
      <c r="D45" s="358"/>
      <c r="E45" s="357">
        <f>'Sources and Uses Budget'!S45</f>
        <v>3465000</v>
      </c>
      <c r="F45" s="358"/>
      <c r="G45" s="358"/>
      <c r="H45" s="357">
        <f>'Sources and Uses Budget'!T45</f>
        <v>0</v>
      </c>
      <c r="I45" s="358"/>
      <c r="J45" s="358"/>
      <c r="K45" s="355"/>
    </row>
    <row r="46" spans="1:11" s="356" customFormat="1">
      <c r="A46" s="360" t="s">
        <v>151</v>
      </c>
      <c r="B46" s="357">
        <f>'Sources and Uses Budget'!C46</f>
        <v>0</v>
      </c>
      <c r="C46" s="358"/>
      <c r="D46" s="358"/>
      <c r="E46" s="357">
        <f>'Sources and Uses Budget'!S46</f>
        <v>0</v>
      </c>
      <c r="F46" s="358"/>
      <c r="G46" s="358"/>
      <c r="H46" s="357">
        <f>'Sources and Uses Budget'!T46</f>
        <v>0</v>
      </c>
      <c r="I46" s="358"/>
      <c r="J46" s="358"/>
      <c r="K46" s="355"/>
    </row>
    <row r="47" spans="1:11" s="356" customFormat="1" ht="12" customHeight="1">
      <c r="A47" s="360" t="s">
        <v>152</v>
      </c>
      <c r="B47" s="357">
        <f>'Sources and Uses Budget'!C47</f>
        <v>111750</v>
      </c>
      <c r="C47" s="358"/>
      <c r="D47" s="358"/>
      <c r="E47" s="357">
        <f>'Sources and Uses Budget'!S47</f>
        <v>111750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120000</v>
      </c>
      <c r="C50" s="358"/>
      <c r="D50" s="358"/>
      <c r="E50" s="357">
        <f>'Sources and Uses Budget'!S50</f>
        <v>120000</v>
      </c>
      <c r="F50" s="358"/>
      <c r="G50" s="358"/>
      <c r="H50" s="357">
        <f>'Sources and Uses Budget'!T50</f>
        <v>0</v>
      </c>
      <c r="I50" s="358"/>
      <c r="J50" s="358"/>
      <c r="K50" s="355"/>
    </row>
    <row r="51" spans="1:11" s="356" customFormat="1">
      <c r="A51" s="360" t="s">
        <v>154</v>
      </c>
      <c r="B51" s="357">
        <f>'Sources and Uses Budget'!C51</f>
        <v>180000</v>
      </c>
      <c r="C51" s="358"/>
      <c r="D51" s="358"/>
      <c r="E51" s="357">
        <f>'Sources and Uses Budget'!S51</f>
        <v>180000</v>
      </c>
      <c r="F51" s="358"/>
      <c r="G51" s="358"/>
      <c r="H51" s="357">
        <f>'Sources and Uses Budget'!T51</f>
        <v>0</v>
      </c>
      <c r="I51" s="358"/>
      <c r="J51" s="358"/>
      <c r="K51" s="355"/>
    </row>
    <row r="52" spans="1:11" s="356" customFormat="1">
      <c r="A52" s="360" t="s">
        <v>155</v>
      </c>
      <c r="B52" s="357">
        <f>'Sources and Uses Budget'!C52</f>
        <v>511900</v>
      </c>
      <c r="C52" s="358"/>
      <c r="D52" s="358"/>
      <c r="E52" s="357">
        <f>'Sources and Uses Budget'!S52</f>
        <v>511900</v>
      </c>
      <c r="F52" s="358"/>
      <c r="G52" s="358"/>
      <c r="H52" s="357">
        <f>'Sources and Uses Budget'!T52</f>
        <v>0</v>
      </c>
      <c r="I52" s="358"/>
      <c r="J52" s="358"/>
      <c r="K52" s="355"/>
    </row>
    <row r="53" spans="1:11" s="356" customFormat="1" ht="24">
      <c r="A53" s="360" t="str">
        <f>'Sources and Uses Budget'!$A53</f>
        <v>Other: Bond Issuer / Trustee Fees &amp; Costs</v>
      </c>
      <c r="B53" s="357">
        <f>'Sources and Uses Budget'!C53</f>
        <v>120000</v>
      </c>
      <c r="C53" s="358"/>
      <c r="D53" s="358"/>
      <c r="E53" s="357">
        <f>'Sources and Uses Budget'!S53</f>
        <v>120000</v>
      </c>
      <c r="F53" s="358"/>
      <c r="G53" s="358"/>
      <c r="H53" s="357">
        <f>'Sources and Uses Budget'!T53</f>
        <v>0</v>
      </c>
      <c r="I53" s="358"/>
      <c r="J53" s="358"/>
      <c r="K53" s="355"/>
    </row>
    <row r="54" spans="1:11" s="365" customFormat="1">
      <c r="A54" s="361" t="s">
        <v>157</v>
      </c>
      <c r="B54" s="357">
        <f>'Sources and Uses Budget'!C54</f>
        <v>5008650</v>
      </c>
      <c r="C54" s="363">
        <f>SUM(C45:C53)</f>
        <v>0</v>
      </c>
      <c r="D54" s="363">
        <f>SUM(D45:D53)</f>
        <v>0</v>
      </c>
      <c r="E54" s="357">
        <f>'Sources and Uses Budget'!S54</f>
        <v>4508650</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147500</v>
      </c>
      <c r="C57" s="358"/>
      <c r="D57" s="358"/>
      <c r="E57" s="359"/>
      <c r="F57" s="359"/>
      <c r="G57" s="359"/>
      <c r="H57" s="359"/>
      <c r="I57" s="359"/>
      <c r="J57" s="359"/>
      <c r="K57" s="355"/>
    </row>
    <row r="58" spans="1:11" s="356" customFormat="1">
      <c r="A58" s="360" t="s">
        <v>156</v>
      </c>
      <c r="B58" s="357">
        <f>'Sources and Uses Budget'!C58</f>
        <v>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147500</v>
      </c>
      <c r="C62" s="357">
        <f>SUM(C56:C61)</f>
        <v>0</v>
      </c>
      <c r="D62" s="357">
        <f>SUM(D56:D61)</f>
        <v>0</v>
      </c>
      <c r="E62" s="359"/>
      <c r="F62" s="359"/>
      <c r="G62" s="359"/>
      <c r="H62" s="359"/>
      <c r="I62" s="359"/>
      <c r="J62" s="359"/>
      <c r="K62" s="355"/>
    </row>
    <row r="63" spans="1:11" s="356" customFormat="1">
      <c r="A63" s="366" t="s">
        <v>302</v>
      </c>
      <c r="B63" s="357">
        <f>'Sources and Uses Budget'!C63</f>
        <v>42437229</v>
      </c>
      <c r="C63" s="357">
        <f>SUM(C8+C11+C13+C14+C15+C26+C27+C38+C42+C43+C54+C62)</f>
        <v>0</v>
      </c>
      <c r="D63" s="357">
        <f>SUM(D8+D11+D13+D14+D15+D26+D27+D38+D42+D43+D54+D62)</f>
        <v>0</v>
      </c>
      <c r="E63" s="357">
        <f>'Sources and Uses Budget'!S63</f>
        <v>37284729</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120000</v>
      </c>
      <c r="C65" s="358"/>
      <c r="D65" s="358"/>
      <c r="E65" s="357">
        <f>'Sources and Uses Budget'!S65</f>
        <v>120000</v>
      </c>
      <c r="F65" s="358"/>
      <c r="G65" s="358"/>
      <c r="H65" s="357">
        <f>'Sources and Uses Budget'!T65</f>
        <v>0</v>
      </c>
      <c r="I65" s="358"/>
      <c r="J65" s="358"/>
      <c r="K65" s="355"/>
    </row>
    <row r="66" spans="1:11" s="356" customFormat="1" ht="24">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ht="36">
      <c r="A69" s="360" t="str">
        <f>'Sources and Uses Budget'!$A69</f>
        <v>Other: Bond Counsel, Financial Advisor, Borrower Attorney, Special Counsel &amp; Servicing Costs</v>
      </c>
      <c r="B69" s="357">
        <f>'Sources and Uses Budget'!C69</f>
        <v>235000</v>
      </c>
      <c r="C69" s="358"/>
      <c r="D69" s="358"/>
      <c r="E69" s="357">
        <f>'Sources and Uses Budget'!S69</f>
        <v>125000</v>
      </c>
      <c r="F69" s="358"/>
      <c r="G69" s="358"/>
      <c r="H69" s="357">
        <f>'Sources and Uses Budget'!T69</f>
        <v>0</v>
      </c>
      <c r="I69" s="358"/>
      <c r="J69" s="358"/>
      <c r="K69" s="355"/>
    </row>
    <row r="70" spans="1:11" s="356" customFormat="1">
      <c r="A70" s="361" t="s">
        <v>601</v>
      </c>
      <c r="B70" s="357">
        <f>'Sources and Uses Budget'!C70</f>
        <v>355000</v>
      </c>
      <c r="C70" s="357">
        <f>SUM(C64:C69)</f>
        <v>0</v>
      </c>
      <c r="D70" s="357">
        <f>SUM(D64:D69)</f>
        <v>0</v>
      </c>
      <c r="E70" s="357">
        <f>'Sources and Uses Budget'!S70</f>
        <v>245000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544992</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544992</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2250000</v>
      </c>
      <c r="C79" s="358"/>
      <c r="D79" s="358"/>
      <c r="E79" s="357">
        <f>'Sources and Uses Budget'!S79</f>
        <v>2250000</v>
      </c>
      <c r="F79" s="358"/>
      <c r="G79" s="358"/>
      <c r="H79" s="357">
        <f>'Sources and Uses Budget'!T79</f>
        <v>0</v>
      </c>
      <c r="I79" s="358"/>
      <c r="J79" s="358"/>
      <c r="K79" s="355"/>
    </row>
    <row r="80" spans="1:11" s="356" customFormat="1">
      <c r="A80" s="360" t="s">
        <v>58</v>
      </c>
      <c r="B80" s="357">
        <f>'Sources and Uses Budget'!C80</f>
        <v>1180636</v>
      </c>
      <c r="C80" s="358"/>
      <c r="D80" s="358"/>
      <c r="E80" s="357">
        <f>'Sources and Uses Budget'!S80</f>
        <v>1180636</v>
      </c>
      <c r="F80" s="358"/>
      <c r="G80" s="358"/>
      <c r="H80" s="357">
        <f>'Sources and Uses Budget'!T80</f>
        <v>0</v>
      </c>
      <c r="I80" s="358"/>
      <c r="J80" s="358"/>
      <c r="K80" s="355"/>
    </row>
    <row r="81" spans="1:11" s="356" customFormat="1">
      <c r="A81" s="361" t="s">
        <v>1208</v>
      </c>
      <c r="B81" s="357">
        <f>'Sources and Uses Budget'!C81</f>
        <v>3430636</v>
      </c>
      <c r="C81" s="357">
        <f>SUM(C79:C80)</f>
        <v>0</v>
      </c>
      <c r="D81" s="357">
        <f>SUM(D79:D80)</f>
        <v>0</v>
      </c>
      <c r="E81" s="357">
        <f>'Sources and Uses Budget'!S81</f>
        <v>3430636</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71795</v>
      </c>
      <c r="C83" s="358"/>
      <c r="D83" s="358"/>
      <c r="E83" s="359"/>
      <c r="F83" s="359"/>
      <c r="G83" s="359"/>
      <c r="H83" s="359"/>
      <c r="I83" s="359"/>
      <c r="J83" s="359"/>
      <c r="K83" s="355"/>
    </row>
    <row r="84" spans="1:11" s="356" customFormat="1">
      <c r="A84" s="145" t="s">
        <v>767</v>
      </c>
      <c r="B84" s="357">
        <f>'Sources and Uses Budget'!C84</f>
        <v>0</v>
      </c>
      <c r="C84" s="358"/>
      <c r="D84" s="358"/>
      <c r="E84" s="357">
        <f>'Sources and Uses Budget'!S84</f>
        <v>0</v>
      </c>
      <c r="F84" s="358"/>
      <c r="G84" s="358"/>
      <c r="H84" s="357">
        <f>'Sources and Uses Budget'!T84</f>
        <v>0</v>
      </c>
      <c r="I84" s="358"/>
      <c r="J84" s="358"/>
      <c r="K84" s="355"/>
    </row>
    <row r="85" spans="1:11" s="356" customFormat="1">
      <c r="A85" s="145" t="s">
        <v>768</v>
      </c>
      <c r="B85" s="357">
        <f>'Sources and Uses Budget'!C85</f>
        <v>2307529</v>
      </c>
      <c r="C85" s="358"/>
      <c r="D85" s="358"/>
      <c r="E85" s="357">
        <f>'Sources and Uses Budget'!S85</f>
        <v>2307529</v>
      </c>
      <c r="F85" s="358"/>
      <c r="G85" s="358"/>
      <c r="H85" s="357">
        <f>'Sources and Uses Budget'!T85</f>
        <v>0</v>
      </c>
      <c r="I85" s="358"/>
      <c r="J85" s="358"/>
      <c r="K85" s="355"/>
    </row>
    <row r="86" spans="1:11" s="356" customFormat="1">
      <c r="A86" s="145" t="s">
        <v>769</v>
      </c>
      <c r="B86" s="357">
        <f>'Sources and Uses Budget'!C86</f>
        <v>0</v>
      </c>
      <c r="C86" s="358"/>
      <c r="D86" s="358"/>
      <c r="E86" s="357">
        <f>'Sources and Uses Budget'!S86</f>
        <v>0</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171458</v>
      </c>
      <c r="C88" s="358"/>
      <c r="D88" s="358"/>
      <c r="E88" s="359"/>
      <c r="F88" s="359"/>
      <c r="G88" s="359"/>
      <c r="H88" s="359"/>
      <c r="I88" s="359"/>
      <c r="J88" s="359"/>
      <c r="K88" s="355"/>
    </row>
    <row r="89" spans="1:11" s="356" customFormat="1">
      <c r="A89" s="145" t="s">
        <v>772</v>
      </c>
      <c r="B89" s="357">
        <f>'Sources and Uses Budget'!C89</f>
        <v>50000</v>
      </c>
      <c r="C89" s="358"/>
      <c r="D89" s="358"/>
      <c r="E89" s="357">
        <f>'Sources and Uses Budget'!S89</f>
        <v>50000</v>
      </c>
      <c r="F89" s="358"/>
      <c r="G89" s="358"/>
      <c r="H89" s="357">
        <f>'Sources and Uses Budget'!T89</f>
        <v>0</v>
      </c>
      <c r="I89" s="358"/>
      <c r="J89" s="358"/>
      <c r="K89" s="355"/>
    </row>
    <row r="90" spans="1:11" s="356" customFormat="1">
      <c r="A90" s="145" t="s">
        <v>773</v>
      </c>
      <c r="B90" s="357">
        <f>'Sources and Uses Budget'!C90</f>
        <v>25000</v>
      </c>
      <c r="C90" s="358"/>
      <c r="D90" s="358"/>
      <c r="E90" s="357">
        <f>'Sources and Uses Budget'!S90</f>
        <v>25000</v>
      </c>
      <c r="F90" s="358"/>
      <c r="G90" s="358"/>
      <c r="H90" s="357">
        <f>'Sources and Uses Budget'!T90</f>
        <v>0</v>
      </c>
      <c r="I90" s="358"/>
      <c r="J90" s="358"/>
      <c r="K90" s="355"/>
    </row>
    <row r="91" spans="1:11" s="356" customFormat="1">
      <c r="A91" s="155" t="s">
        <v>372</v>
      </c>
      <c r="B91" s="357">
        <f>'Sources and Uses Budget'!C91</f>
        <v>0</v>
      </c>
      <c r="C91" s="358"/>
      <c r="D91" s="358"/>
      <c r="E91" s="357">
        <f>'Sources and Uses Budget'!S91</f>
        <v>0</v>
      </c>
      <c r="F91" s="358"/>
      <c r="G91" s="358"/>
      <c r="H91" s="357">
        <f>'Sources and Uses Budget'!T91</f>
        <v>0</v>
      </c>
      <c r="I91" s="358"/>
      <c r="J91" s="358"/>
      <c r="K91" s="355"/>
    </row>
    <row r="92" spans="1:11" s="356" customFormat="1">
      <c r="A92" s="504" t="s">
        <v>1210</v>
      </c>
      <c r="B92" s="357">
        <f>'Sources and Uses Budget'!C92</f>
        <v>0</v>
      </c>
      <c r="C92" s="358"/>
      <c r="D92" s="358"/>
      <c r="E92" s="357">
        <f>'Sources and Uses Budget'!S92</f>
        <v>0</v>
      </c>
      <c r="F92" s="358"/>
      <c r="G92" s="358"/>
      <c r="H92" s="357">
        <f>'Sources and Uses Budget'!T92</f>
        <v>0</v>
      </c>
      <c r="I92" s="358"/>
      <c r="J92" s="358"/>
      <c r="K92" s="355"/>
    </row>
    <row r="93" spans="1:11" s="356" customFormat="1">
      <c r="A93" s="360" t="str">
        <f>'Sources and Uses Budget'!$A93</f>
        <v>Other: Cost Certification</v>
      </c>
      <c r="B93" s="357">
        <f>'Sources and Uses Budget'!C93</f>
        <v>10000</v>
      </c>
      <c r="C93" s="358"/>
      <c r="D93" s="358"/>
      <c r="E93" s="357">
        <f>'Sources and Uses Budget'!S93</f>
        <v>10000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2635782</v>
      </c>
      <c r="C96" s="357">
        <f>SUM(C83:C95)</f>
        <v>0</v>
      </c>
      <c r="D96" s="357">
        <f>SUM(D83:D95)</f>
        <v>0</v>
      </c>
      <c r="E96" s="357">
        <f>'Sources and Uses Budget'!S96</f>
        <v>2392529</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49403639</v>
      </c>
      <c r="C97" s="357">
        <f>SUM(C63+C70+C77+C81+C96)</f>
        <v>0</v>
      </c>
      <c r="D97" s="357">
        <f>SUM(D63+D70+D77+D81+D96)</f>
        <v>0</v>
      </c>
      <c r="E97" s="357">
        <f>'Sources and Uses Budget'!S97</f>
        <v>43352894</v>
      </c>
      <c r="F97" s="363">
        <f>SUM(+F63+F70+F81+F96)</f>
        <v>0</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6502934</v>
      </c>
      <c r="C99" s="358"/>
      <c r="D99" s="358"/>
      <c r="E99" s="357">
        <f>'Sources and Uses Budget'!S99</f>
        <v>6502934</v>
      </c>
      <c r="F99" s="358"/>
      <c r="G99" s="358"/>
      <c r="H99" s="357">
        <f>'Sources and Uses Budget'!T99</f>
        <v>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6502934</v>
      </c>
      <c r="C104" s="357">
        <f>SUM(C99:C103)</f>
        <v>0</v>
      </c>
      <c r="D104" s="357">
        <f>SUM(D99:D103)</f>
        <v>0</v>
      </c>
      <c r="E104" s="357">
        <f>'Sources and Uses Budget'!S104</f>
        <v>6502934</v>
      </c>
      <c r="F104" s="363">
        <f>SUM(F99:F103)</f>
        <v>0</v>
      </c>
      <c r="G104" s="363">
        <f>SUM(G99:G103)</f>
        <v>0</v>
      </c>
      <c r="H104" s="357">
        <f>'Sources and Uses Budget'!T104</f>
        <v>0</v>
      </c>
      <c r="I104" s="363">
        <f>SUM(I99:I103)</f>
        <v>0</v>
      </c>
      <c r="J104" s="363">
        <f>SUM(J99:J103)</f>
        <v>0</v>
      </c>
      <c r="K104" s="355"/>
    </row>
    <row r="105" spans="1:11" s="356" customFormat="1">
      <c r="A105" s="361" t="s">
        <v>1030</v>
      </c>
      <c r="B105" s="357">
        <f>'Sources and Uses Budget'!C105</f>
        <v>55906573</v>
      </c>
      <c r="C105" s="363">
        <f>SUM(C97+C104)</f>
        <v>0</v>
      </c>
      <c r="D105" s="363">
        <f>SUM(D97+D104)</f>
        <v>0</v>
      </c>
      <c r="E105" s="357">
        <f>'Sources and Uses Budget'!S105</f>
        <v>49855828</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49855828</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6"/>
      <c r="E124" s="1836"/>
      <c r="F124" s="1836"/>
      <c r="G124" s="1836"/>
      <c r="H124" s="1836"/>
      <c r="I124" s="1836"/>
      <c r="J124" s="372"/>
      <c r="K124" s="355"/>
    </row>
    <row r="125" spans="1:11" s="356" customFormat="1" ht="12.75">
      <c r="A125" s="381"/>
      <c r="B125" s="380"/>
      <c r="C125" s="381"/>
      <c r="D125" s="1836"/>
      <c r="E125" s="1836"/>
      <c r="F125" s="1836"/>
      <c r="G125" s="1836"/>
      <c r="H125" s="1836"/>
      <c r="I125" s="1836"/>
      <c r="J125" s="372"/>
      <c r="K125" s="355"/>
    </row>
    <row r="126" spans="1:11" s="356" customFormat="1" ht="12.75">
      <c r="A126" s="381"/>
      <c r="B126" s="380"/>
      <c r="C126" s="381"/>
      <c r="D126" s="1836"/>
      <c r="E126" s="1836"/>
      <c r="F126" s="1836"/>
      <c r="G126" s="1836"/>
      <c r="H126" s="1836"/>
      <c r="I126" s="1836"/>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836"/>
      <c r="C139" s="1836"/>
      <c r="D139" s="352"/>
      <c r="E139" s="381"/>
      <c r="F139" s="381"/>
      <c r="G139" s="381"/>
    </row>
    <row r="140" spans="1:11" ht="12" customHeight="1">
      <c r="A140" s="1854"/>
      <c r="B140" s="1854"/>
      <c r="C140" s="1854"/>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1909" t="s">
        <v>2383</v>
      </c>
      <c r="B1" s="1910"/>
      <c r="C1" s="1910"/>
      <c r="D1" s="1910"/>
      <c r="E1" s="1910"/>
      <c r="F1" s="1910"/>
      <c r="G1" s="1910"/>
      <c r="H1" s="1910"/>
      <c r="I1" s="1910"/>
      <c r="J1" s="1910"/>
      <c r="K1" s="1910"/>
      <c r="L1" s="1910"/>
      <c r="M1" s="1910"/>
      <c r="N1" s="1910"/>
      <c r="O1" s="1910"/>
      <c r="P1" s="1910"/>
      <c r="Q1" s="1910"/>
      <c r="R1" s="1910"/>
      <c r="S1" s="1910"/>
      <c r="T1" s="1910"/>
      <c r="U1" s="1910"/>
      <c r="V1" s="1910"/>
      <c r="W1" s="1910"/>
      <c r="X1" s="1910"/>
      <c r="Y1" s="1910"/>
      <c r="Z1" s="1910"/>
      <c r="AA1" s="1910"/>
      <c r="AB1" s="1910"/>
      <c r="AC1" s="1910"/>
      <c r="AD1" s="1910"/>
      <c r="AE1" s="1910"/>
      <c r="AF1" s="1910"/>
      <c r="AG1" s="1910"/>
      <c r="AH1" s="1910"/>
      <c r="AI1" s="1910"/>
      <c r="AJ1" s="1910"/>
      <c r="AK1" s="1910"/>
      <c r="AL1" s="1910"/>
      <c r="AM1" s="1910"/>
      <c r="AN1" s="1910"/>
      <c r="AO1" s="1910"/>
      <c r="AP1" s="1910"/>
      <c r="AQ1" s="1910"/>
      <c r="AR1" s="1910"/>
      <c r="AS1" s="1910"/>
      <c r="AT1" s="1910"/>
      <c r="AU1" s="1910"/>
      <c r="AV1" s="1910"/>
      <c r="AW1" s="1910"/>
      <c r="AX1" s="1910"/>
      <c r="AY1" s="1910"/>
      <c r="AZ1" s="1910"/>
      <c r="BA1" s="1910"/>
      <c r="BB1" s="1910"/>
      <c r="BC1" s="1910"/>
      <c r="BD1" s="1910"/>
      <c r="BE1" s="1911"/>
    </row>
    <row r="2" spans="1:65" ht="15.75" customHeight="1">
      <c r="A2" s="1912" t="s">
        <v>2382</v>
      </c>
      <c r="B2" s="1913"/>
      <c r="C2" s="1913"/>
      <c r="D2" s="1913"/>
      <c r="E2" s="1913"/>
      <c r="F2" s="1913"/>
      <c r="G2" s="1913"/>
      <c r="H2" s="1913"/>
      <c r="I2" s="1913"/>
      <c r="J2" s="1913"/>
      <c r="K2" s="1913"/>
      <c r="L2" s="1913"/>
      <c r="M2" s="1913"/>
      <c r="N2" s="1913"/>
      <c r="O2" s="1913"/>
      <c r="P2" s="1913"/>
      <c r="Q2" s="1913"/>
      <c r="R2" s="1913"/>
      <c r="S2" s="1913"/>
      <c r="T2" s="1913"/>
      <c r="U2" s="1913"/>
      <c r="V2" s="1913"/>
      <c r="W2" s="1913"/>
      <c r="X2" s="1913"/>
      <c r="Y2" s="1913"/>
      <c r="Z2" s="1913"/>
      <c r="AA2" s="1913"/>
      <c r="AB2" s="1913"/>
      <c r="AC2" s="1913"/>
      <c r="AD2" s="1913"/>
      <c r="AE2" s="1913"/>
      <c r="AF2" s="1913"/>
      <c r="AG2" s="1913"/>
      <c r="AH2" s="1913"/>
      <c r="AI2" s="1913"/>
      <c r="AJ2" s="1913"/>
      <c r="AK2" s="1913"/>
      <c r="AL2" s="1913"/>
      <c r="AM2" s="1913"/>
      <c r="AN2" s="1913"/>
      <c r="AO2" s="1913"/>
      <c r="AP2" s="1913"/>
      <c r="AQ2" s="1913"/>
      <c r="AR2" s="1913"/>
      <c r="AS2" s="1913"/>
      <c r="AT2" s="1913"/>
      <c r="AU2" s="1913"/>
      <c r="AV2" s="1913"/>
      <c r="AW2" s="1913"/>
      <c r="AX2" s="1913"/>
      <c r="AY2" s="1913"/>
      <c r="AZ2" s="1913"/>
      <c r="BA2" s="1913"/>
      <c r="BB2" s="1913"/>
      <c r="BC2" s="1913"/>
      <c r="BD2" s="1913"/>
      <c r="BE2" s="1914"/>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5" t="s">
        <v>2583</v>
      </c>
      <c r="AY3" s="1916"/>
      <c r="AZ3" s="1916"/>
      <c r="BA3" s="1917"/>
      <c r="BB3" s="1915" t="s">
        <v>2584</v>
      </c>
      <c r="BC3" s="1916"/>
      <c r="BD3" s="1916"/>
      <c r="BE3" s="1917"/>
    </row>
    <row r="4" spans="1:65" ht="15.75" customHeight="1" thickBot="1">
      <c r="A4" s="1201"/>
      <c r="B4" s="1203" t="s">
        <v>656</v>
      </c>
      <c r="C4" s="1203"/>
      <c r="D4" s="1203"/>
      <c r="E4" s="1203"/>
      <c r="F4" s="1203"/>
      <c r="G4" s="1202"/>
      <c r="H4" s="1202"/>
      <c r="I4" s="1202"/>
      <c r="J4" s="1202"/>
      <c r="K4" s="1202"/>
      <c r="L4" s="1904" t="str">
        <f>IF(Application!H18="","",Application!H18)</f>
        <v>Euclid Avenue Apartments</v>
      </c>
      <c r="M4" s="1905"/>
      <c r="N4" s="1905"/>
      <c r="O4" s="1905"/>
      <c r="P4" s="1905"/>
      <c r="Q4" s="1905"/>
      <c r="R4" s="1905"/>
      <c r="S4" s="1905"/>
      <c r="T4" s="1905"/>
      <c r="U4" s="1905"/>
      <c r="V4" s="1905"/>
      <c r="W4" s="1905"/>
      <c r="X4" s="1905"/>
      <c r="Y4" s="1905"/>
      <c r="Z4" s="1905"/>
      <c r="AA4" s="1905"/>
      <c r="AB4" s="1905"/>
      <c r="AC4" s="1906"/>
      <c r="AD4" s="1202"/>
      <c r="AE4" s="1202"/>
      <c r="AF4" s="1918" t="s">
        <v>2381</v>
      </c>
      <c r="AG4" s="1918"/>
      <c r="AH4" s="1918"/>
      <c r="AI4" s="1918"/>
      <c r="AJ4" s="1918"/>
      <c r="AK4" s="1918"/>
      <c r="AL4" s="1918"/>
      <c r="AM4" s="1918"/>
      <c r="AN4" s="1918"/>
      <c r="AO4" s="1918"/>
      <c r="AP4" s="1919"/>
      <c r="AQ4" s="1920"/>
      <c r="AR4" s="1920"/>
      <c r="AS4" s="1920"/>
      <c r="AT4" s="1920"/>
      <c r="AU4" s="1920"/>
      <c r="AV4" s="1202"/>
      <c r="AW4" s="1202"/>
      <c r="AX4" s="1901" t="s">
        <v>2585</v>
      </c>
      <c r="AY4" s="1902"/>
      <c r="AZ4" s="1902"/>
      <c r="BA4" s="1903"/>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8" t="s">
        <v>2380</v>
      </c>
      <c r="AG5" s="1918"/>
      <c r="AH5" s="1918"/>
      <c r="AI5" s="1918"/>
      <c r="AJ5" s="1918"/>
      <c r="AK5" s="1918"/>
      <c r="AL5" s="1918"/>
      <c r="AM5" s="1918"/>
      <c r="AN5" s="1918"/>
      <c r="AO5" s="1918"/>
      <c r="AP5" s="1919"/>
      <c r="AQ5" s="1920"/>
      <c r="AR5" s="1920"/>
      <c r="AS5" s="1920"/>
      <c r="AT5" s="1920"/>
      <c r="AU5" s="1920"/>
      <c r="AV5" s="1202"/>
      <c r="AW5" s="1202"/>
      <c r="AX5" s="1901" t="s">
        <v>2586</v>
      </c>
      <c r="AY5" s="1902"/>
      <c r="AZ5" s="1902"/>
      <c r="BA5" s="1903"/>
      <c r="BB5" s="1204">
        <f t="array" ref="BB5">ROUNDDOWN(SUM(IF((B19:I27&gt;0%)*(B19:I27&lt;=50%),J19:O27,0))/J29,2)</f>
        <v>0.2</v>
      </c>
      <c r="BC5" s="1205"/>
      <c r="BD5" s="1205"/>
      <c r="BE5" s="1206"/>
    </row>
    <row r="6" spans="1:65" ht="15.75" customHeight="1" thickBot="1">
      <c r="A6" s="1201"/>
      <c r="B6" s="1203" t="s">
        <v>2379</v>
      </c>
      <c r="C6" s="1202"/>
      <c r="D6" s="1202"/>
      <c r="E6" s="1202"/>
      <c r="F6" s="1202"/>
      <c r="G6" s="1202"/>
      <c r="H6" s="1202"/>
      <c r="I6" s="1202"/>
      <c r="J6" s="1202"/>
      <c r="K6" s="1202"/>
      <c r="L6" s="1904" t="str">
        <f>IF(Application!H16="","",Application!H16)</f>
        <v>National City Pacific Associates II, LP</v>
      </c>
      <c r="M6" s="1905"/>
      <c r="N6" s="1905"/>
      <c r="O6" s="1905"/>
      <c r="P6" s="1905"/>
      <c r="Q6" s="1905"/>
      <c r="R6" s="1905"/>
      <c r="S6" s="1905"/>
      <c r="T6" s="1905"/>
      <c r="U6" s="1905"/>
      <c r="V6" s="1905"/>
      <c r="W6" s="1905"/>
      <c r="X6" s="1905"/>
      <c r="Y6" s="1905"/>
      <c r="Z6" s="1905"/>
      <c r="AA6" s="1905"/>
      <c r="AB6" s="1905"/>
      <c r="AC6" s="1906"/>
      <c r="AD6" s="1202"/>
      <c r="AE6" s="1202"/>
      <c r="AF6" s="1907" t="s">
        <v>2378</v>
      </c>
      <c r="AG6" s="1907"/>
      <c r="AH6" s="1907"/>
      <c r="AI6" s="1907"/>
      <c r="AJ6" s="1907"/>
      <c r="AK6" s="1907"/>
      <c r="AL6" s="1907"/>
      <c r="AM6" s="1907"/>
      <c r="AN6" s="1907"/>
      <c r="AO6" s="1907"/>
      <c r="AP6" s="1908"/>
      <c r="AQ6" s="1908"/>
      <c r="AR6" s="1908"/>
      <c r="AS6" s="1908"/>
      <c r="AT6" s="1908"/>
      <c r="AU6" s="1908"/>
      <c r="AV6" s="1202"/>
      <c r="AW6" s="1202"/>
      <c r="AX6" s="1901" t="s">
        <v>2587</v>
      </c>
      <c r="AY6" s="1902"/>
      <c r="AZ6" s="1902"/>
      <c r="BA6" s="1903"/>
      <c r="BB6" s="1204">
        <f t="array" ref="BB6">ROUNDDOWN(SUM(IF((B19:I27&gt;60%)*(B19:I27&lt;=80%),J19:O27,0))/J29,2)</f>
        <v>0.39</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7" t="s">
        <v>2377</v>
      </c>
      <c r="AG7" s="1907"/>
      <c r="AH7" s="1907"/>
      <c r="AI7" s="1907"/>
      <c r="AJ7" s="1907"/>
      <c r="AK7" s="1907"/>
      <c r="AL7" s="1907"/>
      <c r="AM7" s="1907"/>
      <c r="AN7" s="1907"/>
      <c r="AO7" s="1907"/>
      <c r="AP7" s="1908"/>
      <c r="AQ7" s="1908"/>
      <c r="AR7" s="1908"/>
      <c r="AS7" s="1908"/>
      <c r="AT7" s="1908"/>
      <c r="AU7" s="1908"/>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1" t="str">
        <f>Application!T197</f>
        <v>No</v>
      </c>
      <c r="AC8" s="1922"/>
      <c r="AD8" s="1923"/>
      <c r="AE8" s="1202"/>
      <c r="AF8" s="1907" t="s">
        <v>2376</v>
      </c>
      <c r="AG8" s="1907"/>
      <c r="AH8" s="1907"/>
      <c r="AI8" s="1907"/>
      <c r="AJ8" s="1907"/>
      <c r="AK8" s="1907"/>
      <c r="AL8" s="1907"/>
      <c r="AM8" s="1907"/>
      <c r="AN8" s="1907"/>
      <c r="AO8" s="1907"/>
      <c r="AP8" s="1908" t="s">
        <v>2048</v>
      </c>
      <c r="AQ8" s="1908"/>
      <c r="AR8" s="1908"/>
      <c r="AS8" s="1908"/>
      <c r="AT8" s="1908"/>
      <c r="AU8" s="1908"/>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8" t="s">
        <v>2375</v>
      </c>
      <c r="AG9" s="1918"/>
      <c r="AH9" s="1918"/>
      <c r="AI9" s="1918"/>
      <c r="AJ9" s="1918"/>
      <c r="AK9" s="1918"/>
      <c r="AL9" s="1918"/>
      <c r="AM9" s="1918"/>
      <c r="AN9" s="1918"/>
      <c r="AO9" s="1918"/>
      <c r="AP9" s="1919"/>
      <c r="AQ9" s="1920"/>
      <c r="AR9" s="1920"/>
      <c r="AS9" s="1920"/>
      <c r="AT9" s="1920"/>
      <c r="AU9" s="1920"/>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1936">
        <f>Application!AO635</f>
        <v>19500000</v>
      </c>
      <c r="O10" s="1936"/>
      <c r="P10" s="1936"/>
      <c r="Q10" s="1936"/>
      <c r="R10" s="1936"/>
      <c r="S10" s="1936"/>
      <c r="T10" s="1936"/>
      <c r="U10" s="1202"/>
      <c r="V10" s="1202"/>
      <c r="W10" s="1202"/>
      <c r="X10" s="1208"/>
      <c r="Y10" s="1208"/>
      <c r="Z10" s="1208"/>
      <c r="AA10" s="1208"/>
      <c r="AB10" s="1208"/>
      <c r="AC10" s="1208"/>
      <c r="AD10" s="1208"/>
      <c r="AE10" s="1208"/>
      <c r="AF10" s="1918" t="s">
        <v>2372</v>
      </c>
      <c r="AG10" s="1918"/>
      <c r="AH10" s="1918"/>
      <c r="AI10" s="1918"/>
      <c r="AJ10" s="1918"/>
      <c r="AK10" s="1918"/>
      <c r="AL10" s="1918"/>
      <c r="AM10" s="1918"/>
      <c r="AN10" s="1918"/>
      <c r="AO10" s="1918"/>
      <c r="AP10" s="1919"/>
      <c r="AQ10" s="1920"/>
      <c r="AR10" s="1920"/>
      <c r="AS10" s="1920"/>
      <c r="AT10" s="1920"/>
      <c r="AU10" s="1920"/>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1936">
        <f>Application!AA943</f>
        <v>0</v>
      </c>
      <c r="O11" s="1936"/>
      <c r="P11" s="1936"/>
      <c r="Q11" s="1936"/>
      <c r="R11" s="1936"/>
      <c r="S11" s="1936"/>
      <c r="T11" s="1936"/>
      <c r="U11" s="1202"/>
      <c r="V11" s="1202"/>
      <c r="W11" s="1202"/>
      <c r="X11" s="1208"/>
      <c r="Y11" s="1208"/>
      <c r="Z11" s="1208"/>
      <c r="AA11" s="1208"/>
      <c r="AB11" s="1208"/>
      <c r="AC11" s="1208"/>
      <c r="AD11" s="1208"/>
      <c r="AE11" s="1208"/>
      <c r="AF11" s="1918" t="s">
        <v>2369</v>
      </c>
      <c r="AG11" s="1918"/>
      <c r="AH11" s="1918"/>
      <c r="AI11" s="1918"/>
      <c r="AJ11" s="1918"/>
      <c r="AK11" s="1918"/>
      <c r="AL11" s="1918"/>
      <c r="AM11" s="1918"/>
      <c r="AN11" s="1918"/>
      <c r="AO11" s="1918"/>
      <c r="AP11" s="1919"/>
      <c r="AQ11" s="1920"/>
      <c r="AR11" s="1920"/>
      <c r="AS11" s="1920"/>
      <c r="AT11" s="1920"/>
      <c r="AU11" s="1920"/>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1924" t="s">
        <v>2367</v>
      </c>
      <c r="C13" s="1925"/>
      <c r="D13" s="1925"/>
      <c r="E13" s="1925"/>
      <c r="F13" s="1925"/>
      <c r="G13" s="1925"/>
      <c r="H13" s="1925"/>
      <c r="I13" s="1925"/>
      <c r="J13" s="1925"/>
      <c r="K13" s="1925"/>
      <c r="L13" s="1925"/>
      <c r="M13" s="1925"/>
      <c r="N13" s="1925"/>
      <c r="O13" s="1925"/>
      <c r="P13" s="1926"/>
      <c r="Q13" s="1927" t="s">
        <v>669</v>
      </c>
      <c r="R13" s="1928"/>
      <c r="S13" s="1928"/>
      <c r="T13" s="1929"/>
      <c r="U13" s="1208"/>
      <c r="V13" s="1202"/>
      <c r="W13" s="1202"/>
      <c r="X13" s="1202"/>
      <c r="Y13" s="1202"/>
      <c r="Z13" s="1202"/>
      <c r="AA13" s="1930" t="s">
        <v>2366</v>
      </c>
      <c r="AB13" s="1930"/>
      <c r="AC13" s="1930"/>
      <c r="AD13" s="1930"/>
      <c r="AE13" s="1930"/>
      <c r="AF13" s="1930"/>
      <c r="AG13" s="1930"/>
      <c r="AH13" s="1930"/>
      <c r="AI13" s="1930"/>
      <c r="AJ13" s="1930"/>
      <c r="AK13" s="1930"/>
      <c r="AL13" s="1930"/>
      <c r="AM13" s="1930"/>
      <c r="AN13" s="1930"/>
      <c r="AO13" s="1931">
        <f>Application!W481</f>
        <v>17</v>
      </c>
      <c r="AP13" s="1932"/>
      <c r="AQ13" s="1932"/>
      <c r="AR13" s="1932"/>
      <c r="AS13" s="1932"/>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3" t="s">
        <v>2364</v>
      </c>
      <c r="AB14" s="1933"/>
      <c r="AC14" s="1933"/>
      <c r="AD14" s="1933"/>
      <c r="AE14" s="1933"/>
      <c r="AF14" s="1933"/>
      <c r="AG14" s="1933"/>
      <c r="AH14" s="1933"/>
      <c r="AI14" s="1933"/>
      <c r="AJ14" s="1933"/>
      <c r="AK14" s="1933"/>
      <c r="AL14" s="1933"/>
      <c r="AM14" s="1933"/>
      <c r="AN14" s="1933"/>
      <c r="AO14" s="1934"/>
      <c r="AP14" s="1935"/>
      <c r="AQ14" s="1935"/>
      <c r="AR14" s="1935"/>
      <c r="AS14" s="1935"/>
      <c r="AT14" s="1208"/>
      <c r="AU14" s="1208"/>
      <c r="AV14" s="1208"/>
      <c r="AW14" s="1208"/>
      <c r="AX14" s="1208"/>
      <c r="AY14" s="1208"/>
      <c r="AZ14" s="1208"/>
      <c r="BA14" s="1208"/>
      <c r="BB14" s="1208"/>
      <c r="BC14" s="1208"/>
      <c r="BD14" s="1208"/>
      <c r="BE14" s="1209"/>
    </row>
    <row r="15" spans="1:65" thickBot="1">
      <c r="A15" s="1202"/>
      <c r="B15" s="1937" t="s">
        <v>2363</v>
      </c>
      <c r="C15" s="1938"/>
      <c r="D15" s="1938"/>
      <c r="E15" s="1938"/>
      <c r="F15" s="1938"/>
      <c r="G15" s="1938"/>
      <c r="H15" s="1938"/>
      <c r="I15" s="1938"/>
      <c r="J15" s="1938"/>
      <c r="K15" s="1938"/>
      <c r="L15" s="1938"/>
      <c r="M15" s="1938"/>
      <c r="N15" s="1938"/>
      <c r="O15" s="1938"/>
      <c r="P15" s="1938"/>
      <c r="Q15" s="1938"/>
      <c r="R15" s="1939"/>
      <c r="S15" s="1940" t="str">
        <f>IF(Application!AB215="","",Application!AB215)</f>
        <v/>
      </c>
      <c r="T15" s="1940"/>
      <c r="U15" s="1940"/>
      <c r="V15" s="1940"/>
      <c r="W15" s="1941"/>
      <c r="X15" s="1208"/>
      <c r="Y15" s="1202"/>
      <c r="Z15" s="1202"/>
      <c r="AA15" s="1930" t="s">
        <v>2362</v>
      </c>
      <c r="AB15" s="1930"/>
      <c r="AC15" s="1930"/>
      <c r="AD15" s="1930"/>
      <c r="AE15" s="1930"/>
      <c r="AF15" s="1930"/>
      <c r="AG15" s="1930"/>
      <c r="AH15" s="1930"/>
      <c r="AI15" s="1930"/>
      <c r="AJ15" s="1930"/>
      <c r="AK15" s="1930"/>
      <c r="AL15" s="1930"/>
      <c r="AM15" s="1930"/>
      <c r="AN15" s="1930"/>
      <c r="AO15" s="1934"/>
      <c r="AP15" s="1935"/>
      <c r="AQ15" s="1935"/>
      <c r="AR15" s="1935"/>
      <c r="AS15" s="1935"/>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2" t="s">
        <v>2361</v>
      </c>
      <c r="C17" s="1943"/>
      <c r="D17" s="1943"/>
      <c r="E17" s="1943"/>
      <c r="F17" s="1943"/>
      <c r="G17" s="1943"/>
      <c r="H17" s="1943"/>
      <c r="I17" s="1943"/>
      <c r="J17" s="1943"/>
      <c r="K17" s="1943"/>
      <c r="L17" s="1943"/>
      <c r="M17" s="1943"/>
      <c r="N17" s="1943"/>
      <c r="O17" s="1943"/>
      <c r="P17" s="1943"/>
      <c r="Q17" s="1943"/>
      <c r="R17" s="1943"/>
      <c r="S17" s="1943"/>
      <c r="T17" s="1943"/>
      <c r="U17" s="1943"/>
      <c r="V17" s="1943"/>
      <c r="W17" s="1943"/>
      <c r="X17" s="1943"/>
      <c r="Y17" s="1943"/>
      <c r="Z17" s="1943"/>
      <c r="AA17" s="1943"/>
      <c r="AB17" s="1943"/>
      <c r="AC17" s="1943"/>
      <c r="AD17" s="1943"/>
      <c r="AE17" s="1943"/>
      <c r="AF17" s="1943"/>
      <c r="AG17" s="1943"/>
      <c r="AH17" s="1943"/>
      <c r="AI17" s="1943"/>
      <c r="AJ17" s="1943"/>
      <c r="AK17" s="1943"/>
      <c r="AL17" s="1943"/>
      <c r="AM17" s="1943"/>
      <c r="AN17" s="1943"/>
      <c r="AO17" s="1943"/>
      <c r="AP17" s="1943"/>
      <c r="AQ17" s="1943"/>
      <c r="AR17" s="1943"/>
      <c r="AS17" s="1943"/>
      <c r="AT17" s="1943"/>
      <c r="AU17" s="1943"/>
      <c r="AV17" s="1943"/>
      <c r="AW17" s="1943"/>
      <c r="AX17" s="1943"/>
      <c r="AY17" s="1944"/>
      <c r="AZ17" s="1202"/>
      <c r="BA17" s="1202"/>
      <c r="BB17" s="1202"/>
      <c r="BC17" s="1202"/>
      <c r="BD17" s="1202"/>
      <c r="BE17" s="1209"/>
      <c r="BF17" s="1200"/>
    </row>
    <row r="18" spans="1:58" ht="15.75" customHeight="1">
      <c r="A18" s="1202"/>
      <c r="B18" s="1945" t="s">
        <v>2360</v>
      </c>
      <c r="C18" s="1946"/>
      <c r="D18" s="1946"/>
      <c r="E18" s="1946"/>
      <c r="F18" s="1946"/>
      <c r="G18" s="1946"/>
      <c r="H18" s="1946"/>
      <c r="I18" s="1947"/>
      <c r="J18" s="1948" t="s">
        <v>1574</v>
      </c>
      <c r="K18" s="1949"/>
      <c r="L18" s="1949"/>
      <c r="M18" s="1949"/>
      <c r="N18" s="1949"/>
      <c r="O18" s="1950"/>
      <c r="P18" s="1948" t="s">
        <v>324</v>
      </c>
      <c r="Q18" s="1949"/>
      <c r="R18" s="1949"/>
      <c r="S18" s="1949"/>
      <c r="T18" s="1949"/>
      <c r="U18" s="1950"/>
      <c r="V18" s="1948" t="s">
        <v>325</v>
      </c>
      <c r="W18" s="1949"/>
      <c r="X18" s="1949"/>
      <c r="Y18" s="1949"/>
      <c r="Z18" s="1949"/>
      <c r="AA18" s="1950"/>
      <c r="AB18" s="1948" t="s">
        <v>163</v>
      </c>
      <c r="AC18" s="1949"/>
      <c r="AD18" s="1949"/>
      <c r="AE18" s="1949"/>
      <c r="AF18" s="1949"/>
      <c r="AG18" s="1950"/>
      <c r="AH18" s="1948" t="s">
        <v>164</v>
      </c>
      <c r="AI18" s="1949"/>
      <c r="AJ18" s="1949"/>
      <c r="AK18" s="1949"/>
      <c r="AL18" s="1949"/>
      <c r="AM18" s="1950"/>
      <c r="AN18" s="1948" t="s">
        <v>165</v>
      </c>
      <c r="AO18" s="1949"/>
      <c r="AP18" s="1949"/>
      <c r="AQ18" s="1949"/>
      <c r="AR18" s="1949"/>
      <c r="AS18" s="1950"/>
      <c r="AT18" s="1948" t="s">
        <v>2359</v>
      </c>
      <c r="AU18" s="1949"/>
      <c r="AV18" s="1949"/>
      <c r="AW18" s="1949"/>
      <c r="AX18" s="1949"/>
      <c r="AY18" s="1951"/>
      <c r="AZ18" s="1202"/>
      <c r="BA18" s="1202"/>
      <c r="BB18" s="1202"/>
      <c r="BC18" s="1202"/>
      <c r="BD18" s="1202"/>
      <c r="BE18" s="1209"/>
    </row>
    <row r="19" spans="1:58" ht="15">
      <c r="A19" s="1202"/>
      <c r="B19" s="1952">
        <v>0.3</v>
      </c>
      <c r="C19" s="1953"/>
      <c r="D19" s="1953"/>
      <c r="E19" s="1953"/>
      <c r="F19" s="1953"/>
      <c r="G19" s="1953"/>
      <c r="H19" s="1953"/>
      <c r="I19" s="1954"/>
      <c r="J19" s="1955">
        <f t="shared" ref="J19:J24" si="0">SUM(P19:AS19)</f>
        <v>11</v>
      </c>
      <c r="K19" s="1956"/>
      <c r="L19" s="1956"/>
      <c r="M19" s="1956"/>
      <c r="N19" s="1956"/>
      <c r="O19" s="1957"/>
      <c r="P19" s="1955" cm="1">
        <f t="array" ref="P19">SUMPRODUCT((Application!$B$726:$B$760 = 'CalHFA Addendum'!P$18)*(Application!$AC$726:$AC$760 = 'CalHFA Addendum'!$B19),Application!$G$726:$G$760)</f>
        <v>2</v>
      </c>
      <c r="Q19" s="1956"/>
      <c r="R19" s="1956"/>
      <c r="S19" s="1956"/>
      <c r="T19" s="1956"/>
      <c r="U19" s="1957"/>
      <c r="V19" s="1955" cm="1">
        <f t="array" ref="V19">SUMPRODUCT((Application!$B$726:$B$760 = 'CalHFA Addendum'!V$18)*(Application!$AC$726:$AC$760 = 'CalHFA Addendum'!$B19),Application!$G$726:$G$760)</f>
        <v>8</v>
      </c>
      <c r="W19" s="1956"/>
      <c r="X19" s="1956"/>
      <c r="Y19" s="1956"/>
      <c r="Z19" s="1956"/>
      <c r="AA19" s="1957"/>
      <c r="AB19" s="1955" cm="1">
        <f t="array" ref="AB19">SUMPRODUCT((Application!$B$726:$B$760 = 'CalHFA Addendum'!AB$18)*(Application!$AC$726:$AC$760 = 'CalHFA Addendum'!$B19),Application!$G$726:$G$760)</f>
        <v>1</v>
      </c>
      <c r="AC19" s="1956"/>
      <c r="AD19" s="1956"/>
      <c r="AE19" s="1956"/>
      <c r="AF19" s="1956"/>
      <c r="AG19" s="1957"/>
      <c r="AH19" s="1955" cm="1">
        <f t="array" ref="AH19">SUMPRODUCT((Application!$B$726:$B$760 = 'CalHFA Addendum'!AH$18)*(Application!$AC$726:$AC$760 = 'CalHFA Addendum'!$B19),Application!$G$726:$G$760)</f>
        <v>0</v>
      </c>
      <c r="AI19" s="1956"/>
      <c r="AJ19" s="1956"/>
      <c r="AK19" s="1956"/>
      <c r="AL19" s="1956"/>
      <c r="AM19" s="1957"/>
      <c r="AN19" s="1955" cm="1">
        <f t="array" ref="AN19">SUMPRODUCT((Application!$B$726:$B$760 = 'CalHFA Addendum'!AN$18)*(Application!$AC$726:$AC$760 = 'CalHFA Addendum'!$B19),Application!$G$726:$G$760)</f>
        <v>0</v>
      </c>
      <c r="AO19" s="1956"/>
      <c r="AP19" s="1956"/>
      <c r="AQ19" s="1956"/>
      <c r="AR19" s="1956"/>
      <c r="AS19" s="1957"/>
      <c r="AT19" s="1958">
        <f>J19/$J$29</f>
        <v>0.10185185185185185</v>
      </c>
      <c r="AU19" s="1959"/>
      <c r="AV19" s="1959"/>
      <c r="AW19" s="1959"/>
      <c r="AX19" s="1959"/>
      <c r="AY19" s="1960"/>
      <c r="AZ19" s="1210"/>
      <c r="BA19" s="1202"/>
      <c r="BB19" s="1202"/>
      <c r="BC19" s="1202"/>
      <c r="BD19" s="1202"/>
      <c r="BE19" s="1209"/>
    </row>
    <row r="20" spans="1:58" ht="15" customHeight="1">
      <c r="A20" s="1202"/>
      <c r="B20" s="1952">
        <v>0.4</v>
      </c>
      <c r="C20" s="1953"/>
      <c r="D20" s="1953"/>
      <c r="E20" s="1953"/>
      <c r="F20" s="1953"/>
      <c r="G20" s="1953"/>
      <c r="H20" s="1953"/>
      <c r="I20" s="1954"/>
      <c r="J20" s="1955">
        <f t="shared" si="0"/>
        <v>0</v>
      </c>
      <c r="K20" s="1956"/>
      <c r="L20" s="1956"/>
      <c r="M20" s="1956"/>
      <c r="N20" s="1956"/>
      <c r="O20" s="1957"/>
      <c r="P20" s="1955" cm="1">
        <f t="array" ref="P20">SUMPRODUCT((Application!$B$726:$B$760 = 'CalHFA Addendum'!P$18)*(Application!$AC$726:$AC$760 = 'CalHFA Addendum'!$B20),Application!$G$726:$G$760)</f>
        <v>0</v>
      </c>
      <c r="Q20" s="1956"/>
      <c r="R20" s="1956"/>
      <c r="S20" s="1956"/>
      <c r="T20" s="1956"/>
      <c r="U20" s="1957"/>
      <c r="V20" s="1955" cm="1">
        <f t="array" ref="V20">SUMPRODUCT((Application!$B$726:$B$760 = 'CalHFA Addendum'!V$18)*(Application!$AC$726:$AC$760 = 'CalHFA Addendum'!$B20),Application!$G$726:$G$760)</f>
        <v>0</v>
      </c>
      <c r="W20" s="1956"/>
      <c r="X20" s="1956"/>
      <c r="Y20" s="1956"/>
      <c r="Z20" s="1956"/>
      <c r="AA20" s="1957"/>
      <c r="AB20" s="1955" cm="1">
        <f t="array" ref="AB20">SUMPRODUCT((Application!$B$726:$B$760 = 'CalHFA Addendum'!AB$18)*(Application!$AC$726:$AC$760 = 'CalHFA Addendum'!$B20),Application!$G$726:$G$760)</f>
        <v>0</v>
      </c>
      <c r="AC20" s="1956"/>
      <c r="AD20" s="1956"/>
      <c r="AE20" s="1956"/>
      <c r="AF20" s="1956"/>
      <c r="AG20" s="1957"/>
      <c r="AH20" s="1955" cm="1">
        <f t="array" ref="AH20">SUMPRODUCT((Application!$B$726:$B$760 = 'CalHFA Addendum'!AH$18)*(Application!$AC$726:$AC$760 = 'CalHFA Addendum'!$B20),Application!$G$726:$G$760)</f>
        <v>0</v>
      </c>
      <c r="AI20" s="1956"/>
      <c r="AJ20" s="1956"/>
      <c r="AK20" s="1956"/>
      <c r="AL20" s="1956"/>
      <c r="AM20" s="1957"/>
      <c r="AN20" s="1955" cm="1">
        <f t="array" ref="AN20">SUMPRODUCT((Application!$B$726:$B$760 = 'CalHFA Addendum'!AN$18)*(Application!$AC$726:$AC$760 = 'CalHFA Addendum'!$B20),Application!$G$726:$G$760)</f>
        <v>0</v>
      </c>
      <c r="AO20" s="1956"/>
      <c r="AP20" s="1956"/>
      <c r="AQ20" s="1956"/>
      <c r="AR20" s="1956"/>
      <c r="AS20" s="1957"/>
      <c r="AT20" s="1958">
        <f t="shared" ref="AT20:AT29" si="1">J20/$J$29</f>
        <v>0</v>
      </c>
      <c r="AU20" s="1959"/>
      <c r="AV20" s="1959"/>
      <c r="AW20" s="1959"/>
      <c r="AX20" s="1959"/>
      <c r="AY20" s="1960"/>
      <c r="AZ20" s="1202"/>
      <c r="BA20" s="1202"/>
      <c r="BB20" s="1202"/>
      <c r="BC20" s="1202"/>
      <c r="BD20" s="1202"/>
      <c r="BE20" s="1209"/>
    </row>
    <row r="21" spans="1:58" ht="15">
      <c r="A21" s="1202"/>
      <c r="B21" s="1952">
        <v>0.5</v>
      </c>
      <c r="C21" s="1953"/>
      <c r="D21" s="1953"/>
      <c r="E21" s="1953"/>
      <c r="F21" s="1953"/>
      <c r="G21" s="1953"/>
      <c r="H21" s="1953"/>
      <c r="I21" s="1954"/>
      <c r="J21" s="1955">
        <f t="shared" si="0"/>
        <v>11</v>
      </c>
      <c r="K21" s="1956"/>
      <c r="L21" s="1956"/>
      <c r="M21" s="1956"/>
      <c r="N21" s="1956"/>
      <c r="O21" s="1957"/>
      <c r="P21" s="1955" cm="1">
        <f t="array" ref="P21">SUMPRODUCT((Application!$B$726:$B$760 = 'CalHFA Addendum'!P$18)*(Application!$AC$726:$AC$760 = 'CalHFA Addendum'!$B21),Application!$G$726:$G$760)</f>
        <v>2</v>
      </c>
      <c r="Q21" s="1956"/>
      <c r="R21" s="1956"/>
      <c r="S21" s="1956"/>
      <c r="T21" s="1956"/>
      <c r="U21" s="1957"/>
      <c r="V21" s="1955" cm="1">
        <f t="array" ref="V21">SUMPRODUCT((Application!$B$726:$B$760 = 'CalHFA Addendum'!V$18)*(Application!$AC$726:$AC$760 = 'CalHFA Addendum'!$B21),Application!$G$726:$G$760)</f>
        <v>8</v>
      </c>
      <c r="W21" s="1956"/>
      <c r="X21" s="1956"/>
      <c r="Y21" s="1956"/>
      <c r="Z21" s="1956"/>
      <c r="AA21" s="1957"/>
      <c r="AB21" s="1955" cm="1">
        <f t="array" ref="AB21">SUMPRODUCT((Application!$B$726:$B$760 = 'CalHFA Addendum'!AB$18)*(Application!$AC$726:$AC$760 = 'CalHFA Addendum'!$B21),Application!$G$726:$G$760)</f>
        <v>1</v>
      </c>
      <c r="AC21" s="1956"/>
      <c r="AD21" s="1956"/>
      <c r="AE21" s="1956"/>
      <c r="AF21" s="1956"/>
      <c r="AG21" s="1957"/>
      <c r="AH21" s="1955" cm="1">
        <f t="array" ref="AH21">SUMPRODUCT((Application!$B$726:$B$760 = 'CalHFA Addendum'!AH$18)*(Application!$AC$726:$AC$760 = 'CalHFA Addendum'!$B21),Application!$G$726:$G$760)</f>
        <v>0</v>
      </c>
      <c r="AI21" s="1956"/>
      <c r="AJ21" s="1956"/>
      <c r="AK21" s="1956"/>
      <c r="AL21" s="1956"/>
      <c r="AM21" s="1957"/>
      <c r="AN21" s="1955" cm="1">
        <f t="array" ref="AN21">SUMPRODUCT((Application!$B$726:$B$760 = 'CalHFA Addendum'!AN$18)*(Application!$AC$726:$AC$760 = 'CalHFA Addendum'!$B21),Application!$G$726:$G$760)</f>
        <v>0</v>
      </c>
      <c r="AO21" s="1956"/>
      <c r="AP21" s="1956"/>
      <c r="AQ21" s="1956"/>
      <c r="AR21" s="1956"/>
      <c r="AS21" s="1957"/>
      <c r="AT21" s="1958">
        <f t="shared" si="1"/>
        <v>0.10185185185185185</v>
      </c>
      <c r="AU21" s="1959"/>
      <c r="AV21" s="1959"/>
      <c r="AW21" s="1959"/>
      <c r="AX21" s="1959"/>
      <c r="AY21" s="1960"/>
      <c r="AZ21" s="1202"/>
      <c r="BA21" s="1202"/>
      <c r="BB21" s="1202"/>
      <c r="BC21" s="1202"/>
      <c r="BD21" s="1202"/>
      <c r="BE21" s="1209"/>
    </row>
    <row r="22" spans="1:58" ht="15">
      <c r="A22" s="1202"/>
      <c r="B22" s="1952">
        <v>0.6</v>
      </c>
      <c r="C22" s="1953"/>
      <c r="D22" s="1953"/>
      <c r="E22" s="1953"/>
      <c r="F22" s="1953"/>
      <c r="G22" s="1953"/>
      <c r="H22" s="1953"/>
      <c r="I22" s="1954"/>
      <c r="J22" s="1955">
        <f t="shared" si="0"/>
        <v>42</v>
      </c>
      <c r="K22" s="1956"/>
      <c r="L22" s="1956"/>
      <c r="M22" s="1956"/>
      <c r="N22" s="1956"/>
      <c r="O22" s="1957"/>
      <c r="P22" s="1955" cm="1">
        <f t="array" ref="P22">SUMPRODUCT((Application!$B$726:$B$760 = 'CalHFA Addendum'!P$18)*(Application!$AC$726:$AC$760 = 'CalHFA Addendum'!$B22),Application!$G$726:$G$760)</f>
        <v>4</v>
      </c>
      <c r="Q22" s="1956"/>
      <c r="R22" s="1956"/>
      <c r="S22" s="1956"/>
      <c r="T22" s="1956"/>
      <c r="U22" s="1957"/>
      <c r="V22" s="1955" cm="1">
        <f t="array" ref="V22">SUMPRODUCT((Application!$B$726:$B$760 = 'CalHFA Addendum'!V$18)*(Application!$AC$726:$AC$760 = 'CalHFA Addendum'!$B22),Application!$G$726:$G$760)</f>
        <v>35</v>
      </c>
      <c r="W22" s="1956"/>
      <c r="X22" s="1956"/>
      <c r="Y22" s="1956"/>
      <c r="Z22" s="1956"/>
      <c r="AA22" s="1957"/>
      <c r="AB22" s="1955" cm="1">
        <f t="array" ref="AB22">SUMPRODUCT((Application!$B$726:$B$760 = 'CalHFA Addendum'!AB$18)*(Application!$AC$726:$AC$760 = 'CalHFA Addendum'!$B22),Application!$G$726:$G$760)</f>
        <v>3</v>
      </c>
      <c r="AC22" s="1956"/>
      <c r="AD22" s="1956"/>
      <c r="AE22" s="1956"/>
      <c r="AF22" s="1956"/>
      <c r="AG22" s="1957"/>
      <c r="AH22" s="1955" cm="1">
        <f t="array" ref="AH22">SUMPRODUCT((Application!$B$726:$B$760 = 'CalHFA Addendum'!AH$18)*(Application!$AC$726:$AC$760 = 'CalHFA Addendum'!$B22),Application!$G$726:$G$760)</f>
        <v>0</v>
      </c>
      <c r="AI22" s="1956"/>
      <c r="AJ22" s="1956"/>
      <c r="AK22" s="1956"/>
      <c r="AL22" s="1956"/>
      <c r="AM22" s="1957"/>
      <c r="AN22" s="1955" cm="1">
        <f t="array" ref="AN22">SUMPRODUCT((Application!$B$726:$B$760 = 'CalHFA Addendum'!AN$18)*(Application!$AC$726:$AC$760 = 'CalHFA Addendum'!$B22),Application!$G$726:$G$760)</f>
        <v>0</v>
      </c>
      <c r="AO22" s="1956"/>
      <c r="AP22" s="1956"/>
      <c r="AQ22" s="1956"/>
      <c r="AR22" s="1956"/>
      <c r="AS22" s="1957"/>
      <c r="AT22" s="1958">
        <f t="shared" si="1"/>
        <v>0.3888888888888889</v>
      </c>
      <c r="AU22" s="1959"/>
      <c r="AV22" s="1959"/>
      <c r="AW22" s="1959"/>
      <c r="AX22" s="1959"/>
      <c r="AY22" s="1960"/>
      <c r="AZ22" s="1202"/>
      <c r="BA22" s="1202"/>
      <c r="BB22" s="1202"/>
      <c r="BC22" s="1202"/>
      <c r="BD22" s="1202"/>
      <c r="BE22" s="1209"/>
    </row>
    <row r="23" spans="1:58" ht="15">
      <c r="A23" s="1202"/>
      <c r="B23" s="1952">
        <v>0.7</v>
      </c>
      <c r="C23" s="1953"/>
      <c r="D23" s="1953"/>
      <c r="E23" s="1953"/>
      <c r="F23" s="1953"/>
      <c r="G23" s="1953"/>
      <c r="H23" s="1953"/>
      <c r="I23" s="1954"/>
      <c r="J23" s="1955">
        <f t="shared" si="0"/>
        <v>43</v>
      </c>
      <c r="K23" s="1956"/>
      <c r="L23" s="1956"/>
      <c r="M23" s="1956"/>
      <c r="N23" s="1956"/>
      <c r="O23" s="1957"/>
      <c r="P23" s="1955" cm="1">
        <f t="array" ref="P23">SUMPRODUCT((Application!$B$726:$B$760 = 'CalHFA Addendum'!P$18)*(Application!$AC$726:$AC$760 = 'CalHFA Addendum'!$B23),Application!$G$726:$G$760)</f>
        <v>5</v>
      </c>
      <c r="Q23" s="1956"/>
      <c r="R23" s="1956"/>
      <c r="S23" s="1956"/>
      <c r="T23" s="1956"/>
      <c r="U23" s="1957"/>
      <c r="V23" s="1955" cm="1">
        <f t="array" ref="V23">SUMPRODUCT((Application!$B$726:$B$760 = 'CalHFA Addendum'!V$18)*(Application!$AC$726:$AC$760 = 'CalHFA Addendum'!$B23),Application!$G$726:$G$760)</f>
        <v>14</v>
      </c>
      <c r="W23" s="1956"/>
      <c r="X23" s="1956"/>
      <c r="Y23" s="1956"/>
      <c r="Z23" s="1956"/>
      <c r="AA23" s="1957"/>
      <c r="AB23" s="1955" cm="1">
        <f t="array" ref="AB23">SUMPRODUCT((Application!$B$726:$B$760 = 'CalHFA Addendum'!AB$18)*(Application!$AC$726:$AC$760 = 'CalHFA Addendum'!$B23),Application!$G$726:$G$760)</f>
        <v>24</v>
      </c>
      <c r="AC23" s="1956"/>
      <c r="AD23" s="1956"/>
      <c r="AE23" s="1956"/>
      <c r="AF23" s="1956"/>
      <c r="AG23" s="1957"/>
      <c r="AH23" s="1955" cm="1">
        <f t="array" ref="AH23">SUMPRODUCT((Application!$B$726:$B$760 = 'CalHFA Addendum'!AH$18)*(Application!$AC$726:$AC$760 = 'CalHFA Addendum'!$B23),Application!$G$726:$G$760)</f>
        <v>0</v>
      </c>
      <c r="AI23" s="1956"/>
      <c r="AJ23" s="1956"/>
      <c r="AK23" s="1956"/>
      <c r="AL23" s="1956"/>
      <c r="AM23" s="1957"/>
      <c r="AN23" s="1955" cm="1">
        <f t="array" ref="AN23">SUMPRODUCT((Application!$B$726:$B$760 = 'CalHFA Addendum'!AN$18)*(Application!$AC$726:$AC$760 = 'CalHFA Addendum'!$B23),Application!$G$726:$G$760)</f>
        <v>0</v>
      </c>
      <c r="AO23" s="1956"/>
      <c r="AP23" s="1956"/>
      <c r="AQ23" s="1956"/>
      <c r="AR23" s="1956"/>
      <c r="AS23" s="1957"/>
      <c r="AT23" s="1958">
        <f t="shared" si="1"/>
        <v>0.39814814814814814</v>
      </c>
      <c r="AU23" s="1959"/>
      <c r="AV23" s="1959"/>
      <c r="AW23" s="1959"/>
      <c r="AX23" s="1959"/>
      <c r="AY23" s="1960"/>
      <c r="AZ23" s="1202"/>
      <c r="BA23" s="1202"/>
      <c r="BB23" s="1202"/>
      <c r="BC23" s="1202"/>
      <c r="BD23" s="1202"/>
      <c r="BE23" s="1209"/>
    </row>
    <row r="24" spans="1:58" ht="15">
      <c r="A24" s="1202"/>
      <c r="B24" s="1952">
        <v>0.8</v>
      </c>
      <c r="C24" s="1953"/>
      <c r="D24" s="1953"/>
      <c r="E24" s="1953"/>
      <c r="F24" s="1953"/>
      <c r="G24" s="1953"/>
      <c r="H24" s="1953"/>
      <c r="I24" s="1954"/>
      <c r="J24" s="1955">
        <f t="shared" si="0"/>
        <v>0</v>
      </c>
      <c r="K24" s="1956"/>
      <c r="L24" s="1956"/>
      <c r="M24" s="1956"/>
      <c r="N24" s="1956"/>
      <c r="O24" s="1957"/>
      <c r="P24" s="1955" cm="1">
        <f t="array" ref="P24">SUMPRODUCT((Application!$B$726:$B$760 = 'CalHFA Addendum'!P$18)*(Application!$AC$726:$AC$760 = 'CalHFA Addendum'!$B24),Application!$G$726:$G$760)</f>
        <v>0</v>
      </c>
      <c r="Q24" s="1956"/>
      <c r="R24" s="1956"/>
      <c r="S24" s="1956"/>
      <c r="T24" s="1956"/>
      <c r="U24" s="1957"/>
      <c r="V24" s="1955" cm="1">
        <f t="array" ref="V24">SUMPRODUCT((Application!$B$726:$B$760 = 'CalHFA Addendum'!V$18)*(Application!$AC$726:$AC$760 = 'CalHFA Addendum'!$B24),Application!$G$726:$G$760)</f>
        <v>0</v>
      </c>
      <c r="W24" s="1956"/>
      <c r="X24" s="1956"/>
      <c r="Y24" s="1956"/>
      <c r="Z24" s="1956"/>
      <c r="AA24" s="1957"/>
      <c r="AB24" s="1955" cm="1">
        <f t="array" ref="AB24">SUMPRODUCT((Application!$B$726:$B$760 = 'CalHFA Addendum'!AB$18)*(Application!$AC$726:$AC$760 = 'CalHFA Addendum'!$B24),Application!$G$726:$G$760)</f>
        <v>0</v>
      </c>
      <c r="AC24" s="1956"/>
      <c r="AD24" s="1956"/>
      <c r="AE24" s="1956"/>
      <c r="AF24" s="1956"/>
      <c r="AG24" s="1957"/>
      <c r="AH24" s="1955" cm="1">
        <f t="array" ref="AH24">SUMPRODUCT((Application!$B$726:$B$760 = 'CalHFA Addendum'!AH$18)*(Application!$AC$726:$AC$760 = 'CalHFA Addendum'!$B24),Application!$G$726:$G$760)</f>
        <v>0</v>
      </c>
      <c r="AI24" s="1956"/>
      <c r="AJ24" s="1956"/>
      <c r="AK24" s="1956"/>
      <c r="AL24" s="1956"/>
      <c r="AM24" s="1957"/>
      <c r="AN24" s="1955" cm="1">
        <f t="array" ref="AN24">SUMPRODUCT((Application!$B$726:$B$760 = 'CalHFA Addendum'!AN$18)*(Application!$AC$726:$AC$760 = 'CalHFA Addendum'!$B24),Application!$G$726:$G$760)</f>
        <v>0</v>
      </c>
      <c r="AO24" s="1956"/>
      <c r="AP24" s="1956"/>
      <c r="AQ24" s="1956"/>
      <c r="AR24" s="1956"/>
      <c r="AS24" s="1957"/>
      <c r="AT24" s="1958">
        <f t="shared" si="1"/>
        <v>0</v>
      </c>
      <c r="AU24" s="1959"/>
      <c r="AV24" s="1959"/>
      <c r="AW24" s="1959"/>
      <c r="AX24" s="1959"/>
      <c r="AY24" s="1960"/>
      <c r="AZ24" s="1202"/>
      <c r="BA24" s="1202"/>
      <c r="BB24" s="1202"/>
      <c r="BC24" s="1202"/>
      <c r="BD24" s="1202"/>
      <c r="BE24" s="1209"/>
    </row>
    <row r="25" spans="1:58" ht="15">
      <c r="A25" s="1202"/>
      <c r="B25" s="1952">
        <v>0.9</v>
      </c>
      <c r="C25" s="1953"/>
      <c r="D25" s="1953"/>
      <c r="E25" s="1953"/>
      <c r="F25" s="1953"/>
      <c r="G25" s="1953"/>
      <c r="H25" s="1953"/>
      <c r="I25" s="1954"/>
      <c r="J25" s="1961"/>
      <c r="K25" s="1962"/>
      <c r="L25" s="1962"/>
      <c r="M25" s="1962"/>
      <c r="N25" s="1962"/>
      <c r="O25" s="1963"/>
      <c r="P25" s="1961"/>
      <c r="Q25" s="1962"/>
      <c r="R25" s="1962"/>
      <c r="S25" s="1962"/>
      <c r="T25" s="1962"/>
      <c r="U25" s="1963"/>
      <c r="V25" s="1961"/>
      <c r="W25" s="1962"/>
      <c r="X25" s="1962"/>
      <c r="Y25" s="1962"/>
      <c r="Z25" s="1962"/>
      <c r="AA25" s="1963"/>
      <c r="AB25" s="1961"/>
      <c r="AC25" s="1962"/>
      <c r="AD25" s="1962"/>
      <c r="AE25" s="1962"/>
      <c r="AF25" s="1962"/>
      <c r="AG25" s="1963"/>
      <c r="AH25" s="1961"/>
      <c r="AI25" s="1962"/>
      <c r="AJ25" s="1962"/>
      <c r="AK25" s="1962"/>
      <c r="AL25" s="1962"/>
      <c r="AM25" s="1963"/>
      <c r="AN25" s="1961"/>
      <c r="AO25" s="1962"/>
      <c r="AP25" s="1962"/>
      <c r="AQ25" s="1962"/>
      <c r="AR25" s="1962"/>
      <c r="AS25" s="1963"/>
      <c r="AT25" s="1958">
        <f t="shared" si="1"/>
        <v>0</v>
      </c>
      <c r="AU25" s="1959"/>
      <c r="AV25" s="1959"/>
      <c r="AW25" s="1959"/>
      <c r="AX25" s="1959"/>
      <c r="AY25" s="1960"/>
      <c r="AZ25" s="1202"/>
      <c r="BA25" s="1202"/>
      <c r="BB25" s="1202"/>
      <c r="BC25" s="1202"/>
      <c r="BD25" s="1202"/>
      <c r="BE25" s="1209"/>
    </row>
    <row r="26" spans="1:58" ht="15">
      <c r="A26" s="1202"/>
      <c r="B26" s="1952">
        <v>1</v>
      </c>
      <c r="C26" s="1953"/>
      <c r="D26" s="1953"/>
      <c r="E26" s="1953"/>
      <c r="F26" s="1953"/>
      <c r="G26" s="1953"/>
      <c r="H26" s="1953"/>
      <c r="I26" s="1954"/>
      <c r="J26" s="1961"/>
      <c r="K26" s="1962"/>
      <c r="L26" s="1962"/>
      <c r="M26" s="1962"/>
      <c r="N26" s="1962"/>
      <c r="O26" s="1963"/>
      <c r="P26" s="1961"/>
      <c r="Q26" s="1962"/>
      <c r="R26" s="1962"/>
      <c r="S26" s="1962"/>
      <c r="T26" s="1962"/>
      <c r="U26" s="1963"/>
      <c r="V26" s="1961"/>
      <c r="W26" s="1962"/>
      <c r="X26" s="1962"/>
      <c r="Y26" s="1962"/>
      <c r="Z26" s="1962"/>
      <c r="AA26" s="1963"/>
      <c r="AB26" s="1961"/>
      <c r="AC26" s="1962"/>
      <c r="AD26" s="1962"/>
      <c r="AE26" s="1962"/>
      <c r="AF26" s="1962"/>
      <c r="AG26" s="1963"/>
      <c r="AH26" s="1961"/>
      <c r="AI26" s="1962"/>
      <c r="AJ26" s="1962"/>
      <c r="AK26" s="1962"/>
      <c r="AL26" s="1962"/>
      <c r="AM26" s="1963"/>
      <c r="AN26" s="1961"/>
      <c r="AO26" s="1962"/>
      <c r="AP26" s="1962"/>
      <c r="AQ26" s="1962"/>
      <c r="AR26" s="1962"/>
      <c r="AS26" s="1963"/>
      <c r="AT26" s="1958">
        <f t="shared" si="1"/>
        <v>0</v>
      </c>
      <c r="AU26" s="1959"/>
      <c r="AV26" s="1959"/>
      <c r="AW26" s="1959"/>
      <c r="AX26" s="1959"/>
      <c r="AY26" s="1960"/>
      <c r="AZ26" s="1202"/>
      <c r="BA26" s="1202"/>
      <c r="BB26" s="1202"/>
      <c r="BC26" s="1202"/>
      <c r="BD26" s="1202"/>
      <c r="BE26" s="1209"/>
    </row>
    <row r="27" spans="1:58" ht="15">
      <c r="A27" s="1202"/>
      <c r="B27" s="1952">
        <v>1.2</v>
      </c>
      <c r="C27" s="1953"/>
      <c r="D27" s="1953"/>
      <c r="E27" s="1953"/>
      <c r="F27" s="1953"/>
      <c r="G27" s="1953"/>
      <c r="H27" s="1953"/>
      <c r="I27" s="1954"/>
      <c r="J27" s="1961"/>
      <c r="K27" s="1962"/>
      <c r="L27" s="1962"/>
      <c r="M27" s="1962"/>
      <c r="N27" s="1962"/>
      <c r="O27" s="1963"/>
      <c r="P27" s="1961"/>
      <c r="Q27" s="1962"/>
      <c r="R27" s="1962"/>
      <c r="S27" s="1962"/>
      <c r="T27" s="1962"/>
      <c r="U27" s="1963"/>
      <c r="V27" s="1961"/>
      <c r="W27" s="1962"/>
      <c r="X27" s="1962"/>
      <c r="Y27" s="1962"/>
      <c r="Z27" s="1962"/>
      <c r="AA27" s="1963"/>
      <c r="AB27" s="1961"/>
      <c r="AC27" s="1962"/>
      <c r="AD27" s="1962"/>
      <c r="AE27" s="1962"/>
      <c r="AF27" s="1962"/>
      <c r="AG27" s="1963"/>
      <c r="AH27" s="1961"/>
      <c r="AI27" s="1962"/>
      <c r="AJ27" s="1962"/>
      <c r="AK27" s="1962"/>
      <c r="AL27" s="1962"/>
      <c r="AM27" s="1963"/>
      <c r="AN27" s="1961"/>
      <c r="AO27" s="1962"/>
      <c r="AP27" s="1962"/>
      <c r="AQ27" s="1962"/>
      <c r="AR27" s="1962"/>
      <c r="AS27" s="1963"/>
      <c r="AT27" s="1958">
        <f t="shared" si="1"/>
        <v>0</v>
      </c>
      <c r="AU27" s="1959"/>
      <c r="AV27" s="1959"/>
      <c r="AW27" s="1959"/>
      <c r="AX27" s="1959"/>
      <c r="AY27" s="1960"/>
      <c r="AZ27" s="1202"/>
      <c r="BA27" s="1202"/>
      <c r="BB27" s="1202"/>
      <c r="BC27" s="1202"/>
      <c r="BD27" s="1202"/>
      <c r="BE27" s="1209"/>
    </row>
    <row r="28" spans="1:58" thickBot="1">
      <c r="A28" s="1202"/>
      <c r="B28" s="1964" t="s">
        <v>2358</v>
      </c>
      <c r="C28" s="1965"/>
      <c r="D28" s="1965"/>
      <c r="E28" s="1965"/>
      <c r="F28" s="1965"/>
      <c r="G28" s="1965"/>
      <c r="H28" s="1965"/>
      <c r="I28" s="1966"/>
      <c r="J28" s="1967">
        <f>SUM(P28:AS28)</f>
        <v>1</v>
      </c>
      <c r="K28" s="1968"/>
      <c r="L28" s="1968"/>
      <c r="M28" s="1968"/>
      <c r="N28" s="1968"/>
      <c r="O28" s="1969"/>
      <c r="P28" s="1967">
        <f>_xlfn.IFNA(VLOOKUP(P$18,Application!$J$781:$S$784,6,FALSE), 0)</f>
        <v>0</v>
      </c>
      <c r="Q28" s="1968"/>
      <c r="R28" s="1968"/>
      <c r="S28" s="1968"/>
      <c r="T28" s="1968"/>
      <c r="U28" s="1969"/>
      <c r="V28" s="1967">
        <f>_xlfn.IFNA(VLOOKUP(V$18,Application!$J$781:$S$784,6,FALSE), 0)</f>
        <v>0</v>
      </c>
      <c r="W28" s="1968"/>
      <c r="X28" s="1968"/>
      <c r="Y28" s="1968"/>
      <c r="Z28" s="1968"/>
      <c r="AA28" s="1969"/>
      <c r="AB28" s="1967">
        <f>_xlfn.IFNA(VLOOKUP(AB$18,Application!$J$781:$S$784,6,FALSE), 0)</f>
        <v>1</v>
      </c>
      <c r="AC28" s="1968"/>
      <c r="AD28" s="1968"/>
      <c r="AE28" s="1968"/>
      <c r="AF28" s="1968"/>
      <c r="AG28" s="1969"/>
      <c r="AH28" s="1967">
        <f>_xlfn.IFNA(VLOOKUP(AH$18,Application!$J$781:$S$784,6,FALSE), 0)</f>
        <v>0</v>
      </c>
      <c r="AI28" s="1968"/>
      <c r="AJ28" s="1968"/>
      <c r="AK28" s="1968"/>
      <c r="AL28" s="1968"/>
      <c r="AM28" s="1969"/>
      <c r="AN28" s="1967">
        <f>_xlfn.IFNA(VLOOKUP(AN$18,Application!$J$781:$S$784,6,FALSE), 0)</f>
        <v>0</v>
      </c>
      <c r="AO28" s="1968"/>
      <c r="AP28" s="1968"/>
      <c r="AQ28" s="1968"/>
      <c r="AR28" s="1968"/>
      <c r="AS28" s="1969"/>
      <c r="AT28" s="1970">
        <f t="shared" si="1"/>
        <v>9.2592592592592587E-3</v>
      </c>
      <c r="AU28" s="1971"/>
      <c r="AV28" s="1971"/>
      <c r="AW28" s="1971"/>
      <c r="AX28" s="1971"/>
      <c r="AY28" s="1972"/>
      <c r="AZ28" s="1202"/>
      <c r="BA28" s="1202"/>
      <c r="BB28" s="1202"/>
      <c r="BC28" s="1202"/>
      <c r="BD28" s="1202"/>
      <c r="BE28" s="1209"/>
    </row>
    <row r="29" spans="1:58" thickBot="1">
      <c r="A29" s="1202"/>
      <c r="B29" s="2001" t="s">
        <v>1574</v>
      </c>
      <c r="C29" s="1974"/>
      <c r="D29" s="1974"/>
      <c r="E29" s="1974"/>
      <c r="F29" s="1974"/>
      <c r="G29" s="1974"/>
      <c r="H29" s="1974"/>
      <c r="I29" s="1975"/>
      <c r="J29" s="1973">
        <f>SUM(J19:O28)</f>
        <v>108</v>
      </c>
      <c r="K29" s="1974"/>
      <c r="L29" s="1974"/>
      <c r="M29" s="1974"/>
      <c r="N29" s="1974"/>
      <c r="O29" s="1975"/>
      <c r="P29" s="1973">
        <f>SUM(P19:U28)</f>
        <v>13</v>
      </c>
      <c r="Q29" s="1974"/>
      <c r="R29" s="1974"/>
      <c r="S29" s="1974"/>
      <c r="T29" s="1974"/>
      <c r="U29" s="1975"/>
      <c r="V29" s="1973">
        <f>SUM(V19:AA28)</f>
        <v>65</v>
      </c>
      <c r="W29" s="1974"/>
      <c r="X29" s="1974"/>
      <c r="Y29" s="1974"/>
      <c r="Z29" s="1974"/>
      <c r="AA29" s="1975"/>
      <c r="AB29" s="1973">
        <f>SUM(AB19:AG28)</f>
        <v>30</v>
      </c>
      <c r="AC29" s="1974"/>
      <c r="AD29" s="1974"/>
      <c r="AE29" s="1974"/>
      <c r="AF29" s="1974"/>
      <c r="AG29" s="1975"/>
      <c r="AH29" s="1973">
        <f>SUM(AH19:AM28)</f>
        <v>0</v>
      </c>
      <c r="AI29" s="1974"/>
      <c r="AJ29" s="1974"/>
      <c r="AK29" s="1974"/>
      <c r="AL29" s="1974"/>
      <c r="AM29" s="1975"/>
      <c r="AN29" s="1973">
        <f>SUM(AN19:AS28)</f>
        <v>0</v>
      </c>
      <c r="AO29" s="1974"/>
      <c r="AP29" s="1974"/>
      <c r="AQ29" s="1974"/>
      <c r="AR29" s="1974"/>
      <c r="AS29" s="1975"/>
      <c r="AT29" s="1976">
        <f t="shared" si="1"/>
        <v>1</v>
      </c>
      <c r="AU29" s="1977"/>
      <c r="AV29" s="1977"/>
      <c r="AW29" s="1977"/>
      <c r="AX29" s="1977"/>
      <c r="AY29" s="1978"/>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79" t="s">
        <v>2357</v>
      </c>
      <c r="C31" s="1980"/>
      <c r="D31" s="1980"/>
      <c r="E31" s="1980"/>
      <c r="F31" s="1980"/>
      <c r="G31" s="1980"/>
      <c r="H31" s="1980"/>
      <c r="I31" s="1980"/>
      <c r="J31" s="1980"/>
      <c r="K31" s="1980"/>
      <c r="L31" s="1980"/>
      <c r="M31" s="1980"/>
      <c r="N31" s="1980"/>
      <c r="O31" s="1980"/>
      <c r="P31" s="1980"/>
      <c r="Q31" s="1980"/>
      <c r="R31" s="1980"/>
      <c r="S31" s="1980"/>
      <c r="T31" s="1980"/>
      <c r="U31" s="1980"/>
      <c r="V31" s="1980"/>
      <c r="W31" s="1980"/>
      <c r="X31" s="1980"/>
      <c r="Y31" s="1980"/>
      <c r="Z31" s="1980"/>
      <c r="AA31" s="1980"/>
      <c r="AB31" s="1980"/>
      <c r="AC31" s="1980"/>
      <c r="AD31" s="1980"/>
      <c r="AE31" s="1980"/>
      <c r="AF31" s="1980"/>
      <c r="AG31" s="1980"/>
      <c r="AH31" s="1980"/>
      <c r="AI31" s="1980"/>
      <c r="AJ31" s="1980"/>
      <c r="AK31" s="1980"/>
      <c r="AL31" s="1980"/>
      <c r="AM31" s="1980"/>
      <c r="AN31" s="1980"/>
      <c r="AO31" s="1980"/>
      <c r="AP31" s="1980"/>
      <c r="AQ31" s="1980"/>
      <c r="AR31" s="1980"/>
      <c r="AS31" s="1980"/>
      <c r="AT31" s="1980"/>
      <c r="AU31" s="1980"/>
      <c r="AV31" s="1980"/>
      <c r="AW31" s="1980"/>
      <c r="AX31" s="1980"/>
      <c r="AY31" s="1980"/>
      <c r="AZ31" s="1980"/>
      <c r="BA31" s="1980"/>
      <c r="BB31" s="1980"/>
      <c r="BC31" s="1980"/>
      <c r="BD31" s="1981"/>
      <c r="BE31" s="1209"/>
    </row>
    <row r="32" spans="1:58" thickBot="1">
      <c r="A32" s="1202"/>
      <c r="B32" s="1982" t="s">
        <v>2356</v>
      </c>
      <c r="C32" s="1983"/>
      <c r="D32" s="1983"/>
      <c r="E32" s="1983"/>
      <c r="F32" s="1983"/>
      <c r="G32" s="1983"/>
      <c r="H32" s="1983"/>
      <c r="I32" s="1983"/>
      <c r="J32" s="1986" t="s">
        <v>2355</v>
      </c>
      <c r="K32" s="1987"/>
      <c r="L32" s="1987"/>
      <c r="M32" s="1987"/>
      <c r="N32" s="1986" t="s">
        <v>2354</v>
      </c>
      <c r="O32" s="1987"/>
      <c r="P32" s="1987"/>
      <c r="Q32" s="1989"/>
      <c r="R32" s="1991" t="s">
        <v>2353</v>
      </c>
      <c r="S32" s="1992"/>
      <c r="T32" s="1992"/>
      <c r="U32" s="1992"/>
      <c r="V32" s="1992"/>
      <c r="W32" s="1992"/>
      <c r="X32" s="1992"/>
      <c r="Y32" s="1992"/>
      <c r="Z32" s="1992"/>
      <c r="AA32" s="1992"/>
      <c r="AB32" s="1992"/>
      <c r="AC32" s="1992"/>
      <c r="AD32" s="1992"/>
      <c r="AE32" s="1992"/>
      <c r="AF32" s="1992"/>
      <c r="AG32" s="1992"/>
      <c r="AH32" s="1992"/>
      <c r="AI32" s="1992"/>
      <c r="AJ32" s="1992"/>
      <c r="AK32" s="1992"/>
      <c r="AL32" s="1992"/>
      <c r="AM32" s="1992"/>
      <c r="AN32" s="1992"/>
      <c r="AO32" s="1992"/>
      <c r="AP32" s="1992"/>
      <c r="AQ32" s="1992"/>
      <c r="AR32" s="1992"/>
      <c r="AS32" s="1992"/>
      <c r="AT32" s="1992"/>
      <c r="AU32" s="1992"/>
      <c r="AV32" s="1992"/>
      <c r="AW32" s="1992"/>
      <c r="AX32" s="1992"/>
      <c r="AY32" s="1992"/>
      <c r="AZ32" s="1992"/>
      <c r="BA32" s="1992"/>
      <c r="BB32" s="1992"/>
      <c r="BC32" s="1992"/>
      <c r="BD32" s="1993"/>
      <c r="BE32" s="1209"/>
    </row>
    <row r="33" spans="1:58" ht="15" customHeight="1">
      <c r="A33" s="1202"/>
      <c r="B33" s="1984"/>
      <c r="C33" s="1985"/>
      <c r="D33" s="1985"/>
      <c r="E33" s="1985"/>
      <c r="F33" s="1985"/>
      <c r="G33" s="1985"/>
      <c r="H33" s="1985"/>
      <c r="I33" s="1985"/>
      <c r="J33" s="1988"/>
      <c r="K33" s="1988"/>
      <c r="L33" s="1988"/>
      <c r="M33" s="1988"/>
      <c r="N33" s="1988"/>
      <c r="O33" s="1988"/>
      <c r="P33" s="1988"/>
      <c r="Q33" s="1990"/>
      <c r="R33" s="1994" t="s">
        <v>2352</v>
      </c>
      <c r="S33" s="1995"/>
      <c r="T33" s="1995"/>
      <c r="U33" s="1995"/>
      <c r="V33" s="1995"/>
      <c r="W33" s="1995"/>
      <c r="X33" s="1995"/>
      <c r="Y33" s="1995"/>
      <c r="Z33" s="1995"/>
      <c r="AA33" s="1995"/>
      <c r="AB33" s="1995"/>
      <c r="AC33" s="1995"/>
      <c r="AD33" s="1995"/>
      <c r="AE33" s="1995"/>
      <c r="AF33" s="1995"/>
      <c r="AG33" s="1995"/>
      <c r="AH33" s="1995"/>
      <c r="AI33" s="1995"/>
      <c r="AJ33" s="1995"/>
      <c r="AK33" s="1995"/>
      <c r="AL33" s="1995"/>
      <c r="AM33" s="1995"/>
      <c r="AN33" s="1995"/>
      <c r="AO33" s="1995"/>
      <c r="AP33" s="1995"/>
      <c r="AQ33" s="1995"/>
      <c r="AR33" s="1995"/>
      <c r="AS33" s="1995"/>
      <c r="AT33" s="1995"/>
      <c r="AU33" s="1995"/>
      <c r="AV33" s="1995"/>
      <c r="AW33" s="1995"/>
      <c r="AX33" s="1995"/>
      <c r="AY33" s="1995"/>
      <c r="AZ33" s="1995"/>
      <c r="BA33" s="1995"/>
      <c r="BB33" s="1995"/>
      <c r="BC33" s="1995"/>
      <c r="BD33" s="1996"/>
      <c r="BE33" s="1209"/>
    </row>
    <row r="34" spans="1:58" ht="15.75" customHeight="1" thickBot="1">
      <c r="A34" s="1202"/>
      <c r="B34" s="1984"/>
      <c r="C34" s="1985"/>
      <c r="D34" s="1985"/>
      <c r="E34" s="1985"/>
      <c r="F34" s="1985"/>
      <c r="G34" s="1985"/>
      <c r="H34" s="1985"/>
      <c r="I34" s="1985"/>
      <c r="J34" s="1988"/>
      <c r="K34" s="1988"/>
      <c r="L34" s="1988"/>
      <c r="M34" s="1988"/>
      <c r="N34" s="1988"/>
      <c r="O34" s="1988"/>
      <c r="P34" s="1988"/>
      <c r="Q34" s="1990"/>
      <c r="R34" s="1997"/>
      <c r="S34" s="1998"/>
      <c r="T34" s="1998"/>
      <c r="U34" s="1998"/>
      <c r="V34" s="1998"/>
      <c r="W34" s="1998"/>
      <c r="X34" s="1998"/>
      <c r="Y34" s="1998"/>
      <c r="Z34" s="1998"/>
      <c r="AA34" s="1998"/>
      <c r="AB34" s="1998"/>
      <c r="AC34" s="1998"/>
      <c r="AD34" s="1998"/>
      <c r="AE34" s="1998"/>
      <c r="AF34" s="1998"/>
      <c r="AG34" s="1998"/>
      <c r="AH34" s="1998"/>
      <c r="AI34" s="1998"/>
      <c r="AJ34" s="1998"/>
      <c r="AK34" s="1998"/>
      <c r="AL34" s="1998"/>
      <c r="AM34" s="1998"/>
      <c r="AN34" s="1998"/>
      <c r="AO34" s="1998"/>
      <c r="AP34" s="1998"/>
      <c r="AQ34" s="1998"/>
      <c r="AR34" s="1998"/>
      <c r="AS34" s="1998"/>
      <c r="AT34" s="1998"/>
      <c r="AU34" s="1998"/>
      <c r="AV34" s="1998"/>
      <c r="AW34" s="1998"/>
      <c r="AX34" s="1998"/>
      <c r="AY34" s="1998"/>
      <c r="AZ34" s="1998"/>
      <c r="BA34" s="1998"/>
      <c r="BB34" s="1998"/>
      <c r="BC34" s="1998"/>
      <c r="BD34" s="1999"/>
      <c r="BE34" s="1209"/>
    </row>
    <row r="35" spans="1:58" ht="15.75" customHeight="1">
      <c r="A35" s="1202"/>
      <c r="B35" s="1984"/>
      <c r="C35" s="1985"/>
      <c r="D35" s="1985"/>
      <c r="E35" s="1985"/>
      <c r="F35" s="1985"/>
      <c r="G35" s="1985"/>
      <c r="H35" s="1985"/>
      <c r="I35" s="1985"/>
      <c r="J35" s="1988"/>
      <c r="K35" s="1988"/>
      <c r="L35" s="1988"/>
      <c r="M35" s="1988"/>
      <c r="N35" s="1988"/>
      <c r="O35" s="1988"/>
      <c r="P35" s="1988"/>
      <c r="Q35" s="1988"/>
      <c r="R35" s="2000">
        <v>0.3</v>
      </c>
      <c r="S35" s="2000"/>
      <c r="T35" s="2000"/>
      <c r="U35" s="2000"/>
      <c r="V35" s="2000">
        <v>0.4</v>
      </c>
      <c r="W35" s="2000"/>
      <c r="X35" s="2000"/>
      <c r="Y35" s="2000"/>
      <c r="Z35" s="2000">
        <v>0.5</v>
      </c>
      <c r="AA35" s="2000"/>
      <c r="AB35" s="2000"/>
      <c r="AC35" s="2000"/>
      <c r="AD35" s="2000">
        <v>0.6</v>
      </c>
      <c r="AE35" s="2000"/>
      <c r="AF35" s="2000"/>
      <c r="AG35" s="2000"/>
      <c r="AH35" s="2000">
        <v>0.7</v>
      </c>
      <c r="AI35" s="2000"/>
      <c r="AJ35" s="2000"/>
      <c r="AK35" s="2000"/>
      <c r="AL35" s="2005">
        <v>0.8</v>
      </c>
      <c r="AM35" s="2006"/>
      <c r="AN35" s="2006"/>
      <c r="AO35" s="2007"/>
      <c r="AP35" s="2008">
        <v>1.2</v>
      </c>
      <c r="AQ35" s="2009"/>
      <c r="AR35" s="2010"/>
      <c r="AS35" s="2002" t="s">
        <v>2351</v>
      </c>
      <c r="AT35" s="2003"/>
      <c r="AU35" s="2003"/>
      <c r="AV35" s="2003"/>
      <c r="AW35" s="2003"/>
      <c r="AX35" s="2011"/>
      <c r="AY35" s="2002" t="s">
        <v>2350</v>
      </c>
      <c r="AZ35" s="2003"/>
      <c r="BA35" s="2003"/>
      <c r="BB35" s="2003"/>
      <c r="BC35" s="2003"/>
      <c r="BD35" s="2004"/>
      <c r="BE35" s="1209"/>
    </row>
    <row r="36" spans="1:58" ht="15.75" customHeight="1">
      <c r="A36" s="1202"/>
      <c r="B36" s="2021" t="s">
        <v>2349</v>
      </c>
      <c r="C36" s="2022"/>
      <c r="D36" s="2022"/>
      <c r="E36" s="2022"/>
      <c r="F36" s="2022"/>
      <c r="G36" s="2022"/>
      <c r="H36" s="2022"/>
      <c r="I36" s="2022"/>
      <c r="J36" s="2023" t="s">
        <v>2348</v>
      </c>
      <c r="K36" s="2023"/>
      <c r="L36" s="2023"/>
      <c r="M36" s="2023"/>
      <c r="N36" s="2023">
        <v>55</v>
      </c>
      <c r="O36" s="2023"/>
      <c r="P36" s="2023"/>
      <c r="Q36" s="2023"/>
      <c r="R36" s="2024"/>
      <c r="S36" s="2024"/>
      <c r="T36" s="2024"/>
      <c r="U36" s="2024"/>
      <c r="V36" s="2024"/>
      <c r="W36" s="2024"/>
      <c r="X36" s="2024"/>
      <c r="Y36" s="2024"/>
      <c r="Z36" s="2024"/>
      <c r="AA36" s="2024"/>
      <c r="AB36" s="2024"/>
      <c r="AC36" s="2024"/>
      <c r="AD36" s="2024"/>
      <c r="AE36" s="2024"/>
      <c r="AF36" s="2024"/>
      <c r="AG36" s="2024"/>
      <c r="AH36" s="2024"/>
      <c r="AI36" s="2024"/>
      <c r="AJ36" s="2024"/>
      <c r="AK36" s="2024"/>
      <c r="AL36" s="2012"/>
      <c r="AM36" s="2013"/>
      <c r="AN36" s="2013"/>
      <c r="AO36" s="2014"/>
      <c r="AP36" s="2012"/>
      <c r="AQ36" s="2013"/>
      <c r="AR36" s="2014"/>
      <c r="AS36" s="2015">
        <f t="shared" ref="AS36:AS47" si="2">SUM(R36:AR36)</f>
        <v>0</v>
      </c>
      <c r="AT36" s="2016"/>
      <c r="AU36" s="2016"/>
      <c r="AV36" s="2016"/>
      <c r="AW36" s="2016"/>
      <c r="AX36" s="2017"/>
      <c r="AY36" s="2018">
        <f t="shared" ref="AY36:AY47" si="3">AS36/$J$29</f>
        <v>0</v>
      </c>
      <c r="AZ36" s="2019"/>
      <c r="BA36" s="2019"/>
      <c r="BB36" s="2019"/>
      <c r="BC36" s="2019"/>
      <c r="BD36" s="2020"/>
      <c r="BE36" s="1209"/>
    </row>
    <row r="37" spans="1:58" ht="15.75" customHeight="1">
      <c r="A37" s="1202"/>
      <c r="B37" s="2021" t="s">
        <v>2347</v>
      </c>
      <c r="C37" s="2022"/>
      <c r="D37" s="2022"/>
      <c r="E37" s="2022"/>
      <c r="F37" s="2022"/>
      <c r="G37" s="2022"/>
      <c r="H37" s="2022"/>
      <c r="I37" s="2022"/>
      <c r="J37" s="2023" t="s">
        <v>2346</v>
      </c>
      <c r="K37" s="2023"/>
      <c r="L37" s="2023"/>
      <c r="M37" s="2023"/>
      <c r="N37" s="2023">
        <v>55</v>
      </c>
      <c r="O37" s="2023"/>
      <c r="P37" s="2023"/>
      <c r="Q37" s="2023"/>
      <c r="R37" s="2024"/>
      <c r="S37" s="2024"/>
      <c r="T37" s="2024"/>
      <c r="U37" s="2024"/>
      <c r="V37" s="2024"/>
      <c r="W37" s="2024"/>
      <c r="X37" s="2024"/>
      <c r="Y37" s="2024"/>
      <c r="Z37" s="2024"/>
      <c r="AA37" s="2024"/>
      <c r="AB37" s="2024"/>
      <c r="AC37" s="2024"/>
      <c r="AD37" s="2024"/>
      <c r="AE37" s="2024"/>
      <c r="AF37" s="2024"/>
      <c r="AG37" s="2024"/>
      <c r="AH37" s="2024"/>
      <c r="AI37" s="2024"/>
      <c r="AJ37" s="2024"/>
      <c r="AK37" s="2024"/>
      <c r="AL37" s="2012"/>
      <c r="AM37" s="2013"/>
      <c r="AN37" s="2013"/>
      <c r="AO37" s="2014"/>
      <c r="AP37" s="2012"/>
      <c r="AQ37" s="2013"/>
      <c r="AR37" s="2014"/>
      <c r="AS37" s="2015">
        <f t="shared" si="2"/>
        <v>0</v>
      </c>
      <c r="AT37" s="2016"/>
      <c r="AU37" s="2016"/>
      <c r="AV37" s="2016"/>
      <c r="AW37" s="2016"/>
      <c r="AX37" s="2017"/>
      <c r="AY37" s="2018">
        <f t="shared" si="3"/>
        <v>0</v>
      </c>
      <c r="AZ37" s="2019"/>
      <c r="BA37" s="2019"/>
      <c r="BB37" s="2019"/>
      <c r="BC37" s="2019"/>
      <c r="BD37" s="2020"/>
      <c r="BE37" s="1209"/>
    </row>
    <row r="38" spans="1:58" ht="15.75" customHeight="1">
      <c r="A38" s="1202"/>
      <c r="B38" s="2021" t="s">
        <v>2345</v>
      </c>
      <c r="C38" s="2022"/>
      <c r="D38" s="2022"/>
      <c r="E38" s="2022"/>
      <c r="F38" s="2022"/>
      <c r="G38" s="2022"/>
      <c r="H38" s="2022"/>
      <c r="I38" s="2022"/>
      <c r="J38" s="2023" t="s">
        <v>2344</v>
      </c>
      <c r="K38" s="2023"/>
      <c r="L38" s="2023"/>
      <c r="M38" s="2023"/>
      <c r="N38" s="2023">
        <v>55</v>
      </c>
      <c r="O38" s="2023"/>
      <c r="P38" s="2023"/>
      <c r="Q38" s="2023"/>
      <c r="R38" s="2024"/>
      <c r="S38" s="2024"/>
      <c r="T38" s="2024"/>
      <c r="U38" s="2024"/>
      <c r="V38" s="2024"/>
      <c r="W38" s="2024"/>
      <c r="X38" s="2024"/>
      <c r="Y38" s="2024"/>
      <c r="Z38" s="2024"/>
      <c r="AA38" s="2024"/>
      <c r="AB38" s="2024"/>
      <c r="AC38" s="2024"/>
      <c r="AD38" s="2024"/>
      <c r="AE38" s="2024"/>
      <c r="AF38" s="2024"/>
      <c r="AG38" s="2024"/>
      <c r="AH38" s="2024"/>
      <c r="AI38" s="2024"/>
      <c r="AJ38" s="2024"/>
      <c r="AK38" s="2024"/>
      <c r="AL38" s="2012"/>
      <c r="AM38" s="2013"/>
      <c r="AN38" s="2013"/>
      <c r="AO38" s="2014"/>
      <c r="AP38" s="2012"/>
      <c r="AQ38" s="2013"/>
      <c r="AR38" s="2014"/>
      <c r="AS38" s="2015">
        <f t="shared" si="2"/>
        <v>0</v>
      </c>
      <c r="AT38" s="2016"/>
      <c r="AU38" s="2016"/>
      <c r="AV38" s="2016"/>
      <c r="AW38" s="2016"/>
      <c r="AX38" s="2017"/>
      <c r="AY38" s="2018">
        <f t="shared" si="3"/>
        <v>0</v>
      </c>
      <c r="AZ38" s="2019"/>
      <c r="BA38" s="2019"/>
      <c r="BB38" s="2019"/>
      <c r="BC38" s="2019"/>
      <c r="BD38" s="2020"/>
      <c r="BE38" s="1209"/>
    </row>
    <row r="39" spans="1:58" ht="15.75" customHeight="1">
      <c r="A39" s="1202"/>
      <c r="B39" s="2021" t="s">
        <v>2343</v>
      </c>
      <c r="C39" s="2022"/>
      <c r="D39" s="2022"/>
      <c r="E39" s="2022"/>
      <c r="F39" s="2022"/>
      <c r="G39" s="2022"/>
      <c r="H39" s="2022"/>
      <c r="I39" s="2022"/>
      <c r="J39" s="2023"/>
      <c r="K39" s="2023"/>
      <c r="L39" s="2023"/>
      <c r="M39" s="2023"/>
      <c r="N39" s="2023"/>
      <c r="O39" s="2023"/>
      <c r="P39" s="2023"/>
      <c r="Q39" s="2023"/>
      <c r="R39" s="2024"/>
      <c r="S39" s="2024"/>
      <c r="T39" s="2024"/>
      <c r="U39" s="2024"/>
      <c r="V39" s="2024"/>
      <c r="W39" s="2024"/>
      <c r="X39" s="2024"/>
      <c r="Y39" s="2024"/>
      <c r="Z39" s="2024"/>
      <c r="AA39" s="2024"/>
      <c r="AB39" s="2024"/>
      <c r="AC39" s="2024"/>
      <c r="AD39" s="2024"/>
      <c r="AE39" s="2024"/>
      <c r="AF39" s="2024"/>
      <c r="AG39" s="2024"/>
      <c r="AH39" s="2024"/>
      <c r="AI39" s="2024"/>
      <c r="AJ39" s="2024"/>
      <c r="AK39" s="2024"/>
      <c r="AL39" s="2012"/>
      <c r="AM39" s="2013"/>
      <c r="AN39" s="2013"/>
      <c r="AO39" s="2014"/>
      <c r="AP39" s="2012"/>
      <c r="AQ39" s="2013"/>
      <c r="AR39" s="2014"/>
      <c r="AS39" s="2015">
        <f t="shared" si="2"/>
        <v>0</v>
      </c>
      <c r="AT39" s="2016"/>
      <c r="AU39" s="2016"/>
      <c r="AV39" s="2016"/>
      <c r="AW39" s="2016"/>
      <c r="AX39" s="2017"/>
      <c r="AY39" s="2018">
        <f t="shared" si="3"/>
        <v>0</v>
      </c>
      <c r="AZ39" s="2019"/>
      <c r="BA39" s="2019"/>
      <c r="BB39" s="2019"/>
      <c r="BC39" s="2019"/>
      <c r="BD39" s="2020"/>
      <c r="BE39" s="1209"/>
    </row>
    <row r="40" spans="1:58" ht="15.75" customHeight="1">
      <c r="A40" s="1202"/>
      <c r="B40" s="2021" t="s">
        <v>2343</v>
      </c>
      <c r="C40" s="2022"/>
      <c r="D40" s="2022"/>
      <c r="E40" s="2022"/>
      <c r="F40" s="2022"/>
      <c r="G40" s="2022"/>
      <c r="H40" s="2022"/>
      <c r="I40" s="2022"/>
      <c r="J40" s="2023"/>
      <c r="K40" s="2023"/>
      <c r="L40" s="2023"/>
      <c r="M40" s="2023"/>
      <c r="N40" s="2023"/>
      <c r="O40" s="2023"/>
      <c r="P40" s="2023"/>
      <c r="Q40" s="2023"/>
      <c r="R40" s="2024"/>
      <c r="S40" s="2024"/>
      <c r="T40" s="2024"/>
      <c r="U40" s="2024"/>
      <c r="V40" s="2024"/>
      <c r="W40" s="2024"/>
      <c r="X40" s="2024"/>
      <c r="Y40" s="2024"/>
      <c r="Z40" s="2024"/>
      <c r="AA40" s="2024"/>
      <c r="AB40" s="2024"/>
      <c r="AC40" s="2024"/>
      <c r="AD40" s="2024"/>
      <c r="AE40" s="2024"/>
      <c r="AF40" s="2024"/>
      <c r="AG40" s="2024"/>
      <c r="AH40" s="2024"/>
      <c r="AI40" s="2024"/>
      <c r="AJ40" s="2024"/>
      <c r="AK40" s="2024"/>
      <c r="AL40" s="2012"/>
      <c r="AM40" s="2013"/>
      <c r="AN40" s="2013"/>
      <c r="AO40" s="2014"/>
      <c r="AP40" s="2012"/>
      <c r="AQ40" s="2013"/>
      <c r="AR40" s="2014"/>
      <c r="AS40" s="2015">
        <f t="shared" si="2"/>
        <v>0</v>
      </c>
      <c r="AT40" s="2016"/>
      <c r="AU40" s="2016"/>
      <c r="AV40" s="2016"/>
      <c r="AW40" s="2016"/>
      <c r="AX40" s="2017"/>
      <c r="AY40" s="2018">
        <f t="shared" si="3"/>
        <v>0</v>
      </c>
      <c r="AZ40" s="2019"/>
      <c r="BA40" s="2019"/>
      <c r="BB40" s="2019"/>
      <c r="BC40" s="2019"/>
      <c r="BD40" s="2020"/>
      <c r="BE40" s="1209"/>
    </row>
    <row r="41" spans="1:58" ht="15.75" customHeight="1">
      <c r="A41" s="1202"/>
      <c r="B41" s="2021" t="s">
        <v>2342</v>
      </c>
      <c r="C41" s="2022"/>
      <c r="D41" s="2022"/>
      <c r="E41" s="2022"/>
      <c r="F41" s="2022"/>
      <c r="G41" s="2022"/>
      <c r="H41" s="2022"/>
      <c r="I41" s="2022"/>
      <c r="J41" s="2023"/>
      <c r="K41" s="2023"/>
      <c r="L41" s="2023"/>
      <c r="M41" s="2023"/>
      <c r="N41" s="2023"/>
      <c r="O41" s="2023"/>
      <c r="P41" s="2023"/>
      <c r="Q41" s="2023"/>
      <c r="R41" s="2024"/>
      <c r="S41" s="2024"/>
      <c r="T41" s="2024"/>
      <c r="U41" s="2024"/>
      <c r="V41" s="2024"/>
      <c r="W41" s="2024"/>
      <c r="X41" s="2024"/>
      <c r="Y41" s="2024"/>
      <c r="Z41" s="2024"/>
      <c r="AA41" s="2024"/>
      <c r="AB41" s="2024"/>
      <c r="AC41" s="2024"/>
      <c r="AD41" s="2024"/>
      <c r="AE41" s="2024"/>
      <c r="AF41" s="2024"/>
      <c r="AG41" s="2024"/>
      <c r="AH41" s="2024"/>
      <c r="AI41" s="2024"/>
      <c r="AJ41" s="2024"/>
      <c r="AK41" s="2024"/>
      <c r="AL41" s="2012"/>
      <c r="AM41" s="2013"/>
      <c r="AN41" s="2013"/>
      <c r="AO41" s="2014"/>
      <c r="AP41" s="2012"/>
      <c r="AQ41" s="2013"/>
      <c r="AR41" s="2014"/>
      <c r="AS41" s="2015">
        <f t="shared" si="2"/>
        <v>0</v>
      </c>
      <c r="AT41" s="2016"/>
      <c r="AU41" s="2016"/>
      <c r="AV41" s="2016"/>
      <c r="AW41" s="2016"/>
      <c r="AX41" s="2017"/>
      <c r="AY41" s="2018">
        <f t="shared" si="3"/>
        <v>0</v>
      </c>
      <c r="AZ41" s="2019"/>
      <c r="BA41" s="2019"/>
      <c r="BB41" s="2019"/>
      <c r="BC41" s="2019"/>
      <c r="BD41" s="2020"/>
      <c r="BE41" s="1209"/>
    </row>
    <row r="42" spans="1:58" ht="15.75" customHeight="1">
      <c r="A42" s="1202"/>
      <c r="B42" s="2021" t="s">
        <v>2342</v>
      </c>
      <c r="C42" s="2022"/>
      <c r="D42" s="2022"/>
      <c r="E42" s="2022"/>
      <c r="F42" s="2022"/>
      <c r="G42" s="2022"/>
      <c r="H42" s="2022"/>
      <c r="I42" s="2022"/>
      <c r="J42" s="2023"/>
      <c r="K42" s="2023"/>
      <c r="L42" s="2023"/>
      <c r="M42" s="2023"/>
      <c r="N42" s="2023"/>
      <c r="O42" s="2023"/>
      <c r="P42" s="2023"/>
      <c r="Q42" s="2023"/>
      <c r="R42" s="2024"/>
      <c r="S42" s="2024"/>
      <c r="T42" s="2024"/>
      <c r="U42" s="2024"/>
      <c r="V42" s="2024"/>
      <c r="W42" s="2024"/>
      <c r="X42" s="2024"/>
      <c r="Y42" s="2024"/>
      <c r="Z42" s="2024"/>
      <c r="AA42" s="2024"/>
      <c r="AB42" s="2024"/>
      <c r="AC42" s="2024"/>
      <c r="AD42" s="2024"/>
      <c r="AE42" s="2024"/>
      <c r="AF42" s="2024"/>
      <c r="AG42" s="2024"/>
      <c r="AH42" s="2024"/>
      <c r="AI42" s="2024"/>
      <c r="AJ42" s="2024"/>
      <c r="AK42" s="2024"/>
      <c r="AL42" s="2012"/>
      <c r="AM42" s="2013"/>
      <c r="AN42" s="2013"/>
      <c r="AO42" s="2014"/>
      <c r="AP42" s="2012"/>
      <c r="AQ42" s="2013"/>
      <c r="AR42" s="2014"/>
      <c r="AS42" s="2015">
        <f t="shared" si="2"/>
        <v>0</v>
      </c>
      <c r="AT42" s="2016"/>
      <c r="AU42" s="2016"/>
      <c r="AV42" s="2016"/>
      <c r="AW42" s="2016"/>
      <c r="AX42" s="2017"/>
      <c r="AY42" s="2018">
        <f t="shared" si="3"/>
        <v>0</v>
      </c>
      <c r="AZ42" s="2019"/>
      <c r="BA42" s="2019"/>
      <c r="BB42" s="2019"/>
      <c r="BC42" s="2019"/>
      <c r="BD42" s="2020"/>
      <c r="BE42" s="1209"/>
    </row>
    <row r="43" spans="1:58" ht="15.75" customHeight="1">
      <c r="A43" s="1202"/>
      <c r="B43" s="2025" t="s">
        <v>2341</v>
      </c>
      <c r="C43" s="2026"/>
      <c r="D43" s="2026"/>
      <c r="E43" s="2026"/>
      <c r="F43" s="2026"/>
      <c r="G43" s="2026"/>
      <c r="H43" s="2026"/>
      <c r="I43" s="2026"/>
      <c r="J43" s="2023"/>
      <c r="K43" s="2023"/>
      <c r="L43" s="2023"/>
      <c r="M43" s="2023"/>
      <c r="N43" s="2023"/>
      <c r="O43" s="2023"/>
      <c r="P43" s="2023"/>
      <c r="Q43" s="2023"/>
      <c r="R43" s="2024"/>
      <c r="S43" s="2024"/>
      <c r="T43" s="2024"/>
      <c r="U43" s="2024"/>
      <c r="V43" s="2024"/>
      <c r="W43" s="2024"/>
      <c r="X43" s="2024"/>
      <c r="Y43" s="2024"/>
      <c r="Z43" s="2024"/>
      <c r="AA43" s="2024"/>
      <c r="AB43" s="2024"/>
      <c r="AC43" s="2024"/>
      <c r="AD43" s="2024"/>
      <c r="AE43" s="2024"/>
      <c r="AF43" s="2024"/>
      <c r="AG43" s="2024"/>
      <c r="AH43" s="2024"/>
      <c r="AI43" s="2024"/>
      <c r="AJ43" s="2024"/>
      <c r="AK43" s="2024"/>
      <c r="AL43" s="2012"/>
      <c r="AM43" s="2013"/>
      <c r="AN43" s="2013"/>
      <c r="AO43" s="2014"/>
      <c r="AP43" s="2012"/>
      <c r="AQ43" s="2013"/>
      <c r="AR43" s="2014"/>
      <c r="AS43" s="2015">
        <f t="shared" si="2"/>
        <v>0</v>
      </c>
      <c r="AT43" s="2016"/>
      <c r="AU43" s="2016"/>
      <c r="AV43" s="2016"/>
      <c r="AW43" s="2016"/>
      <c r="AX43" s="2017"/>
      <c r="AY43" s="2018">
        <f t="shared" si="3"/>
        <v>0</v>
      </c>
      <c r="AZ43" s="2019"/>
      <c r="BA43" s="2019"/>
      <c r="BB43" s="2019"/>
      <c r="BC43" s="2019"/>
      <c r="BD43" s="2020"/>
      <c r="BE43" s="1209"/>
    </row>
    <row r="44" spans="1:58" ht="15.75" customHeight="1">
      <c r="A44" s="1202"/>
      <c r="B44" s="2025" t="s">
        <v>2340</v>
      </c>
      <c r="C44" s="2026"/>
      <c r="D44" s="2026"/>
      <c r="E44" s="2026"/>
      <c r="F44" s="2026"/>
      <c r="G44" s="2026"/>
      <c r="H44" s="2026"/>
      <c r="I44" s="2026"/>
      <c r="J44" s="2023"/>
      <c r="K44" s="2023"/>
      <c r="L44" s="2023"/>
      <c r="M44" s="2023"/>
      <c r="N44" s="2023"/>
      <c r="O44" s="2023"/>
      <c r="P44" s="2023"/>
      <c r="Q44" s="2023"/>
      <c r="R44" s="2024"/>
      <c r="S44" s="2024"/>
      <c r="T44" s="2024"/>
      <c r="U44" s="2024"/>
      <c r="V44" s="2024"/>
      <c r="W44" s="2024"/>
      <c r="X44" s="2024"/>
      <c r="Y44" s="2024"/>
      <c r="Z44" s="2024"/>
      <c r="AA44" s="2024"/>
      <c r="AB44" s="2024"/>
      <c r="AC44" s="2024"/>
      <c r="AD44" s="2024"/>
      <c r="AE44" s="2024"/>
      <c r="AF44" s="2024"/>
      <c r="AG44" s="2024"/>
      <c r="AH44" s="2024"/>
      <c r="AI44" s="2024"/>
      <c r="AJ44" s="2024"/>
      <c r="AK44" s="2024"/>
      <c r="AL44" s="2012"/>
      <c r="AM44" s="2013"/>
      <c r="AN44" s="2013"/>
      <c r="AO44" s="2014"/>
      <c r="AP44" s="2012"/>
      <c r="AQ44" s="2013"/>
      <c r="AR44" s="2014"/>
      <c r="AS44" s="2015">
        <f t="shared" si="2"/>
        <v>0</v>
      </c>
      <c r="AT44" s="2016"/>
      <c r="AU44" s="2016"/>
      <c r="AV44" s="2016"/>
      <c r="AW44" s="2016"/>
      <c r="AX44" s="2017"/>
      <c r="AY44" s="2018">
        <f t="shared" si="3"/>
        <v>0</v>
      </c>
      <c r="AZ44" s="2019"/>
      <c r="BA44" s="2019"/>
      <c r="BB44" s="2019"/>
      <c r="BC44" s="2019"/>
      <c r="BD44" s="2020"/>
      <c r="BE44" s="1209"/>
    </row>
    <row r="45" spans="1:58" ht="15.75" customHeight="1">
      <c r="A45" s="1202"/>
      <c r="B45" s="2025" t="s">
        <v>2339</v>
      </c>
      <c r="C45" s="2026"/>
      <c r="D45" s="2026"/>
      <c r="E45" s="2026"/>
      <c r="F45" s="2026"/>
      <c r="G45" s="2026"/>
      <c r="H45" s="2026"/>
      <c r="I45" s="2026"/>
      <c r="J45" s="2023"/>
      <c r="K45" s="2023"/>
      <c r="L45" s="2023"/>
      <c r="M45" s="2023"/>
      <c r="N45" s="2023"/>
      <c r="O45" s="2023"/>
      <c r="P45" s="2023"/>
      <c r="Q45" s="2023"/>
      <c r="R45" s="2024"/>
      <c r="S45" s="2024"/>
      <c r="T45" s="2024"/>
      <c r="U45" s="2024"/>
      <c r="V45" s="2024"/>
      <c r="W45" s="2024"/>
      <c r="X45" s="2024"/>
      <c r="Y45" s="2024"/>
      <c r="Z45" s="2024"/>
      <c r="AA45" s="2024"/>
      <c r="AB45" s="2024"/>
      <c r="AC45" s="2024"/>
      <c r="AD45" s="2024"/>
      <c r="AE45" s="2024"/>
      <c r="AF45" s="2024"/>
      <c r="AG45" s="2024"/>
      <c r="AH45" s="2024"/>
      <c r="AI45" s="2024"/>
      <c r="AJ45" s="2024"/>
      <c r="AK45" s="2024"/>
      <c r="AL45" s="2012"/>
      <c r="AM45" s="2013"/>
      <c r="AN45" s="2013"/>
      <c r="AO45" s="2014"/>
      <c r="AP45" s="2012"/>
      <c r="AQ45" s="2013"/>
      <c r="AR45" s="2014"/>
      <c r="AS45" s="2015">
        <f t="shared" si="2"/>
        <v>0</v>
      </c>
      <c r="AT45" s="2016"/>
      <c r="AU45" s="2016"/>
      <c r="AV45" s="2016"/>
      <c r="AW45" s="2016"/>
      <c r="AX45" s="2017"/>
      <c r="AY45" s="2018">
        <f t="shared" si="3"/>
        <v>0</v>
      </c>
      <c r="AZ45" s="2019"/>
      <c r="BA45" s="2019"/>
      <c r="BB45" s="2019"/>
      <c r="BC45" s="2019"/>
      <c r="BD45" s="2020"/>
      <c r="BE45" s="1209"/>
    </row>
    <row r="46" spans="1:58" ht="15.75" customHeight="1">
      <c r="A46" s="1202"/>
      <c r="B46" s="2025" t="s">
        <v>2271</v>
      </c>
      <c r="C46" s="2026"/>
      <c r="D46" s="2026"/>
      <c r="E46" s="2026"/>
      <c r="F46" s="2026"/>
      <c r="G46" s="2026"/>
      <c r="H46" s="2026"/>
      <c r="I46" s="2026"/>
      <c r="J46" s="2023"/>
      <c r="K46" s="2023"/>
      <c r="L46" s="2023"/>
      <c r="M46" s="2023"/>
      <c r="N46" s="2023">
        <v>99</v>
      </c>
      <c r="O46" s="2023"/>
      <c r="P46" s="2023"/>
      <c r="Q46" s="2023"/>
      <c r="R46" s="2024"/>
      <c r="S46" s="2024"/>
      <c r="T46" s="2024"/>
      <c r="U46" s="2024"/>
      <c r="V46" s="2024"/>
      <c r="W46" s="2024"/>
      <c r="X46" s="2024"/>
      <c r="Y46" s="2024"/>
      <c r="Z46" s="2024"/>
      <c r="AA46" s="2024"/>
      <c r="AB46" s="2024"/>
      <c r="AC46" s="2024"/>
      <c r="AD46" s="2024"/>
      <c r="AE46" s="2024"/>
      <c r="AF46" s="2024"/>
      <c r="AG46" s="2024"/>
      <c r="AH46" s="2024"/>
      <c r="AI46" s="2024"/>
      <c r="AJ46" s="2024"/>
      <c r="AK46" s="2024"/>
      <c r="AL46" s="2012"/>
      <c r="AM46" s="2013"/>
      <c r="AN46" s="2013"/>
      <c r="AO46" s="2014"/>
      <c r="AP46" s="2012"/>
      <c r="AQ46" s="2013"/>
      <c r="AR46" s="2014"/>
      <c r="AS46" s="2015">
        <f t="shared" si="2"/>
        <v>0</v>
      </c>
      <c r="AT46" s="2016"/>
      <c r="AU46" s="2016"/>
      <c r="AV46" s="2016"/>
      <c r="AW46" s="2016"/>
      <c r="AX46" s="2017"/>
      <c r="AY46" s="2018">
        <f t="shared" si="3"/>
        <v>0</v>
      </c>
      <c r="AZ46" s="2019"/>
      <c r="BA46" s="2019"/>
      <c r="BB46" s="2019"/>
      <c r="BC46" s="2019"/>
      <c r="BD46" s="2020"/>
      <c r="BE46" s="1209"/>
    </row>
    <row r="47" spans="1:58" ht="15.75" customHeight="1" thickBot="1">
      <c r="A47" s="1202"/>
      <c r="B47" s="2027" t="s">
        <v>300</v>
      </c>
      <c r="C47" s="2028"/>
      <c r="D47" s="2028"/>
      <c r="E47" s="2028"/>
      <c r="F47" s="2028"/>
      <c r="G47" s="2028"/>
      <c r="H47" s="2028"/>
      <c r="I47" s="2028"/>
      <c r="J47" s="2029"/>
      <c r="K47" s="2029"/>
      <c r="L47" s="2029"/>
      <c r="M47" s="2029"/>
      <c r="N47" s="2029"/>
      <c r="O47" s="2029"/>
      <c r="P47" s="2029"/>
      <c r="Q47" s="2029"/>
      <c r="R47" s="2030"/>
      <c r="S47" s="2030"/>
      <c r="T47" s="2030"/>
      <c r="U47" s="2030"/>
      <c r="V47" s="2030"/>
      <c r="W47" s="2030"/>
      <c r="X47" s="2030"/>
      <c r="Y47" s="2030"/>
      <c r="Z47" s="2030"/>
      <c r="AA47" s="2030"/>
      <c r="AB47" s="2030"/>
      <c r="AC47" s="2030"/>
      <c r="AD47" s="2030"/>
      <c r="AE47" s="2030"/>
      <c r="AF47" s="2030"/>
      <c r="AG47" s="2030"/>
      <c r="AH47" s="2030"/>
      <c r="AI47" s="2030"/>
      <c r="AJ47" s="2030"/>
      <c r="AK47" s="2030"/>
      <c r="AL47" s="2034"/>
      <c r="AM47" s="2035"/>
      <c r="AN47" s="2035"/>
      <c r="AO47" s="2036"/>
      <c r="AP47" s="2034"/>
      <c r="AQ47" s="2035"/>
      <c r="AR47" s="2036"/>
      <c r="AS47" s="2015">
        <f t="shared" si="2"/>
        <v>0</v>
      </c>
      <c r="AT47" s="2016"/>
      <c r="AU47" s="2016"/>
      <c r="AV47" s="2016"/>
      <c r="AW47" s="2016"/>
      <c r="AX47" s="2017"/>
      <c r="AY47" s="2031">
        <f t="shared" si="3"/>
        <v>0</v>
      </c>
      <c r="AZ47" s="2032"/>
      <c r="BA47" s="2032"/>
      <c r="BB47" s="2032"/>
      <c r="BC47" s="2032"/>
      <c r="BD47" s="2033"/>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7" t="s">
        <v>2336</v>
      </c>
      <c r="C50" s="2038"/>
      <c r="D50" s="2038"/>
      <c r="E50" s="2038"/>
      <c r="F50" s="2038"/>
      <c r="G50" s="2038"/>
      <c r="H50" s="2038"/>
      <c r="I50" s="2038"/>
      <c r="J50" s="2038"/>
      <c r="K50" s="2038"/>
      <c r="L50" s="2038"/>
      <c r="M50" s="2038"/>
      <c r="N50" s="2038"/>
      <c r="O50" s="2038"/>
      <c r="P50" s="2038"/>
      <c r="Q50" s="2038"/>
      <c r="R50" s="2038"/>
      <c r="S50" s="2038"/>
      <c r="T50" s="2038"/>
      <c r="U50" s="2038"/>
      <c r="V50" s="2038"/>
      <c r="W50" s="2038"/>
      <c r="X50" s="2038"/>
      <c r="Y50" s="2038"/>
      <c r="Z50" s="2038"/>
      <c r="AA50" s="2038"/>
      <c r="AB50" s="2038"/>
      <c r="AC50" s="2038"/>
      <c r="AD50" s="2038"/>
      <c r="AE50" s="2038"/>
      <c r="AF50" s="2038"/>
      <c r="AG50" s="2038"/>
      <c r="AH50" s="2038"/>
      <c r="AI50" s="2038"/>
      <c r="AJ50" s="2038"/>
      <c r="AK50" s="2038"/>
      <c r="AL50" s="2038"/>
      <c r="AM50" s="2038"/>
      <c r="AN50" s="2038"/>
      <c r="AO50" s="2039"/>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0" t="s">
        <v>2329</v>
      </c>
      <c r="C51" s="2041"/>
      <c r="D51" s="2041"/>
      <c r="E51" s="2041"/>
      <c r="F51" s="2041"/>
      <c r="G51" s="2041"/>
      <c r="H51" s="2041"/>
      <c r="I51" s="2041"/>
      <c r="J51" s="2041" t="s">
        <v>2335</v>
      </c>
      <c r="K51" s="2041"/>
      <c r="L51" s="2041"/>
      <c r="M51" s="2041"/>
      <c r="N51" s="2041"/>
      <c r="O51" s="2041"/>
      <c r="P51" s="2041"/>
      <c r="Q51" s="2041"/>
      <c r="R51" s="2042" t="s">
        <v>2334</v>
      </c>
      <c r="S51" s="2042"/>
      <c r="T51" s="2042"/>
      <c r="U51" s="2042"/>
      <c r="V51" s="2042"/>
      <c r="W51" s="2042"/>
      <c r="X51" s="2042"/>
      <c r="Y51" s="2042"/>
      <c r="Z51" s="2042" t="s">
        <v>2333</v>
      </c>
      <c r="AA51" s="2042"/>
      <c r="AB51" s="2042"/>
      <c r="AC51" s="2042"/>
      <c r="AD51" s="2042"/>
      <c r="AE51" s="2042"/>
      <c r="AF51" s="2042"/>
      <c r="AG51" s="2042"/>
      <c r="AH51" s="2042" t="s">
        <v>2332</v>
      </c>
      <c r="AI51" s="2042"/>
      <c r="AJ51" s="2042"/>
      <c r="AK51" s="2042"/>
      <c r="AL51" s="2042"/>
      <c r="AM51" s="2042"/>
      <c r="AN51" s="2042"/>
      <c r="AO51" s="2043"/>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5" t="s">
        <v>2331</v>
      </c>
      <c r="C52" s="2026"/>
      <c r="D52" s="2026"/>
      <c r="E52" s="2026"/>
      <c r="F52" s="2026"/>
      <c r="G52" s="2026"/>
      <c r="H52" s="2026"/>
      <c r="I52" s="2026"/>
      <c r="J52" s="2044">
        <v>0</v>
      </c>
      <c r="K52" s="2044"/>
      <c r="L52" s="2044"/>
      <c r="M52" s="2044"/>
      <c r="N52" s="2044"/>
      <c r="O52" s="2044"/>
      <c r="P52" s="2044"/>
      <c r="Q52" s="2044"/>
      <c r="R52" s="2045">
        <v>0</v>
      </c>
      <c r="S52" s="2045"/>
      <c r="T52" s="2045"/>
      <c r="U52" s="2045"/>
      <c r="V52" s="2045"/>
      <c r="W52" s="2045"/>
      <c r="X52" s="2045"/>
      <c r="Y52" s="2045"/>
      <c r="Z52" s="2046">
        <v>0</v>
      </c>
      <c r="AA52" s="2046"/>
      <c r="AB52" s="2046"/>
      <c r="AC52" s="2046"/>
      <c r="AD52" s="2046"/>
      <c r="AE52" s="2046"/>
      <c r="AF52" s="2046"/>
      <c r="AG52" s="2046"/>
      <c r="AH52" s="2047"/>
      <c r="AI52" s="2047"/>
      <c r="AJ52" s="2047"/>
      <c r="AK52" s="2047"/>
      <c r="AL52" s="2047"/>
      <c r="AM52" s="2047"/>
      <c r="AN52" s="2047"/>
      <c r="AO52" s="2048"/>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5" t="s">
        <v>2330</v>
      </c>
      <c r="C53" s="2026"/>
      <c r="D53" s="2026"/>
      <c r="E53" s="2026"/>
      <c r="F53" s="2026"/>
      <c r="G53" s="2026"/>
      <c r="H53" s="2026"/>
      <c r="I53" s="2026"/>
      <c r="J53" s="2044">
        <v>0</v>
      </c>
      <c r="K53" s="2044"/>
      <c r="L53" s="2044"/>
      <c r="M53" s="2044"/>
      <c r="N53" s="2044"/>
      <c r="O53" s="2044"/>
      <c r="P53" s="2044"/>
      <c r="Q53" s="2044"/>
      <c r="R53" s="2045">
        <v>0</v>
      </c>
      <c r="S53" s="2045"/>
      <c r="T53" s="2045"/>
      <c r="U53" s="2045"/>
      <c r="V53" s="2045"/>
      <c r="W53" s="2045"/>
      <c r="X53" s="2045"/>
      <c r="Y53" s="2045"/>
      <c r="Z53" s="2046">
        <v>0</v>
      </c>
      <c r="AA53" s="2046"/>
      <c r="AB53" s="2046"/>
      <c r="AC53" s="2046"/>
      <c r="AD53" s="2046"/>
      <c r="AE53" s="2046"/>
      <c r="AF53" s="2046"/>
      <c r="AG53" s="2046"/>
      <c r="AH53" s="2047"/>
      <c r="AI53" s="2047"/>
      <c r="AJ53" s="2047"/>
      <c r="AK53" s="2047"/>
      <c r="AL53" s="2047"/>
      <c r="AM53" s="2047"/>
      <c r="AN53" s="2047"/>
      <c r="AO53" s="2048"/>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5"/>
      <c r="C54" s="2026"/>
      <c r="D54" s="2026"/>
      <c r="E54" s="2026"/>
      <c r="F54" s="2026"/>
      <c r="G54" s="2026"/>
      <c r="H54" s="2026"/>
      <c r="I54" s="2026"/>
      <c r="J54" s="2044"/>
      <c r="K54" s="2044"/>
      <c r="L54" s="2044"/>
      <c r="M54" s="2044"/>
      <c r="N54" s="2044"/>
      <c r="O54" s="2044"/>
      <c r="P54" s="2044"/>
      <c r="Q54" s="2044"/>
      <c r="R54" s="2045"/>
      <c r="S54" s="2045"/>
      <c r="T54" s="2045"/>
      <c r="U54" s="2045"/>
      <c r="V54" s="2045"/>
      <c r="W54" s="2045"/>
      <c r="X54" s="2045"/>
      <c r="Y54" s="2045"/>
      <c r="Z54" s="2046"/>
      <c r="AA54" s="2046"/>
      <c r="AB54" s="2046"/>
      <c r="AC54" s="2046"/>
      <c r="AD54" s="2046"/>
      <c r="AE54" s="2046"/>
      <c r="AF54" s="2046"/>
      <c r="AG54" s="2046"/>
      <c r="AH54" s="2047"/>
      <c r="AI54" s="2047"/>
      <c r="AJ54" s="2047"/>
      <c r="AK54" s="2047"/>
      <c r="AL54" s="2047"/>
      <c r="AM54" s="2047"/>
      <c r="AN54" s="2047"/>
      <c r="AO54" s="2048"/>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5"/>
      <c r="C55" s="2026"/>
      <c r="D55" s="2026"/>
      <c r="E55" s="2026"/>
      <c r="F55" s="2026"/>
      <c r="G55" s="2026"/>
      <c r="H55" s="2026"/>
      <c r="I55" s="2026"/>
      <c r="J55" s="2044"/>
      <c r="K55" s="2044"/>
      <c r="L55" s="2044"/>
      <c r="M55" s="2044"/>
      <c r="N55" s="2044"/>
      <c r="O55" s="2044"/>
      <c r="P55" s="2044"/>
      <c r="Q55" s="2044"/>
      <c r="R55" s="2045"/>
      <c r="S55" s="2045"/>
      <c r="T55" s="2045"/>
      <c r="U55" s="2045"/>
      <c r="V55" s="2045"/>
      <c r="W55" s="2045"/>
      <c r="X55" s="2045"/>
      <c r="Y55" s="2045"/>
      <c r="Z55" s="2046"/>
      <c r="AA55" s="2046"/>
      <c r="AB55" s="2046"/>
      <c r="AC55" s="2046"/>
      <c r="AD55" s="2046"/>
      <c r="AE55" s="2046"/>
      <c r="AF55" s="2046"/>
      <c r="AG55" s="2046"/>
      <c r="AH55" s="2047"/>
      <c r="AI55" s="2047"/>
      <c r="AJ55" s="2047"/>
      <c r="AK55" s="2047"/>
      <c r="AL55" s="2047"/>
      <c r="AM55" s="2047"/>
      <c r="AN55" s="2047"/>
      <c r="AO55" s="2048"/>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25"/>
      <c r="C56" s="2026"/>
      <c r="D56" s="2026"/>
      <c r="E56" s="2026"/>
      <c r="F56" s="2026"/>
      <c r="G56" s="2026"/>
      <c r="H56" s="2026"/>
      <c r="I56" s="2026"/>
      <c r="J56" s="2044"/>
      <c r="K56" s="2044"/>
      <c r="L56" s="2044"/>
      <c r="M56" s="2044"/>
      <c r="N56" s="2044"/>
      <c r="O56" s="2044"/>
      <c r="P56" s="2044"/>
      <c r="Q56" s="2044"/>
      <c r="R56" s="2045"/>
      <c r="S56" s="2045"/>
      <c r="T56" s="2045"/>
      <c r="U56" s="2045"/>
      <c r="V56" s="2045"/>
      <c r="W56" s="2045"/>
      <c r="X56" s="2045"/>
      <c r="Y56" s="2045"/>
      <c r="Z56" s="2046"/>
      <c r="AA56" s="2046"/>
      <c r="AB56" s="2046"/>
      <c r="AC56" s="2046"/>
      <c r="AD56" s="2046"/>
      <c r="AE56" s="2046"/>
      <c r="AF56" s="2046"/>
      <c r="AG56" s="2046"/>
      <c r="AH56" s="2047"/>
      <c r="AI56" s="2047"/>
      <c r="AJ56" s="2047"/>
      <c r="AK56" s="2047"/>
      <c r="AL56" s="2047"/>
      <c r="AM56" s="2047"/>
      <c r="AN56" s="2047"/>
      <c r="AO56" s="2048"/>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8" t="s">
        <v>1574</v>
      </c>
      <c r="C57" s="2059"/>
      <c r="D57" s="2059"/>
      <c r="E57" s="2059"/>
      <c r="F57" s="2059"/>
      <c r="G57" s="2059"/>
      <c r="H57" s="2059"/>
      <c r="I57" s="2059"/>
      <c r="J57" s="2059"/>
      <c r="K57" s="2059"/>
      <c r="L57" s="2059"/>
      <c r="M57" s="2059"/>
      <c r="N57" s="2059"/>
      <c r="O57" s="2059"/>
      <c r="P57" s="2059"/>
      <c r="Q57" s="2059"/>
      <c r="R57" s="2060">
        <f>SUM(R52:Y56)</f>
        <v>0</v>
      </c>
      <c r="S57" s="2060"/>
      <c r="T57" s="2060"/>
      <c r="U57" s="2060"/>
      <c r="V57" s="2060"/>
      <c r="W57" s="2060"/>
      <c r="X57" s="2060"/>
      <c r="Y57" s="2060"/>
      <c r="Z57" s="2061">
        <f>SUM(Z52:AG56)</f>
        <v>0</v>
      </c>
      <c r="AA57" s="2061"/>
      <c r="AB57" s="2061"/>
      <c r="AC57" s="2061"/>
      <c r="AD57" s="2061"/>
      <c r="AE57" s="2061"/>
      <c r="AF57" s="2061"/>
      <c r="AG57" s="2061"/>
      <c r="AH57" s="2062"/>
      <c r="AI57" s="2062"/>
      <c r="AJ57" s="2062"/>
      <c r="AK57" s="2062"/>
      <c r="AL57" s="2062"/>
      <c r="AM57" s="2062"/>
      <c r="AN57" s="2062"/>
      <c r="AO57" s="206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9" t="s">
        <v>2329</v>
      </c>
      <c r="C59" s="2050"/>
      <c r="D59" s="2050"/>
      <c r="E59" s="2050"/>
      <c r="F59" s="2050"/>
      <c r="G59" s="2050"/>
      <c r="H59" s="2050"/>
      <c r="I59" s="2051"/>
      <c r="J59" s="1943" t="s">
        <v>2328</v>
      </c>
      <c r="K59" s="1943"/>
      <c r="L59" s="1943"/>
      <c r="M59" s="1943"/>
      <c r="N59" s="1943"/>
      <c r="O59" s="1943"/>
      <c r="P59" s="1943"/>
      <c r="Q59" s="1943"/>
      <c r="R59" s="1943"/>
      <c r="S59" s="1943"/>
      <c r="T59" s="1943"/>
      <c r="U59" s="1943"/>
      <c r="V59" s="1943"/>
      <c r="W59" s="1943"/>
      <c r="X59" s="1943"/>
      <c r="Y59" s="1943"/>
      <c r="Z59" s="1943"/>
      <c r="AA59" s="1943"/>
      <c r="AB59" s="1943"/>
      <c r="AC59" s="1943"/>
      <c r="AD59" s="1943"/>
      <c r="AE59" s="1943"/>
      <c r="AF59" s="1943"/>
      <c r="AG59" s="1943"/>
      <c r="AH59" s="1943"/>
      <c r="AI59" s="1943"/>
      <c r="AJ59" s="1943"/>
      <c r="AK59" s="1943"/>
      <c r="AL59" s="1943"/>
      <c r="AM59" s="1943"/>
      <c r="AN59" s="1943"/>
      <c r="AO59" s="1943"/>
      <c r="AP59" s="1943"/>
      <c r="AQ59" s="1943"/>
      <c r="AR59" s="1943"/>
      <c r="AS59" s="1943"/>
      <c r="AT59" s="1943"/>
      <c r="AU59" s="1943"/>
      <c r="AV59" s="1943"/>
      <c r="AW59" s="1944"/>
      <c r="AX59" s="1202"/>
      <c r="AY59" s="1202"/>
      <c r="AZ59" s="1202"/>
      <c r="BA59" s="1202"/>
      <c r="BB59" s="1202"/>
      <c r="BC59" s="1202"/>
      <c r="BD59" s="1202"/>
      <c r="BE59" s="1209"/>
    </row>
    <row r="60" spans="1:77" ht="15.75" customHeight="1">
      <c r="A60" s="1202"/>
      <c r="B60" s="2052" t="str">
        <f>IF(B52="", "", B52)</f>
        <v>Services Company 1</v>
      </c>
      <c r="C60" s="2053"/>
      <c r="D60" s="2053"/>
      <c r="E60" s="2053"/>
      <c r="F60" s="2053"/>
      <c r="G60" s="2053"/>
      <c r="H60" s="2053"/>
      <c r="I60" s="2054"/>
      <c r="J60" s="2055"/>
      <c r="K60" s="2056"/>
      <c r="L60" s="2056"/>
      <c r="M60" s="2056"/>
      <c r="N60" s="2056"/>
      <c r="O60" s="2056"/>
      <c r="P60" s="2056"/>
      <c r="Q60" s="2056"/>
      <c r="R60" s="2056"/>
      <c r="S60" s="2056"/>
      <c r="T60" s="2056"/>
      <c r="U60" s="2056"/>
      <c r="V60" s="2056"/>
      <c r="W60" s="2056"/>
      <c r="X60" s="2056"/>
      <c r="Y60" s="2056"/>
      <c r="Z60" s="2056"/>
      <c r="AA60" s="2056"/>
      <c r="AB60" s="2056"/>
      <c r="AC60" s="2056"/>
      <c r="AD60" s="2056"/>
      <c r="AE60" s="2056"/>
      <c r="AF60" s="2056"/>
      <c r="AG60" s="2056"/>
      <c r="AH60" s="2056"/>
      <c r="AI60" s="2056"/>
      <c r="AJ60" s="2056"/>
      <c r="AK60" s="2056"/>
      <c r="AL60" s="2056"/>
      <c r="AM60" s="2056"/>
      <c r="AN60" s="2056"/>
      <c r="AO60" s="2056"/>
      <c r="AP60" s="2056"/>
      <c r="AQ60" s="2056"/>
      <c r="AR60" s="2056"/>
      <c r="AS60" s="2056"/>
      <c r="AT60" s="2056"/>
      <c r="AU60" s="2056"/>
      <c r="AV60" s="2056"/>
      <c r="AW60" s="2057"/>
      <c r="AX60" s="1202"/>
      <c r="AY60" s="1202"/>
      <c r="AZ60" s="1202"/>
      <c r="BA60" s="1202"/>
      <c r="BB60" s="1202"/>
      <c r="BC60" s="1202"/>
      <c r="BD60" s="1202"/>
      <c r="BE60" s="1209"/>
    </row>
    <row r="61" spans="1:77" ht="15.75" customHeight="1">
      <c r="A61" s="1202"/>
      <c r="B61" s="2052" t="str">
        <f>IF(B53="", "", B53)</f>
        <v>Services Company 2</v>
      </c>
      <c r="C61" s="2053"/>
      <c r="D61" s="2053"/>
      <c r="E61" s="2053"/>
      <c r="F61" s="2053"/>
      <c r="G61" s="2053"/>
      <c r="H61" s="2053"/>
      <c r="I61" s="2054"/>
      <c r="J61" s="2055"/>
      <c r="K61" s="2056"/>
      <c r="L61" s="2056"/>
      <c r="M61" s="2056"/>
      <c r="N61" s="2056"/>
      <c r="O61" s="2056"/>
      <c r="P61" s="2056"/>
      <c r="Q61" s="2056"/>
      <c r="R61" s="2056"/>
      <c r="S61" s="2056"/>
      <c r="T61" s="2056"/>
      <c r="U61" s="2056"/>
      <c r="V61" s="2056"/>
      <c r="W61" s="2056"/>
      <c r="X61" s="2056"/>
      <c r="Y61" s="2056"/>
      <c r="Z61" s="2056"/>
      <c r="AA61" s="2056"/>
      <c r="AB61" s="2056"/>
      <c r="AC61" s="2056"/>
      <c r="AD61" s="2056"/>
      <c r="AE61" s="2056"/>
      <c r="AF61" s="2056"/>
      <c r="AG61" s="2056"/>
      <c r="AH61" s="2056"/>
      <c r="AI61" s="2056"/>
      <c r="AJ61" s="2056"/>
      <c r="AK61" s="2056"/>
      <c r="AL61" s="2056"/>
      <c r="AM61" s="2056"/>
      <c r="AN61" s="2056"/>
      <c r="AO61" s="2056"/>
      <c r="AP61" s="2056"/>
      <c r="AQ61" s="2056"/>
      <c r="AR61" s="2056"/>
      <c r="AS61" s="2056"/>
      <c r="AT61" s="2056"/>
      <c r="AU61" s="2056"/>
      <c r="AV61" s="2056"/>
      <c r="AW61" s="2057"/>
      <c r="AX61" s="1202"/>
      <c r="AY61" s="1202"/>
      <c r="AZ61" s="1202"/>
      <c r="BA61" s="1202"/>
      <c r="BB61" s="1202"/>
      <c r="BC61" s="1202"/>
      <c r="BD61" s="1202"/>
      <c r="BE61" s="1209"/>
    </row>
    <row r="62" spans="1:77" ht="15.75" customHeight="1">
      <c r="A62" s="1202"/>
      <c r="B62" s="2052" t="str">
        <f>IF(B54="", "", B54)</f>
        <v/>
      </c>
      <c r="C62" s="2053"/>
      <c r="D62" s="2053"/>
      <c r="E62" s="2053"/>
      <c r="F62" s="2053"/>
      <c r="G62" s="2053"/>
      <c r="H62" s="2053"/>
      <c r="I62" s="2054"/>
      <c r="J62" s="2055"/>
      <c r="K62" s="2056"/>
      <c r="L62" s="2056"/>
      <c r="M62" s="2056"/>
      <c r="N62" s="2056"/>
      <c r="O62" s="2056"/>
      <c r="P62" s="2056"/>
      <c r="Q62" s="2056"/>
      <c r="R62" s="2056"/>
      <c r="S62" s="2056"/>
      <c r="T62" s="2056"/>
      <c r="U62" s="2056"/>
      <c r="V62" s="2056"/>
      <c r="W62" s="2056"/>
      <c r="X62" s="2056"/>
      <c r="Y62" s="2056"/>
      <c r="Z62" s="2056"/>
      <c r="AA62" s="2056"/>
      <c r="AB62" s="2056"/>
      <c r="AC62" s="2056"/>
      <c r="AD62" s="2056"/>
      <c r="AE62" s="2056"/>
      <c r="AF62" s="2056"/>
      <c r="AG62" s="2056"/>
      <c r="AH62" s="2056"/>
      <c r="AI62" s="2056"/>
      <c r="AJ62" s="2056"/>
      <c r="AK62" s="2056"/>
      <c r="AL62" s="2056"/>
      <c r="AM62" s="2056"/>
      <c r="AN62" s="2056"/>
      <c r="AO62" s="2056"/>
      <c r="AP62" s="2056"/>
      <c r="AQ62" s="2056"/>
      <c r="AR62" s="2056"/>
      <c r="AS62" s="2056"/>
      <c r="AT62" s="2056"/>
      <c r="AU62" s="2056"/>
      <c r="AV62" s="2056"/>
      <c r="AW62" s="2057"/>
      <c r="AX62" s="1202"/>
      <c r="AY62" s="1202"/>
      <c r="AZ62" s="1202"/>
      <c r="BA62" s="1202"/>
      <c r="BB62" s="1202"/>
      <c r="BC62" s="1202"/>
      <c r="BD62" s="1202"/>
      <c r="BE62" s="1209"/>
    </row>
    <row r="63" spans="1:77" ht="15.75" customHeight="1">
      <c r="A63" s="1202"/>
      <c r="B63" s="2052" t="str">
        <f>IF(B55="", "", B55)</f>
        <v/>
      </c>
      <c r="C63" s="2053"/>
      <c r="D63" s="2053"/>
      <c r="E63" s="2053"/>
      <c r="F63" s="2053"/>
      <c r="G63" s="2053"/>
      <c r="H63" s="2053"/>
      <c r="I63" s="2054"/>
      <c r="J63" s="2055"/>
      <c r="K63" s="2056"/>
      <c r="L63" s="2056"/>
      <c r="M63" s="2056"/>
      <c r="N63" s="2056"/>
      <c r="O63" s="2056"/>
      <c r="P63" s="2056"/>
      <c r="Q63" s="2056"/>
      <c r="R63" s="2056"/>
      <c r="S63" s="2056"/>
      <c r="T63" s="2056"/>
      <c r="U63" s="2056"/>
      <c r="V63" s="2056"/>
      <c r="W63" s="2056"/>
      <c r="X63" s="2056"/>
      <c r="Y63" s="2056"/>
      <c r="Z63" s="2056"/>
      <c r="AA63" s="2056"/>
      <c r="AB63" s="2056"/>
      <c r="AC63" s="2056"/>
      <c r="AD63" s="2056"/>
      <c r="AE63" s="2056"/>
      <c r="AF63" s="2056"/>
      <c r="AG63" s="2056"/>
      <c r="AH63" s="2056"/>
      <c r="AI63" s="2056"/>
      <c r="AJ63" s="2056"/>
      <c r="AK63" s="2056"/>
      <c r="AL63" s="2056"/>
      <c r="AM63" s="2056"/>
      <c r="AN63" s="2056"/>
      <c r="AO63" s="2056"/>
      <c r="AP63" s="2056"/>
      <c r="AQ63" s="2056"/>
      <c r="AR63" s="2056"/>
      <c r="AS63" s="2056"/>
      <c r="AT63" s="2056"/>
      <c r="AU63" s="2056"/>
      <c r="AV63" s="2056"/>
      <c r="AW63" s="2057"/>
      <c r="AX63" s="1202"/>
      <c r="AY63" s="1202"/>
      <c r="AZ63" s="1202"/>
      <c r="BA63" s="1202"/>
      <c r="BB63" s="1202"/>
      <c r="BC63" s="1202"/>
      <c r="BD63" s="1202"/>
      <c r="BE63" s="1209"/>
    </row>
    <row r="64" spans="1:77" ht="15.75" customHeight="1" thickBot="1">
      <c r="A64" s="1202"/>
      <c r="B64" s="2072" t="str">
        <f>IF(B56="", "", B56)</f>
        <v/>
      </c>
      <c r="C64" s="2073"/>
      <c r="D64" s="2073"/>
      <c r="E64" s="2073"/>
      <c r="F64" s="2073"/>
      <c r="G64" s="2073"/>
      <c r="H64" s="2073"/>
      <c r="I64" s="2074"/>
      <c r="J64" s="2075"/>
      <c r="K64" s="2076"/>
      <c r="L64" s="2076"/>
      <c r="M64" s="2076"/>
      <c r="N64" s="2076"/>
      <c r="O64" s="2076"/>
      <c r="P64" s="2076"/>
      <c r="Q64" s="2076"/>
      <c r="R64" s="2076"/>
      <c r="S64" s="2076"/>
      <c r="T64" s="2076"/>
      <c r="U64" s="2076"/>
      <c r="V64" s="2076"/>
      <c r="W64" s="2076"/>
      <c r="X64" s="2076"/>
      <c r="Y64" s="2076"/>
      <c r="Z64" s="2076"/>
      <c r="AA64" s="2076"/>
      <c r="AB64" s="2076"/>
      <c r="AC64" s="2076"/>
      <c r="AD64" s="2076"/>
      <c r="AE64" s="2076"/>
      <c r="AF64" s="2076"/>
      <c r="AG64" s="2076"/>
      <c r="AH64" s="2076"/>
      <c r="AI64" s="2076"/>
      <c r="AJ64" s="2076"/>
      <c r="AK64" s="2076"/>
      <c r="AL64" s="2076"/>
      <c r="AM64" s="2076"/>
      <c r="AN64" s="2076"/>
      <c r="AO64" s="2076"/>
      <c r="AP64" s="2076"/>
      <c r="AQ64" s="2076"/>
      <c r="AR64" s="2076"/>
      <c r="AS64" s="2076"/>
      <c r="AT64" s="2076"/>
      <c r="AU64" s="2076"/>
      <c r="AV64" s="2076"/>
      <c r="AW64" s="207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2" t="s">
        <v>2326</v>
      </c>
      <c r="C68" s="1943"/>
      <c r="D68" s="1943"/>
      <c r="E68" s="1943"/>
      <c r="F68" s="1943"/>
      <c r="G68" s="1943"/>
      <c r="H68" s="1943"/>
      <c r="I68" s="1943"/>
      <c r="J68" s="1943"/>
      <c r="K68" s="1943"/>
      <c r="L68" s="1943"/>
      <c r="M68" s="1943"/>
      <c r="N68" s="1943"/>
      <c r="O68" s="1943"/>
      <c r="P68" s="1943"/>
      <c r="Q68" s="1943"/>
      <c r="R68" s="1943"/>
      <c r="S68" s="1943"/>
      <c r="T68" s="1943"/>
      <c r="U68" s="1943"/>
      <c r="V68" s="1943"/>
      <c r="W68" s="1943"/>
      <c r="X68" s="1943"/>
      <c r="Y68" s="1943"/>
      <c r="Z68" s="1943"/>
      <c r="AA68" s="1944"/>
      <c r="AB68" s="1202"/>
      <c r="AC68" s="2084" t="s">
        <v>2325</v>
      </c>
      <c r="AD68" s="2085"/>
      <c r="AE68" s="2085"/>
      <c r="AF68" s="2085"/>
      <c r="AG68" s="2085"/>
      <c r="AH68" s="2085"/>
      <c r="AI68" s="2085"/>
      <c r="AJ68" s="2085"/>
      <c r="AK68" s="2085"/>
      <c r="AL68" s="2085"/>
      <c r="AM68" s="2085"/>
      <c r="AN68" s="2085"/>
      <c r="AO68" s="2085"/>
      <c r="AP68" s="2085"/>
      <c r="AQ68" s="2085"/>
      <c r="AR68" s="2085"/>
      <c r="AS68" s="2085"/>
      <c r="AT68" s="2085"/>
      <c r="AU68" s="2085"/>
      <c r="AV68" s="2064" t="s">
        <v>669</v>
      </c>
      <c r="AW68" s="2065"/>
      <c r="AX68" s="2065"/>
      <c r="AY68" s="2065"/>
      <c r="AZ68" s="2065"/>
      <c r="BA68" s="2065"/>
      <c r="BB68" s="2065"/>
      <c r="BC68" s="2066"/>
      <c r="BD68" s="1202"/>
      <c r="BE68" s="1209"/>
      <c r="BM68" s="1215" t="s">
        <v>2324</v>
      </c>
    </row>
    <row r="69" spans="1:94" ht="15.75" customHeight="1" thickTop="1" thickBot="1">
      <c r="A69" s="1202"/>
      <c r="B69" s="2067" t="s">
        <v>2323</v>
      </c>
      <c r="C69" s="2068"/>
      <c r="D69" s="2068"/>
      <c r="E69" s="2068"/>
      <c r="F69" s="2068"/>
      <c r="G69" s="2068"/>
      <c r="H69" s="2068"/>
      <c r="I69" s="2068"/>
      <c r="J69" s="2068"/>
      <c r="K69" s="2068"/>
      <c r="L69" s="2068"/>
      <c r="M69" s="2068"/>
      <c r="N69" s="2068"/>
      <c r="O69" s="1915" t="s">
        <v>2322</v>
      </c>
      <c r="P69" s="1916"/>
      <c r="Q69" s="1916"/>
      <c r="R69" s="1916"/>
      <c r="S69" s="1916"/>
      <c r="T69" s="1916"/>
      <c r="U69" s="1916"/>
      <c r="V69" s="1916"/>
      <c r="W69" s="1916"/>
      <c r="X69" s="1916"/>
      <c r="Y69" s="1916"/>
      <c r="Z69" s="1916"/>
      <c r="AA69" s="2069"/>
      <c r="AB69" s="1202"/>
      <c r="AC69" s="2070" t="s">
        <v>2321</v>
      </c>
      <c r="AD69" s="2071"/>
      <c r="AE69" s="2071"/>
      <c r="AF69" s="2071"/>
      <c r="AG69" s="2071"/>
      <c r="AH69" s="2071"/>
      <c r="AI69" s="2071"/>
      <c r="AJ69" s="2071"/>
      <c r="AK69" s="2071"/>
      <c r="AL69" s="2071"/>
      <c r="AM69" s="2071"/>
      <c r="AN69" s="2071"/>
      <c r="AO69" s="2071"/>
      <c r="AP69" s="2071"/>
      <c r="AQ69" s="2071"/>
      <c r="AR69" s="2071"/>
      <c r="AS69" s="2071"/>
      <c r="AT69" s="2071"/>
      <c r="AU69" s="2071"/>
      <c r="AV69" s="2064" t="s">
        <v>669</v>
      </c>
      <c r="AW69" s="2065"/>
      <c r="AX69" s="2065"/>
      <c r="AY69" s="2065"/>
      <c r="AZ69" s="2065"/>
      <c r="BA69" s="2065"/>
      <c r="BB69" s="2065"/>
      <c r="BC69" s="2066"/>
      <c r="BD69" s="1202"/>
      <c r="BE69" s="1209"/>
      <c r="BM69" s="1216" t="s">
        <v>545</v>
      </c>
    </row>
    <row r="70" spans="1:94" ht="15.75" customHeight="1">
      <c r="A70" s="1202"/>
      <c r="B70" s="2021" t="s">
        <v>2320</v>
      </c>
      <c r="C70" s="2022"/>
      <c r="D70" s="2022"/>
      <c r="E70" s="2022"/>
      <c r="F70" s="2022"/>
      <c r="G70" s="2022"/>
      <c r="H70" s="2022"/>
      <c r="I70" s="2022"/>
      <c r="J70" s="2022"/>
      <c r="K70" s="2022"/>
      <c r="L70" s="2022"/>
      <c r="M70" s="2022"/>
      <c r="N70" s="2022"/>
      <c r="O70" s="2078">
        <v>0</v>
      </c>
      <c r="P70" s="2078"/>
      <c r="Q70" s="2078"/>
      <c r="R70" s="2078"/>
      <c r="S70" s="2078"/>
      <c r="T70" s="2078"/>
      <c r="U70" s="2078"/>
      <c r="V70" s="2078"/>
      <c r="W70" s="2078"/>
      <c r="X70" s="2078"/>
      <c r="Y70" s="2078"/>
      <c r="Z70" s="2078"/>
      <c r="AA70" s="2079"/>
      <c r="AB70" s="1202"/>
      <c r="AC70" s="2037" t="s">
        <v>2319</v>
      </c>
      <c r="AD70" s="2038"/>
      <c r="AE70" s="2038"/>
      <c r="AF70" s="2080"/>
      <c r="AG70" s="2080"/>
      <c r="AH70" s="2080"/>
      <c r="AI70" s="2080"/>
      <c r="AJ70" s="2080"/>
      <c r="AK70" s="2080"/>
      <c r="AL70" s="2080"/>
      <c r="AM70" s="2080"/>
      <c r="AN70" s="2080"/>
      <c r="AO70" s="2080"/>
      <c r="AP70" s="2080"/>
      <c r="AQ70" s="2080"/>
      <c r="AR70" s="2080"/>
      <c r="AS70" s="2080"/>
      <c r="AT70" s="2080"/>
      <c r="AU70" s="2081"/>
      <c r="AV70" s="1202"/>
      <c r="AW70" s="1202"/>
      <c r="AX70" s="1202"/>
      <c r="AY70" s="1202"/>
      <c r="AZ70" s="1202"/>
      <c r="BA70" s="1202"/>
      <c r="BB70" s="1202"/>
      <c r="BC70" s="1202"/>
      <c r="BD70" s="1202"/>
      <c r="BE70" s="1209"/>
      <c r="BM70" s="1217" t="s">
        <v>669</v>
      </c>
    </row>
    <row r="71" spans="1:94" ht="15.75" customHeight="1" thickBot="1">
      <c r="A71" s="1202"/>
      <c r="B71" s="2021" t="s">
        <v>2318</v>
      </c>
      <c r="C71" s="2022"/>
      <c r="D71" s="2022"/>
      <c r="E71" s="2022"/>
      <c r="F71" s="2022"/>
      <c r="G71" s="2022"/>
      <c r="H71" s="2022"/>
      <c r="I71" s="2022"/>
      <c r="J71" s="2022"/>
      <c r="K71" s="2022"/>
      <c r="L71" s="2022"/>
      <c r="M71" s="2022"/>
      <c r="N71" s="2022"/>
      <c r="O71" s="2078">
        <v>0</v>
      </c>
      <c r="P71" s="2078"/>
      <c r="Q71" s="2078"/>
      <c r="R71" s="2078"/>
      <c r="S71" s="2078"/>
      <c r="T71" s="2078"/>
      <c r="U71" s="2078"/>
      <c r="V71" s="2078"/>
      <c r="W71" s="2078"/>
      <c r="X71" s="2078"/>
      <c r="Y71" s="2078"/>
      <c r="Z71" s="2078"/>
      <c r="AA71" s="2079"/>
      <c r="AB71" s="1202"/>
      <c r="AC71" s="2082" t="s">
        <v>2317</v>
      </c>
      <c r="AD71" s="2083"/>
      <c r="AE71" s="2083"/>
      <c r="AF71" s="2076"/>
      <c r="AG71" s="2076"/>
      <c r="AH71" s="2076"/>
      <c r="AI71" s="2076"/>
      <c r="AJ71" s="2076"/>
      <c r="AK71" s="2076"/>
      <c r="AL71" s="2076"/>
      <c r="AM71" s="2076"/>
      <c r="AN71" s="2076"/>
      <c r="AO71" s="2076"/>
      <c r="AP71" s="2076"/>
      <c r="AQ71" s="2076"/>
      <c r="AR71" s="2076"/>
      <c r="AS71" s="2076"/>
      <c r="AT71" s="2076"/>
      <c r="AU71" s="2077"/>
      <c r="AV71" s="1202"/>
      <c r="AW71" s="1202"/>
      <c r="AX71" s="1202"/>
      <c r="AY71" s="1202"/>
      <c r="AZ71" s="1202"/>
      <c r="BA71" s="1202"/>
      <c r="BB71" s="1202"/>
      <c r="BC71" s="1202"/>
      <c r="BD71" s="1202"/>
      <c r="BE71" s="1209"/>
      <c r="BM71" s="1198" t="s">
        <v>2316</v>
      </c>
    </row>
    <row r="72" spans="1:94" ht="15.75" customHeight="1">
      <c r="A72" s="1202"/>
      <c r="B72" s="2021" t="s">
        <v>2315</v>
      </c>
      <c r="C72" s="2022"/>
      <c r="D72" s="2022"/>
      <c r="E72" s="2022"/>
      <c r="F72" s="2022"/>
      <c r="G72" s="2022"/>
      <c r="H72" s="2022"/>
      <c r="I72" s="2022"/>
      <c r="J72" s="2022"/>
      <c r="K72" s="2022"/>
      <c r="L72" s="2022"/>
      <c r="M72" s="2022"/>
      <c r="N72" s="2022"/>
      <c r="O72" s="2078">
        <v>0</v>
      </c>
      <c r="P72" s="2078"/>
      <c r="Q72" s="2078"/>
      <c r="R72" s="2078"/>
      <c r="S72" s="2078"/>
      <c r="T72" s="2078"/>
      <c r="U72" s="2078"/>
      <c r="V72" s="2078"/>
      <c r="W72" s="2078"/>
      <c r="X72" s="2078"/>
      <c r="Y72" s="2078"/>
      <c r="Z72" s="2078"/>
      <c r="AA72" s="2079"/>
      <c r="AB72" s="1202"/>
      <c r="AC72" s="2086" t="s">
        <v>2314</v>
      </c>
      <c r="AD72" s="2087"/>
      <c r="AE72" s="2087"/>
      <c r="AF72" s="2087"/>
      <c r="AG72" s="2087"/>
      <c r="AH72" s="2087"/>
      <c r="AI72" s="2087"/>
      <c r="AJ72" s="2087"/>
      <c r="AK72" s="2087"/>
      <c r="AL72" s="2087"/>
      <c r="AM72" s="2087"/>
      <c r="AN72" s="2087"/>
      <c r="AO72" s="2087"/>
      <c r="AP72" s="2087"/>
      <c r="AQ72" s="2087"/>
      <c r="AR72" s="2087"/>
      <c r="AS72" s="2087"/>
      <c r="AT72" s="2087"/>
      <c r="AU72" s="2087"/>
      <c r="AV72" s="2038"/>
      <c r="AW72" s="2038"/>
      <c r="AX72" s="2038"/>
      <c r="AY72" s="2038"/>
      <c r="AZ72" s="2038"/>
      <c r="BA72" s="2038"/>
      <c r="BB72" s="2038"/>
      <c r="BC72" s="2039"/>
      <c r="BD72" s="1202"/>
      <c r="BE72" s="1209"/>
    </row>
    <row r="73" spans="1:94" ht="15.75" customHeight="1">
      <c r="A73" s="1202"/>
      <c r="B73" s="2025" t="s">
        <v>2313</v>
      </c>
      <c r="C73" s="2026"/>
      <c r="D73" s="2026"/>
      <c r="E73" s="2026"/>
      <c r="F73" s="2026"/>
      <c r="G73" s="2026"/>
      <c r="H73" s="2026"/>
      <c r="I73" s="2026"/>
      <c r="J73" s="2026"/>
      <c r="K73" s="2026"/>
      <c r="L73" s="2026"/>
      <c r="M73" s="2026"/>
      <c r="N73" s="2026"/>
      <c r="O73" s="2078">
        <v>0</v>
      </c>
      <c r="P73" s="2078"/>
      <c r="Q73" s="2078"/>
      <c r="R73" s="2078"/>
      <c r="S73" s="2078"/>
      <c r="T73" s="2078"/>
      <c r="U73" s="2078"/>
      <c r="V73" s="2078"/>
      <c r="W73" s="2078"/>
      <c r="X73" s="2078"/>
      <c r="Y73" s="2078"/>
      <c r="Z73" s="2078"/>
      <c r="AA73" s="2079"/>
      <c r="AB73" s="1202"/>
      <c r="AC73" s="2088" t="s">
        <v>2266</v>
      </c>
      <c r="AD73" s="2089"/>
      <c r="AE73" s="2089"/>
      <c r="AF73" s="2089"/>
      <c r="AG73" s="2089"/>
      <c r="AH73" s="2089"/>
      <c r="AI73" s="2089"/>
      <c r="AJ73" s="2089"/>
      <c r="AK73" s="2089"/>
      <c r="AL73" s="2089"/>
      <c r="AM73" s="2089"/>
      <c r="AN73" s="2089"/>
      <c r="AO73" s="2089"/>
      <c r="AP73" s="2089"/>
      <c r="AQ73" s="2089"/>
      <c r="AR73" s="2089"/>
      <c r="AS73" s="2089"/>
      <c r="AT73" s="2089"/>
      <c r="AU73" s="2089"/>
      <c r="AV73" s="2089"/>
      <c r="AW73" s="2089"/>
      <c r="AX73" s="2089"/>
      <c r="AY73" s="2089"/>
      <c r="AZ73" s="2089"/>
      <c r="BA73" s="2089"/>
      <c r="BB73" s="2089"/>
      <c r="BC73" s="2090"/>
      <c r="BD73" s="1202"/>
      <c r="BE73" s="1209"/>
      <c r="CK73" s="1200"/>
      <c r="CL73" s="1200"/>
      <c r="CM73" s="1200"/>
      <c r="CN73" s="1200"/>
      <c r="CO73" s="1200"/>
      <c r="CP73" s="1200"/>
    </row>
    <row r="74" spans="1:94" ht="15.75" customHeight="1">
      <c r="A74" s="1202"/>
      <c r="B74" s="2094"/>
      <c r="C74" s="2044"/>
      <c r="D74" s="2044"/>
      <c r="E74" s="2044"/>
      <c r="F74" s="2044"/>
      <c r="G74" s="2044"/>
      <c r="H74" s="2044"/>
      <c r="I74" s="2044"/>
      <c r="J74" s="2044"/>
      <c r="K74" s="2044"/>
      <c r="L74" s="2044"/>
      <c r="M74" s="2044"/>
      <c r="N74" s="2044"/>
      <c r="O74" s="2078"/>
      <c r="P74" s="2078"/>
      <c r="Q74" s="2078"/>
      <c r="R74" s="2078"/>
      <c r="S74" s="2078"/>
      <c r="T74" s="2078"/>
      <c r="U74" s="2078"/>
      <c r="V74" s="2078"/>
      <c r="W74" s="2078"/>
      <c r="X74" s="2078"/>
      <c r="Y74" s="2078"/>
      <c r="Z74" s="2078"/>
      <c r="AA74" s="2079"/>
      <c r="AB74" s="1202"/>
      <c r="AC74" s="2088"/>
      <c r="AD74" s="2089"/>
      <c r="AE74" s="2089"/>
      <c r="AF74" s="2089"/>
      <c r="AG74" s="2089"/>
      <c r="AH74" s="2089"/>
      <c r="AI74" s="2089"/>
      <c r="AJ74" s="2089"/>
      <c r="AK74" s="2089"/>
      <c r="AL74" s="2089"/>
      <c r="AM74" s="2089"/>
      <c r="AN74" s="2089"/>
      <c r="AO74" s="2089"/>
      <c r="AP74" s="2089"/>
      <c r="AQ74" s="2089"/>
      <c r="AR74" s="2089"/>
      <c r="AS74" s="2089"/>
      <c r="AT74" s="2089"/>
      <c r="AU74" s="2089"/>
      <c r="AV74" s="2089"/>
      <c r="AW74" s="2089"/>
      <c r="AX74" s="2089"/>
      <c r="AY74" s="2089"/>
      <c r="AZ74" s="2089"/>
      <c r="BA74" s="2089"/>
      <c r="BB74" s="2089"/>
      <c r="BC74" s="2090"/>
      <c r="BD74" s="1202"/>
      <c r="BE74" s="1209"/>
      <c r="CK74" s="1200"/>
      <c r="CL74" s="1200"/>
      <c r="CM74" s="1200"/>
      <c r="CN74" s="1200"/>
      <c r="CO74" s="1200"/>
      <c r="CP74" s="1200"/>
    </row>
    <row r="75" spans="1:94" ht="15.75" customHeight="1" thickBot="1">
      <c r="A75" s="1202"/>
      <c r="B75" s="2095" t="s">
        <v>124</v>
      </c>
      <c r="C75" s="2096"/>
      <c r="D75" s="2096"/>
      <c r="E75" s="2096"/>
      <c r="F75" s="2096"/>
      <c r="G75" s="2096"/>
      <c r="H75" s="2096"/>
      <c r="I75" s="2096"/>
      <c r="J75" s="2096"/>
      <c r="K75" s="2096"/>
      <c r="L75" s="2096"/>
      <c r="M75" s="2096"/>
      <c r="N75" s="2096"/>
      <c r="O75" s="2097">
        <f>SUM(O70:AA74)</f>
        <v>0</v>
      </c>
      <c r="P75" s="2097"/>
      <c r="Q75" s="2097"/>
      <c r="R75" s="2097"/>
      <c r="S75" s="2097"/>
      <c r="T75" s="2097"/>
      <c r="U75" s="2097"/>
      <c r="V75" s="2097"/>
      <c r="W75" s="2097"/>
      <c r="X75" s="2097"/>
      <c r="Y75" s="2097"/>
      <c r="Z75" s="2097"/>
      <c r="AA75" s="2098"/>
      <c r="AB75" s="1202"/>
      <c r="AC75" s="2088"/>
      <c r="AD75" s="2089"/>
      <c r="AE75" s="2089"/>
      <c r="AF75" s="2089"/>
      <c r="AG75" s="2089"/>
      <c r="AH75" s="2089"/>
      <c r="AI75" s="2089"/>
      <c r="AJ75" s="2089"/>
      <c r="AK75" s="2089"/>
      <c r="AL75" s="2089"/>
      <c r="AM75" s="2089"/>
      <c r="AN75" s="2089"/>
      <c r="AO75" s="2089"/>
      <c r="AP75" s="2089"/>
      <c r="AQ75" s="2089"/>
      <c r="AR75" s="2089"/>
      <c r="AS75" s="2089"/>
      <c r="AT75" s="2089"/>
      <c r="AU75" s="2089"/>
      <c r="AV75" s="2089"/>
      <c r="AW75" s="2089"/>
      <c r="AX75" s="2089"/>
      <c r="AY75" s="2089"/>
      <c r="AZ75" s="2089"/>
      <c r="BA75" s="2089"/>
      <c r="BB75" s="2089"/>
      <c r="BC75" s="2090"/>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8"/>
      <c r="AD76" s="2089"/>
      <c r="AE76" s="2089"/>
      <c r="AF76" s="2089"/>
      <c r="AG76" s="2089"/>
      <c r="AH76" s="2089"/>
      <c r="AI76" s="2089"/>
      <c r="AJ76" s="2089"/>
      <c r="AK76" s="2089"/>
      <c r="AL76" s="2089"/>
      <c r="AM76" s="2089"/>
      <c r="AN76" s="2089"/>
      <c r="AO76" s="2089"/>
      <c r="AP76" s="2089"/>
      <c r="AQ76" s="2089"/>
      <c r="AR76" s="2089"/>
      <c r="AS76" s="2089"/>
      <c r="AT76" s="2089"/>
      <c r="AU76" s="2089"/>
      <c r="AV76" s="2089"/>
      <c r="AW76" s="2089"/>
      <c r="AX76" s="2089"/>
      <c r="AY76" s="2089"/>
      <c r="AZ76" s="2089"/>
      <c r="BA76" s="2089"/>
      <c r="BB76" s="2089"/>
      <c r="BC76" s="2090"/>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1"/>
      <c r="AD77" s="2092"/>
      <c r="AE77" s="2092"/>
      <c r="AF77" s="2092"/>
      <c r="AG77" s="2092"/>
      <c r="AH77" s="2092"/>
      <c r="AI77" s="2092"/>
      <c r="AJ77" s="2092"/>
      <c r="AK77" s="2092"/>
      <c r="AL77" s="2092"/>
      <c r="AM77" s="2092"/>
      <c r="AN77" s="2092"/>
      <c r="AO77" s="2092"/>
      <c r="AP77" s="2092"/>
      <c r="AQ77" s="2092"/>
      <c r="AR77" s="2092"/>
      <c r="AS77" s="2092"/>
      <c r="AT77" s="2092"/>
      <c r="AU77" s="2092"/>
      <c r="AV77" s="2092"/>
      <c r="AW77" s="2092"/>
      <c r="AX77" s="2092"/>
      <c r="AY77" s="2092"/>
      <c r="AZ77" s="2092"/>
      <c r="BA77" s="2092"/>
      <c r="BB77" s="2092"/>
      <c r="BC77" s="2093"/>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099"/>
      <c r="G79" s="2100"/>
      <c r="H79" s="2100"/>
      <c r="I79" s="2100"/>
      <c r="J79" s="2100"/>
      <c r="K79" s="2100"/>
      <c r="L79" s="2100"/>
      <c r="M79" s="2100"/>
      <c r="N79" s="2100"/>
      <c r="O79" s="2100"/>
      <c r="P79" s="2100"/>
      <c r="Q79" s="2100"/>
      <c r="R79" s="2100"/>
      <c r="S79" s="2100"/>
      <c r="T79" s="2101"/>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2" t="s">
        <v>2311</v>
      </c>
      <c r="C81" s="2103"/>
      <c r="D81" s="2103"/>
      <c r="E81" s="2103"/>
      <c r="F81" s="2103"/>
      <c r="G81" s="2103"/>
      <c r="H81" s="2103"/>
      <c r="I81" s="2103"/>
      <c r="J81" s="2103"/>
      <c r="K81" s="2103"/>
      <c r="L81" s="2103"/>
      <c r="M81" s="2103"/>
      <c r="N81" s="2103"/>
      <c r="O81" s="2103"/>
      <c r="P81" s="2103"/>
      <c r="Q81" s="2103"/>
      <c r="R81" s="2103"/>
      <c r="S81" s="2103"/>
      <c r="T81" s="2103"/>
      <c r="U81" s="2103"/>
      <c r="V81" s="2103"/>
      <c r="W81" s="2103"/>
      <c r="X81" s="2103"/>
      <c r="Y81" s="2103"/>
      <c r="Z81" s="2103"/>
      <c r="AA81" s="2103"/>
      <c r="AB81" s="2103"/>
      <c r="AC81" s="2103"/>
      <c r="AD81" s="2103"/>
      <c r="AE81" s="2103"/>
      <c r="AF81" s="2103"/>
      <c r="AG81" s="2103"/>
      <c r="AH81" s="2104"/>
      <c r="AI81" s="1202"/>
      <c r="AJ81" s="2105" t="s">
        <v>2612</v>
      </c>
      <c r="AK81" s="2106"/>
      <c r="AL81" s="2106"/>
      <c r="AM81" s="2106"/>
      <c r="AN81" s="2106"/>
      <c r="AO81" s="2106"/>
      <c r="AP81" s="2106"/>
      <c r="AQ81" s="2106"/>
      <c r="AR81" s="2106"/>
      <c r="AS81" s="2106"/>
      <c r="AT81" s="2106"/>
      <c r="AU81" s="2106"/>
      <c r="AV81" s="2106"/>
      <c r="AW81" s="2106"/>
      <c r="AX81" s="2106"/>
      <c r="AY81" s="2109" t="s">
        <v>545</v>
      </c>
      <c r="AZ81" s="2109"/>
      <c r="BA81" s="2109"/>
      <c r="BB81" s="2110"/>
      <c r="BC81" s="1202"/>
      <c r="BD81" s="1202"/>
      <c r="BE81" s="1209"/>
      <c r="CK81" s="1200"/>
      <c r="CL81" s="1200"/>
      <c r="CM81" s="1200"/>
      <c r="CN81" s="1200"/>
      <c r="CO81" s="1200"/>
      <c r="CP81" s="1200"/>
    </row>
    <row r="82" spans="1:94" ht="15.75" customHeight="1">
      <c r="A82" s="1202"/>
      <c r="B82" s="2040"/>
      <c r="C82" s="2041"/>
      <c r="D82" s="2041"/>
      <c r="E82" s="2041"/>
      <c r="F82" s="2041"/>
      <c r="G82" s="2041"/>
      <c r="H82" s="2041"/>
      <c r="I82" s="2041" t="s">
        <v>2305</v>
      </c>
      <c r="J82" s="2041"/>
      <c r="K82" s="2041"/>
      <c r="L82" s="2041"/>
      <c r="M82" s="2041"/>
      <c r="N82" s="2041"/>
      <c r="O82" s="2041" t="s">
        <v>2282</v>
      </c>
      <c r="P82" s="2041"/>
      <c r="Q82" s="2041"/>
      <c r="R82" s="2041"/>
      <c r="S82" s="2041"/>
      <c r="T82" s="2041"/>
      <c r="U82" s="2041"/>
      <c r="V82" s="2113" t="s">
        <v>2281</v>
      </c>
      <c r="W82" s="2113"/>
      <c r="X82" s="2113"/>
      <c r="Y82" s="2113"/>
      <c r="Z82" s="2113"/>
      <c r="AA82" s="2113"/>
      <c r="AB82" s="2114" t="s">
        <v>2304</v>
      </c>
      <c r="AC82" s="2114"/>
      <c r="AD82" s="2114"/>
      <c r="AE82" s="2114"/>
      <c r="AF82" s="2114"/>
      <c r="AG82" s="2114"/>
      <c r="AH82" s="2115"/>
      <c r="AI82" s="1202"/>
      <c r="AJ82" s="2107"/>
      <c r="AK82" s="2108"/>
      <c r="AL82" s="2108"/>
      <c r="AM82" s="2108"/>
      <c r="AN82" s="2108"/>
      <c r="AO82" s="2108"/>
      <c r="AP82" s="2108"/>
      <c r="AQ82" s="2108"/>
      <c r="AR82" s="2108"/>
      <c r="AS82" s="2108"/>
      <c r="AT82" s="2108"/>
      <c r="AU82" s="2108"/>
      <c r="AV82" s="2108"/>
      <c r="AW82" s="2108"/>
      <c r="AX82" s="2108"/>
      <c r="AY82" s="2111"/>
      <c r="AZ82" s="2111"/>
      <c r="BA82" s="2111"/>
      <c r="BB82" s="2112"/>
      <c r="BC82" s="1202"/>
      <c r="BD82" s="1202"/>
      <c r="BE82" s="1209"/>
      <c r="CK82" s="1200"/>
      <c r="CL82" s="1200"/>
      <c r="CM82" s="1200"/>
      <c r="CN82" s="1200"/>
      <c r="CO82" s="1200"/>
      <c r="CP82" s="1200"/>
    </row>
    <row r="83" spans="1:94" ht="15.75" customHeight="1">
      <c r="A83" s="1202"/>
      <c r="B83" s="2040"/>
      <c r="C83" s="2041"/>
      <c r="D83" s="2041"/>
      <c r="E83" s="2041"/>
      <c r="F83" s="2041"/>
      <c r="G83" s="2041"/>
      <c r="H83" s="2041"/>
      <c r="I83" s="2041"/>
      <c r="J83" s="2041"/>
      <c r="K83" s="2041"/>
      <c r="L83" s="2041"/>
      <c r="M83" s="2041"/>
      <c r="N83" s="2041"/>
      <c r="O83" s="2041"/>
      <c r="P83" s="2041"/>
      <c r="Q83" s="2041"/>
      <c r="R83" s="2041"/>
      <c r="S83" s="2041"/>
      <c r="T83" s="2041"/>
      <c r="U83" s="2041"/>
      <c r="V83" s="2113"/>
      <c r="W83" s="2113"/>
      <c r="X83" s="2113"/>
      <c r="Y83" s="2113"/>
      <c r="Z83" s="2113"/>
      <c r="AA83" s="2113"/>
      <c r="AB83" s="2114"/>
      <c r="AC83" s="2114"/>
      <c r="AD83" s="2114"/>
      <c r="AE83" s="2114"/>
      <c r="AF83" s="2114"/>
      <c r="AG83" s="2114"/>
      <c r="AH83" s="2115"/>
      <c r="AI83" s="1202"/>
      <c r="AJ83" s="2107"/>
      <c r="AK83" s="2108"/>
      <c r="AL83" s="2108"/>
      <c r="AM83" s="2108"/>
      <c r="AN83" s="2108"/>
      <c r="AO83" s="2108"/>
      <c r="AP83" s="2108"/>
      <c r="AQ83" s="2108"/>
      <c r="AR83" s="2108"/>
      <c r="AS83" s="2108"/>
      <c r="AT83" s="2108"/>
      <c r="AU83" s="2108"/>
      <c r="AV83" s="2108"/>
      <c r="AW83" s="2108"/>
      <c r="AX83" s="2108"/>
      <c r="AY83" s="2111"/>
      <c r="AZ83" s="2111"/>
      <c r="BA83" s="2111"/>
      <c r="BB83" s="2112"/>
      <c r="BC83" s="1202"/>
      <c r="BD83" s="1202"/>
      <c r="BE83" s="1209"/>
      <c r="CK83" s="1200"/>
      <c r="CL83" s="1200"/>
      <c r="CM83" s="1200"/>
      <c r="CN83" s="1200"/>
      <c r="CO83" s="1200"/>
      <c r="CP83" s="1200"/>
    </row>
    <row r="84" spans="1:94" ht="15.75" customHeight="1">
      <c r="A84" s="1202"/>
      <c r="B84" s="2040" t="s">
        <v>2303</v>
      </c>
      <c r="C84" s="2041"/>
      <c r="D84" s="2041"/>
      <c r="E84" s="2041"/>
      <c r="F84" s="2041"/>
      <c r="G84" s="2041"/>
      <c r="H84" s="2041"/>
      <c r="I84" s="2118">
        <v>0</v>
      </c>
      <c r="J84" s="2118"/>
      <c r="K84" s="2118"/>
      <c r="L84" s="2118"/>
      <c r="M84" s="2118"/>
      <c r="N84" s="2118"/>
      <c r="O84" s="2118">
        <v>0</v>
      </c>
      <c r="P84" s="2118"/>
      <c r="Q84" s="2118"/>
      <c r="R84" s="2118"/>
      <c r="S84" s="2118"/>
      <c r="T84" s="2118"/>
      <c r="U84" s="2118"/>
      <c r="V84" s="2118">
        <v>0</v>
      </c>
      <c r="W84" s="2118"/>
      <c r="X84" s="2118"/>
      <c r="Y84" s="2118"/>
      <c r="Z84" s="2118"/>
      <c r="AA84" s="2118"/>
      <c r="AB84" s="2118">
        <v>0</v>
      </c>
      <c r="AC84" s="2118"/>
      <c r="AD84" s="2118"/>
      <c r="AE84" s="2118"/>
      <c r="AF84" s="2118"/>
      <c r="AG84" s="2118"/>
      <c r="AH84" s="2119"/>
      <c r="AI84" s="1202"/>
      <c r="AJ84" s="2107"/>
      <c r="AK84" s="2108"/>
      <c r="AL84" s="2108"/>
      <c r="AM84" s="2108"/>
      <c r="AN84" s="2108"/>
      <c r="AO84" s="2108"/>
      <c r="AP84" s="2108"/>
      <c r="AQ84" s="2108"/>
      <c r="AR84" s="2108"/>
      <c r="AS84" s="2108"/>
      <c r="AT84" s="2108"/>
      <c r="AU84" s="2108"/>
      <c r="AV84" s="2108"/>
      <c r="AW84" s="2108"/>
      <c r="AX84" s="2108"/>
      <c r="AY84" s="2111"/>
      <c r="AZ84" s="2111"/>
      <c r="BA84" s="2111"/>
      <c r="BB84" s="2112"/>
      <c r="BC84" s="1202"/>
      <c r="BD84" s="1202"/>
      <c r="BE84" s="1209"/>
      <c r="CK84" s="1200"/>
      <c r="CL84" s="1200"/>
      <c r="CM84" s="1200"/>
      <c r="CN84" s="1200"/>
      <c r="CO84" s="1200"/>
      <c r="CP84" s="1200"/>
    </row>
    <row r="85" spans="1:94" ht="15.75" customHeight="1">
      <c r="A85" s="1202"/>
      <c r="B85" s="2040" t="s">
        <v>2302</v>
      </c>
      <c r="C85" s="2041"/>
      <c r="D85" s="2041"/>
      <c r="E85" s="2041"/>
      <c r="F85" s="2041"/>
      <c r="G85" s="2041"/>
      <c r="H85" s="2041"/>
      <c r="I85" s="2118">
        <v>0</v>
      </c>
      <c r="J85" s="2118"/>
      <c r="K85" s="2118"/>
      <c r="L85" s="2118"/>
      <c r="M85" s="2118"/>
      <c r="N85" s="2118"/>
      <c r="O85" s="2118">
        <v>0</v>
      </c>
      <c r="P85" s="2118"/>
      <c r="Q85" s="2118"/>
      <c r="R85" s="2118"/>
      <c r="S85" s="2118"/>
      <c r="T85" s="2118"/>
      <c r="U85" s="2118"/>
      <c r="V85" s="2118">
        <v>0</v>
      </c>
      <c r="W85" s="2118"/>
      <c r="X85" s="2118"/>
      <c r="Y85" s="2118"/>
      <c r="Z85" s="2118"/>
      <c r="AA85" s="2118"/>
      <c r="AB85" s="2118">
        <v>0</v>
      </c>
      <c r="AC85" s="2118"/>
      <c r="AD85" s="2118"/>
      <c r="AE85" s="2118"/>
      <c r="AF85" s="2118"/>
      <c r="AG85" s="2118"/>
      <c r="AH85" s="2119"/>
      <c r="AI85" s="1202"/>
      <c r="AJ85" s="2088" t="s">
        <v>2308</v>
      </c>
      <c r="AK85" s="2089"/>
      <c r="AL85" s="2089"/>
      <c r="AM85" s="2089"/>
      <c r="AN85" s="2089"/>
      <c r="AO85" s="2089"/>
      <c r="AP85" s="2089"/>
      <c r="AQ85" s="2089"/>
      <c r="AR85" s="2089"/>
      <c r="AS85" s="2089"/>
      <c r="AT85" s="2089"/>
      <c r="AU85" s="2089"/>
      <c r="AV85" s="2089"/>
      <c r="AW85" s="2089"/>
      <c r="AX85" s="2089"/>
      <c r="AY85" s="2089"/>
      <c r="AZ85" s="2089"/>
      <c r="BA85" s="2089"/>
      <c r="BB85" s="2090"/>
      <c r="BC85" s="1202"/>
      <c r="BD85" s="1202"/>
      <c r="BE85" s="1209"/>
      <c r="CK85" s="1200"/>
      <c r="CL85" s="1200"/>
      <c r="CM85" s="1200"/>
      <c r="CN85" s="1200"/>
      <c r="CO85" s="1200"/>
      <c r="CP85" s="1200"/>
    </row>
    <row r="86" spans="1:94" ht="15.75" customHeight="1" thickBot="1">
      <c r="A86" s="1202"/>
      <c r="B86" s="2058" t="s">
        <v>2301</v>
      </c>
      <c r="C86" s="2059"/>
      <c r="D86" s="2059"/>
      <c r="E86" s="2059"/>
      <c r="F86" s="2059"/>
      <c r="G86" s="2059"/>
      <c r="H86" s="2059"/>
      <c r="I86" s="2116">
        <v>0</v>
      </c>
      <c r="J86" s="2116"/>
      <c r="K86" s="2116"/>
      <c r="L86" s="2116"/>
      <c r="M86" s="2116"/>
      <c r="N86" s="2116"/>
      <c r="O86" s="2116">
        <v>0</v>
      </c>
      <c r="P86" s="2116"/>
      <c r="Q86" s="2116"/>
      <c r="R86" s="2116"/>
      <c r="S86" s="2116"/>
      <c r="T86" s="2116"/>
      <c r="U86" s="2116"/>
      <c r="V86" s="2116">
        <v>0</v>
      </c>
      <c r="W86" s="2116"/>
      <c r="X86" s="2116"/>
      <c r="Y86" s="2116"/>
      <c r="Z86" s="2116"/>
      <c r="AA86" s="2116"/>
      <c r="AB86" s="2116">
        <v>0</v>
      </c>
      <c r="AC86" s="2116"/>
      <c r="AD86" s="2116"/>
      <c r="AE86" s="2116"/>
      <c r="AF86" s="2116"/>
      <c r="AG86" s="2116"/>
      <c r="AH86" s="2117"/>
      <c r="AI86" s="1202"/>
      <c r="AJ86" s="2091"/>
      <c r="AK86" s="2092"/>
      <c r="AL86" s="2092"/>
      <c r="AM86" s="2092"/>
      <c r="AN86" s="2092"/>
      <c r="AO86" s="2092"/>
      <c r="AP86" s="2092"/>
      <c r="AQ86" s="2092"/>
      <c r="AR86" s="2092"/>
      <c r="AS86" s="2092"/>
      <c r="AT86" s="2092"/>
      <c r="AU86" s="2092"/>
      <c r="AV86" s="2092"/>
      <c r="AW86" s="2092"/>
      <c r="AX86" s="2092"/>
      <c r="AY86" s="2092"/>
      <c r="AZ86" s="2092"/>
      <c r="BA86" s="2092"/>
      <c r="BB86" s="2093"/>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099"/>
      <c r="G90" s="2100"/>
      <c r="H90" s="2100"/>
      <c r="I90" s="2100"/>
      <c r="J90" s="2100"/>
      <c r="K90" s="2100"/>
      <c r="L90" s="2100"/>
      <c r="M90" s="2100"/>
      <c r="N90" s="2100"/>
      <c r="O90" s="2100"/>
      <c r="P90" s="2100"/>
      <c r="Q90" s="2100"/>
      <c r="R90" s="2100"/>
      <c r="S90" s="2100"/>
      <c r="T90" s="2101"/>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2" t="s">
        <v>2309</v>
      </c>
      <c r="C92" s="2103"/>
      <c r="D92" s="2103"/>
      <c r="E92" s="2103"/>
      <c r="F92" s="2103"/>
      <c r="G92" s="2103"/>
      <c r="H92" s="2103"/>
      <c r="I92" s="2103"/>
      <c r="J92" s="2103"/>
      <c r="K92" s="2103"/>
      <c r="L92" s="2103"/>
      <c r="M92" s="2103"/>
      <c r="N92" s="2103"/>
      <c r="O92" s="2103"/>
      <c r="P92" s="2103"/>
      <c r="Q92" s="2103"/>
      <c r="R92" s="2103"/>
      <c r="S92" s="2103"/>
      <c r="T92" s="2103"/>
      <c r="U92" s="2103"/>
      <c r="V92" s="2103"/>
      <c r="W92" s="2103"/>
      <c r="X92" s="2103"/>
      <c r="Y92" s="2103"/>
      <c r="Z92" s="2103"/>
      <c r="AA92" s="2103"/>
      <c r="AB92" s="2103"/>
      <c r="AC92" s="2103"/>
      <c r="AD92" s="2103"/>
      <c r="AE92" s="2103"/>
      <c r="AF92" s="2103"/>
      <c r="AG92" s="2103"/>
      <c r="AH92" s="2104"/>
      <c r="AI92" s="1202"/>
      <c r="AJ92" s="2105" t="s">
        <v>2613</v>
      </c>
      <c r="AK92" s="2106"/>
      <c r="AL92" s="2106"/>
      <c r="AM92" s="2106"/>
      <c r="AN92" s="2106"/>
      <c r="AO92" s="2106"/>
      <c r="AP92" s="2106"/>
      <c r="AQ92" s="2106"/>
      <c r="AR92" s="2106"/>
      <c r="AS92" s="2106"/>
      <c r="AT92" s="2106"/>
      <c r="AU92" s="2106"/>
      <c r="AV92" s="2106"/>
      <c r="AW92" s="2106"/>
      <c r="AX92" s="2106"/>
      <c r="AY92" s="2109" t="s">
        <v>545</v>
      </c>
      <c r="AZ92" s="2109"/>
      <c r="BA92" s="2109"/>
      <c r="BB92" s="2110"/>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0"/>
      <c r="C93" s="2041"/>
      <c r="D93" s="2041"/>
      <c r="E93" s="2041"/>
      <c r="F93" s="2041"/>
      <c r="G93" s="2041"/>
      <c r="H93" s="2041"/>
      <c r="I93" s="2041" t="s">
        <v>2305</v>
      </c>
      <c r="J93" s="2041"/>
      <c r="K93" s="2041"/>
      <c r="L93" s="2041"/>
      <c r="M93" s="2041"/>
      <c r="N93" s="2041"/>
      <c r="O93" s="2041" t="s">
        <v>2282</v>
      </c>
      <c r="P93" s="2041"/>
      <c r="Q93" s="2041"/>
      <c r="R93" s="2041"/>
      <c r="S93" s="2041"/>
      <c r="T93" s="2041"/>
      <c r="U93" s="2041"/>
      <c r="V93" s="2113" t="s">
        <v>2281</v>
      </c>
      <c r="W93" s="2113"/>
      <c r="X93" s="2113"/>
      <c r="Y93" s="2113"/>
      <c r="Z93" s="2113"/>
      <c r="AA93" s="2113"/>
      <c r="AB93" s="2114" t="s">
        <v>2304</v>
      </c>
      <c r="AC93" s="2114"/>
      <c r="AD93" s="2114"/>
      <c r="AE93" s="2114"/>
      <c r="AF93" s="2114"/>
      <c r="AG93" s="2114"/>
      <c r="AH93" s="2115"/>
      <c r="AI93" s="1202"/>
      <c r="AJ93" s="2107"/>
      <c r="AK93" s="2108"/>
      <c r="AL93" s="2108"/>
      <c r="AM93" s="2108"/>
      <c r="AN93" s="2108"/>
      <c r="AO93" s="2108"/>
      <c r="AP93" s="2108"/>
      <c r="AQ93" s="2108"/>
      <c r="AR93" s="2108"/>
      <c r="AS93" s="2108"/>
      <c r="AT93" s="2108"/>
      <c r="AU93" s="2108"/>
      <c r="AV93" s="2108"/>
      <c r="AW93" s="2108"/>
      <c r="AX93" s="2108"/>
      <c r="AY93" s="2111"/>
      <c r="AZ93" s="2111"/>
      <c r="BA93" s="2111"/>
      <c r="BB93" s="2112"/>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0"/>
      <c r="C94" s="2041"/>
      <c r="D94" s="2041"/>
      <c r="E94" s="2041"/>
      <c r="F94" s="2041"/>
      <c r="G94" s="2041"/>
      <c r="H94" s="2041"/>
      <c r="I94" s="2041"/>
      <c r="J94" s="2041"/>
      <c r="K94" s="2041"/>
      <c r="L94" s="2041"/>
      <c r="M94" s="2041"/>
      <c r="N94" s="2041"/>
      <c r="O94" s="2041"/>
      <c r="P94" s="2041"/>
      <c r="Q94" s="2041"/>
      <c r="R94" s="2041"/>
      <c r="S94" s="2041"/>
      <c r="T94" s="2041"/>
      <c r="U94" s="2041"/>
      <c r="V94" s="2113"/>
      <c r="W94" s="2113"/>
      <c r="X94" s="2113"/>
      <c r="Y94" s="2113"/>
      <c r="Z94" s="2113"/>
      <c r="AA94" s="2113"/>
      <c r="AB94" s="2114"/>
      <c r="AC94" s="2114"/>
      <c r="AD94" s="2114"/>
      <c r="AE94" s="2114"/>
      <c r="AF94" s="2114"/>
      <c r="AG94" s="2114"/>
      <c r="AH94" s="2115"/>
      <c r="AI94" s="1202"/>
      <c r="AJ94" s="2107"/>
      <c r="AK94" s="2108"/>
      <c r="AL94" s="2108"/>
      <c r="AM94" s="2108"/>
      <c r="AN94" s="2108"/>
      <c r="AO94" s="2108"/>
      <c r="AP94" s="2108"/>
      <c r="AQ94" s="2108"/>
      <c r="AR94" s="2108"/>
      <c r="AS94" s="2108"/>
      <c r="AT94" s="2108"/>
      <c r="AU94" s="2108"/>
      <c r="AV94" s="2108"/>
      <c r="AW94" s="2108"/>
      <c r="AX94" s="2108"/>
      <c r="AY94" s="2111"/>
      <c r="AZ94" s="2111"/>
      <c r="BA94" s="2111"/>
      <c r="BB94" s="2112"/>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0" t="s">
        <v>2303</v>
      </c>
      <c r="C95" s="2041"/>
      <c r="D95" s="2041"/>
      <c r="E95" s="2041"/>
      <c r="F95" s="2041"/>
      <c r="G95" s="2041"/>
      <c r="H95" s="2041"/>
      <c r="I95" s="2118">
        <v>0</v>
      </c>
      <c r="J95" s="2118"/>
      <c r="K95" s="2118"/>
      <c r="L95" s="2118"/>
      <c r="M95" s="2118"/>
      <c r="N95" s="2118"/>
      <c r="O95" s="2118">
        <v>0</v>
      </c>
      <c r="P95" s="2118"/>
      <c r="Q95" s="2118"/>
      <c r="R95" s="2118"/>
      <c r="S95" s="2118"/>
      <c r="T95" s="2118"/>
      <c r="U95" s="2118"/>
      <c r="V95" s="2118">
        <v>0</v>
      </c>
      <c r="W95" s="2118"/>
      <c r="X95" s="2118"/>
      <c r="Y95" s="2118"/>
      <c r="Z95" s="2118"/>
      <c r="AA95" s="2118"/>
      <c r="AB95" s="2118">
        <v>0</v>
      </c>
      <c r="AC95" s="2118"/>
      <c r="AD95" s="2118"/>
      <c r="AE95" s="2118"/>
      <c r="AF95" s="2118"/>
      <c r="AG95" s="2118"/>
      <c r="AH95" s="2119"/>
      <c r="AI95" s="1202"/>
      <c r="AJ95" s="2107"/>
      <c r="AK95" s="2108"/>
      <c r="AL95" s="2108"/>
      <c r="AM95" s="2108"/>
      <c r="AN95" s="2108"/>
      <c r="AO95" s="2108"/>
      <c r="AP95" s="2108"/>
      <c r="AQ95" s="2108"/>
      <c r="AR95" s="2108"/>
      <c r="AS95" s="2108"/>
      <c r="AT95" s="2108"/>
      <c r="AU95" s="2108"/>
      <c r="AV95" s="2108"/>
      <c r="AW95" s="2108"/>
      <c r="AX95" s="2108"/>
      <c r="AY95" s="2111"/>
      <c r="AZ95" s="2111"/>
      <c r="BA95" s="2111"/>
      <c r="BB95" s="2112"/>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0" t="s">
        <v>2302</v>
      </c>
      <c r="C96" s="2041"/>
      <c r="D96" s="2041"/>
      <c r="E96" s="2041"/>
      <c r="F96" s="2041"/>
      <c r="G96" s="2041"/>
      <c r="H96" s="2041"/>
      <c r="I96" s="2118">
        <v>0</v>
      </c>
      <c r="J96" s="2118"/>
      <c r="K96" s="2118"/>
      <c r="L96" s="2118"/>
      <c r="M96" s="2118"/>
      <c r="N96" s="2118"/>
      <c r="O96" s="2118">
        <v>0</v>
      </c>
      <c r="P96" s="2118"/>
      <c r="Q96" s="2118"/>
      <c r="R96" s="2118"/>
      <c r="S96" s="2118"/>
      <c r="T96" s="2118"/>
      <c r="U96" s="2118"/>
      <c r="V96" s="2118">
        <v>0</v>
      </c>
      <c r="W96" s="2118"/>
      <c r="X96" s="2118"/>
      <c r="Y96" s="2118"/>
      <c r="Z96" s="2118"/>
      <c r="AA96" s="2118"/>
      <c r="AB96" s="2118">
        <v>0</v>
      </c>
      <c r="AC96" s="2118"/>
      <c r="AD96" s="2118"/>
      <c r="AE96" s="2118"/>
      <c r="AF96" s="2118"/>
      <c r="AG96" s="2118"/>
      <c r="AH96" s="2119"/>
      <c r="AI96" s="1202"/>
      <c r="AJ96" s="2088" t="s">
        <v>2308</v>
      </c>
      <c r="AK96" s="2089"/>
      <c r="AL96" s="2089"/>
      <c r="AM96" s="2089"/>
      <c r="AN96" s="2089"/>
      <c r="AO96" s="2089"/>
      <c r="AP96" s="2089"/>
      <c r="AQ96" s="2089"/>
      <c r="AR96" s="2089"/>
      <c r="AS96" s="2089"/>
      <c r="AT96" s="2089"/>
      <c r="AU96" s="2089"/>
      <c r="AV96" s="2089"/>
      <c r="AW96" s="2089"/>
      <c r="AX96" s="2089"/>
      <c r="AY96" s="2089"/>
      <c r="AZ96" s="2089"/>
      <c r="BA96" s="2089"/>
      <c r="BB96" s="2090"/>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8" t="s">
        <v>2301</v>
      </c>
      <c r="C97" s="2059"/>
      <c r="D97" s="2059"/>
      <c r="E97" s="2059"/>
      <c r="F97" s="2059"/>
      <c r="G97" s="2059"/>
      <c r="H97" s="2059"/>
      <c r="I97" s="2116">
        <v>0</v>
      </c>
      <c r="J97" s="2116"/>
      <c r="K97" s="2116"/>
      <c r="L97" s="2116"/>
      <c r="M97" s="2116"/>
      <c r="N97" s="2116"/>
      <c r="O97" s="2116">
        <v>0</v>
      </c>
      <c r="P97" s="2116"/>
      <c r="Q97" s="2116"/>
      <c r="R97" s="2116"/>
      <c r="S97" s="2116"/>
      <c r="T97" s="2116"/>
      <c r="U97" s="2116"/>
      <c r="V97" s="2116">
        <v>0</v>
      </c>
      <c r="W97" s="2116"/>
      <c r="X97" s="2116"/>
      <c r="Y97" s="2116"/>
      <c r="Z97" s="2116"/>
      <c r="AA97" s="2116"/>
      <c r="AB97" s="2116">
        <v>0</v>
      </c>
      <c r="AC97" s="2116"/>
      <c r="AD97" s="2116"/>
      <c r="AE97" s="2116"/>
      <c r="AF97" s="2116"/>
      <c r="AG97" s="2116"/>
      <c r="AH97" s="2117"/>
      <c r="AI97" s="1202"/>
      <c r="AJ97" s="2091"/>
      <c r="AK97" s="2092"/>
      <c r="AL97" s="2092"/>
      <c r="AM97" s="2092"/>
      <c r="AN97" s="2092"/>
      <c r="AO97" s="2092"/>
      <c r="AP97" s="2092"/>
      <c r="AQ97" s="2092"/>
      <c r="AR97" s="2092"/>
      <c r="AS97" s="2092"/>
      <c r="AT97" s="2092"/>
      <c r="AU97" s="2092"/>
      <c r="AV97" s="2092"/>
      <c r="AW97" s="2092"/>
      <c r="AX97" s="2092"/>
      <c r="AY97" s="2092"/>
      <c r="AZ97" s="2092"/>
      <c r="BA97" s="2092"/>
      <c r="BB97" s="2093"/>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0"/>
      <c r="G100" s="2121"/>
      <c r="H100" s="2121"/>
      <c r="I100" s="2121"/>
      <c r="J100" s="2121"/>
      <c r="K100" s="2121"/>
      <c r="L100" s="2121"/>
      <c r="M100" s="2121"/>
      <c r="N100" s="2121"/>
      <c r="O100" s="2121"/>
      <c r="P100" s="2121"/>
      <c r="Q100" s="2121"/>
      <c r="R100" s="212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4" t="s">
        <v>2306</v>
      </c>
      <c r="C102" s="2085"/>
      <c r="D102" s="2085"/>
      <c r="E102" s="2085"/>
      <c r="F102" s="2085"/>
      <c r="G102" s="2085"/>
      <c r="H102" s="2085"/>
      <c r="I102" s="2085"/>
      <c r="J102" s="2085"/>
      <c r="K102" s="2085"/>
      <c r="L102" s="2085"/>
      <c r="M102" s="2085"/>
      <c r="N102" s="2085"/>
      <c r="O102" s="2085"/>
      <c r="P102" s="2085"/>
      <c r="Q102" s="2085"/>
      <c r="R102" s="2085"/>
      <c r="S102" s="2085"/>
      <c r="T102" s="2085"/>
      <c r="U102" s="2085"/>
      <c r="V102" s="2085"/>
      <c r="W102" s="2085"/>
      <c r="X102" s="2085"/>
      <c r="Y102" s="2085"/>
      <c r="Z102" s="2085"/>
      <c r="AA102" s="2085"/>
      <c r="AB102" s="2085"/>
      <c r="AC102" s="2085"/>
      <c r="AD102" s="2085"/>
      <c r="AE102" s="2085"/>
      <c r="AF102" s="2085"/>
      <c r="AG102" s="2085"/>
      <c r="AH102" s="2123"/>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0"/>
      <c r="C103" s="2041"/>
      <c r="D103" s="2041"/>
      <c r="E103" s="2041"/>
      <c r="F103" s="2041"/>
      <c r="G103" s="2041"/>
      <c r="H103" s="2041"/>
      <c r="I103" s="2041" t="s">
        <v>2305</v>
      </c>
      <c r="J103" s="2041"/>
      <c r="K103" s="2041"/>
      <c r="L103" s="2041"/>
      <c r="M103" s="2041"/>
      <c r="N103" s="2041"/>
      <c r="O103" s="2041" t="s">
        <v>2282</v>
      </c>
      <c r="P103" s="2041"/>
      <c r="Q103" s="2041"/>
      <c r="R103" s="2041"/>
      <c r="S103" s="2041"/>
      <c r="T103" s="2041"/>
      <c r="U103" s="2041"/>
      <c r="V103" s="2113" t="s">
        <v>2281</v>
      </c>
      <c r="W103" s="2113"/>
      <c r="X103" s="2113"/>
      <c r="Y103" s="2113"/>
      <c r="Z103" s="2113"/>
      <c r="AA103" s="2113"/>
      <c r="AB103" s="2114" t="s">
        <v>2304</v>
      </c>
      <c r="AC103" s="2114"/>
      <c r="AD103" s="2114"/>
      <c r="AE103" s="2114"/>
      <c r="AF103" s="2114"/>
      <c r="AG103" s="2114"/>
      <c r="AH103" s="2115"/>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0"/>
      <c r="C104" s="2041"/>
      <c r="D104" s="2041"/>
      <c r="E104" s="2041"/>
      <c r="F104" s="2041"/>
      <c r="G104" s="2041"/>
      <c r="H104" s="2041"/>
      <c r="I104" s="2041"/>
      <c r="J104" s="2041"/>
      <c r="K104" s="2041"/>
      <c r="L104" s="2041"/>
      <c r="M104" s="2041"/>
      <c r="N104" s="2041"/>
      <c r="O104" s="2041"/>
      <c r="P104" s="2041"/>
      <c r="Q104" s="2041"/>
      <c r="R104" s="2041"/>
      <c r="S104" s="2041"/>
      <c r="T104" s="2041"/>
      <c r="U104" s="2041"/>
      <c r="V104" s="2113"/>
      <c r="W104" s="2113"/>
      <c r="X104" s="2113"/>
      <c r="Y104" s="2113"/>
      <c r="Z104" s="2113"/>
      <c r="AA104" s="2113"/>
      <c r="AB104" s="2114"/>
      <c r="AC104" s="2114"/>
      <c r="AD104" s="2114"/>
      <c r="AE104" s="2114"/>
      <c r="AF104" s="2114"/>
      <c r="AG104" s="2114"/>
      <c r="AH104" s="2115"/>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0" t="s">
        <v>2303</v>
      </c>
      <c r="C105" s="2041"/>
      <c r="D105" s="2041"/>
      <c r="E105" s="2041"/>
      <c r="F105" s="2041"/>
      <c r="G105" s="2041"/>
      <c r="H105" s="2041"/>
      <c r="I105" s="2118">
        <v>0</v>
      </c>
      <c r="J105" s="2118"/>
      <c r="K105" s="2118"/>
      <c r="L105" s="2118"/>
      <c r="M105" s="2118"/>
      <c r="N105" s="2118"/>
      <c r="O105" s="2118">
        <v>0</v>
      </c>
      <c r="P105" s="2118"/>
      <c r="Q105" s="2118"/>
      <c r="R105" s="2118"/>
      <c r="S105" s="2118"/>
      <c r="T105" s="2118"/>
      <c r="U105" s="2118"/>
      <c r="V105" s="2118">
        <v>0</v>
      </c>
      <c r="W105" s="2118"/>
      <c r="X105" s="2118"/>
      <c r="Y105" s="2118"/>
      <c r="Z105" s="2118"/>
      <c r="AA105" s="2118"/>
      <c r="AB105" s="2118">
        <v>0</v>
      </c>
      <c r="AC105" s="2118"/>
      <c r="AD105" s="2118"/>
      <c r="AE105" s="2118"/>
      <c r="AF105" s="2118"/>
      <c r="AG105" s="2118"/>
      <c r="AH105" s="211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0" t="s">
        <v>2302</v>
      </c>
      <c r="C106" s="2041"/>
      <c r="D106" s="2041"/>
      <c r="E106" s="2041"/>
      <c r="F106" s="2041"/>
      <c r="G106" s="2041"/>
      <c r="H106" s="2041"/>
      <c r="I106" s="2118">
        <v>0</v>
      </c>
      <c r="J106" s="2118"/>
      <c r="K106" s="2118"/>
      <c r="L106" s="2118"/>
      <c r="M106" s="2118"/>
      <c r="N106" s="2118"/>
      <c r="O106" s="2118">
        <v>0</v>
      </c>
      <c r="P106" s="2118"/>
      <c r="Q106" s="2118"/>
      <c r="R106" s="2118"/>
      <c r="S106" s="2118"/>
      <c r="T106" s="2118"/>
      <c r="U106" s="2118"/>
      <c r="V106" s="2118">
        <v>0</v>
      </c>
      <c r="W106" s="2118"/>
      <c r="X106" s="2118"/>
      <c r="Y106" s="2118"/>
      <c r="Z106" s="2118"/>
      <c r="AA106" s="2118"/>
      <c r="AB106" s="2118">
        <v>0</v>
      </c>
      <c r="AC106" s="2118"/>
      <c r="AD106" s="2118"/>
      <c r="AE106" s="2118"/>
      <c r="AF106" s="2118"/>
      <c r="AG106" s="2118"/>
      <c r="AH106" s="211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8" t="s">
        <v>2301</v>
      </c>
      <c r="C107" s="2059"/>
      <c r="D107" s="2059"/>
      <c r="E107" s="2059"/>
      <c r="F107" s="2059"/>
      <c r="G107" s="2059"/>
      <c r="H107" s="2059"/>
      <c r="I107" s="2116">
        <v>0</v>
      </c>
      <c r="J107" s="2116"/>
      <c r="K107" s="2116"/>
      <c r="L107" s="2116"/>
      <c r="M107" s="2116"/>
      <c r="N107" s="2116"/>
      <c r="O107" s="2116">
        <v>0</v>
      </c>
      <c r="P107" s="2116"/>
      <c r="Q107" s="2116"/>
      <c r="R107" s="2116"/>
      <c r="S107" s="2116"/>
      <c r="T107" s="2116"/>
      <c r="U107" s="2116"/>
      <c r="V107" s="2116">
        <v>0</v>
      </c>
      <c r="W107" s="2116"/>
      <c r="X107" s="2116"/>
      <c r="Y107" s="2116"/>
      <c r="Z107" s="2116"/>
      <c r="AA107" s="2116"/>
      <c r="AB107" s="2116">
        <v>0</v>
      </c>
      <c r="AC107" s="2116"/>
      <c r="AD107" s="2116"/>
      <c r="AE107" s="2116"/>
      <c r="AF107" s="2116"/>
      <c r="AG107" s="2116"/>
      <c r="AH107" s="211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0"/>
      <c r="G110" s="2121"/>
      <c r="H110" s="2121"/>
      <c r="I110" s="2121"/>
      <c r="J110" s="2121"/>
      <c r="K110" s="2121"/>
      <c r="L110" s="2121"/>
      <c r="M110" s="2121"/>
      <c r="N110" s="2121"/>
      <c r="O110" s="2121"/>
      <c r="P110" s="2121"/>
      <c r="Q110" s="2121"/>
      <c r="R110" s="212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4" t="s">
        <v>2614</v>
      </c>
      <c r="C112" s="2125"/>
      <c r="D112" s="2125"/>
      <c r="E112" s="2125"/>
      <c r="F112" s="2125"/>
      <c r="G112" s="2125"/>
      <c r="H112" s="2125"/>
      <c r="I112" s="2125"/>
      <c r="J112" s="2125"/>
      <c r="K112" s="2125"/>
      <c r="L112" s="2125"/>
      <c r="M112" s="2125"/>
      <c r="N112" s="2125"/>
      <c r="O112" s="2125"/>
      <c r="P112" s="2125"/>
      <c r="Q112" s="2125"/>
      <c r="R112" s="2125"/>
      <c r="S112" s="2125"/>
      <c r="T112" s="2125"/>
      <c r="U112" s="2128" t="s">
        <v>545</v>
      </c>
      <c r="V112" s="2128"/>
      <c r="W112" s="2128"/>
      <c r="X112" s="2129"/>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6"/>
      <c r="C113" s="2127"/>
      <c r="D113" s="2127"/>
      <c r="E113" s="2127"/>
      <c r="F113" s="2127"/>
      <c r="G113" s="2127"/>
      <c r="H113" s="2127"/>
      <c r="I113" s="2127"/>
      <c r="J113" s="2127"/>
      <c r="K113" s="2127"/>
      <c r="L113" s="2127"/>
      <c r="M113" s="2127"/>
      <c r="N113" s="2127"/>
      <c r="O113" s="2127"/>
      <c r="P113" s="2127"/>
      <c r="Q113" s="2127"/>
      <c r="R113" s="2127"/>
      <c r="S113" s="2127"/>
      <c r="T113" s="2127"/>
      <c r="U113" s="2130"/>
      <c r="V113" s="2130"/>
      <c r="W113" s="2130"/>
      <c r="X113" s="2131"/>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6"/>
      <c r="C114" s="2127"/>
      <c r="D114" s="2127"/>
      <c r="E114" s="2127"/>
      <c r="F114" s="2127"/>
      <c r="G114" s="2127"/>
      <c r="H114" s="2127"/>
      <c r="I114" s="2127"/>
      <c r="J114" s="2127"/>
      <c r="K114" s="2127"/>
      <c r="L114" s="2127"/>
      <c r="M114" s="2127"/>
      <c r="N114" s="2127"/>
      <c r="O114" s="2127"/>
      <c r="P114" s="2127"/>
      <c r="Q114" s="2127"/>
      <c r="R114" s="2127"/>
      <c r="S114" s="2127"/>
      <c r="T114" s="2127"/>
      <c r="U114" s="2130"/>
      <c r="V114" s="2130"/>
      <c r="W114" s="2130"/>
      <c r="X114" s="2131"/>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6"/>
      <c r="C115" s="2127"/>
      <c r="D115" s="2127"/>
      <c r="E115" s="2127"/>
      <c r="F115" s="2127"/>
      <c r="G115" s="2127"/>
      <c r="H115" s="2127"/>
      <c r="I115" s="2127"/>
      <c r="J115" s="2127"/>
      <c r="K115" s="2127"/>
      <c r="L115" s="2127"/>
      <c r="M115" s="2127"/>
      <c r="N115" s="2127"/>
      <c r="O115" s="2127"/>
      <c r="P115" s="2127"/>
      <c r="Q115" s="2127"/>
      <c r="R115" s="2127"/>
      <c r="S115" s="2127"/>
      <c r="T115" s="2127"/>
      <c r="U115" s="2130"/>
      <c r="V115" s="2130"/>
      <c r="W115" s="2130"/>
      <c r="X115" s="2131"/>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2" t="s">
        <v>2614</v>
      </c>
      <c r="C116" s="2133"/>
      <c r="D116" s="2133"/>
      <c r="E116" s="2133"/>
      <c r="F116" s="2133"/>
      <c r="G116" s="2133"/>
      <c r="H116" s="2133"/>
      <c r="I116" s="2133"/>
      <c r="J116" s="2133"/>
      <c r="K116" s="2133"/>
      <c r="L116" s="2133"/>
      <c r="M116" s="2133"/>
      <c r="N116" s="2133"/>
      <c r="O116" s="2133"/>
      <c r="P116" s="2133"/>
      <c r="Q116" s="2133"/>
      <c r="R116" s="2133"/>
      <c r="S116" s="2133"/>
      <c r="T116" s="2133"/>
      <c r="U116" s="2136" t="s">
        <v>545</v>
      </c>
      <c r="V116" s="2136"/>
      <c r="W116" s="2136"/>
      <c r="X116" s="2137"/>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4"/>
      <c r="C117" s="2135"/>
      <c r="D117" s="2135"/>
      <c r="E117" s="2135"/>
      <c r="F117" s="2135"/>
      <c r="G117" s="2135"/>
      <c r="H117" s="2135"/>
      <c r="I117" s="2135"/>
      <c r="J117" s="2135"/>
      <c r="K117" s="2135"/>
      <c r="L117" s="2135"/>
      <c r="M117" s="2135"/>
      <c r="N117" s="2135"/>
      <c r="O117" s="2135"/>
      <c r="P117" s="2135"/>
      <c r="Q117" s="2135"/>
      <c r="R117" s="2135"/>
      <c r="S117" s="2135"/>
      <c r="T117" s="2135"/>
      <c r="U117" s="2138"/>
      <c r="V117" s="2138"/>
      <c r="W117" s="2138"/>
      <c r="X117" s="2139"/>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5" t="s">
        <v>2298</v>
      </c>
      <c r="Y120" s="2106"/>
      <c r="Z120" s="2106"/>
      <c r="AA120" s="2106"/>
      <c r="AB120" s="2106"/>
      <c r="AC120" s="2106"/>
      <c r="AD120" s="2106"/>
      <c r="AE120" s="2106"/>
      <c r="AF120" s="2106"/>
      <c r="AG120" s="2106"/>
      <c r="AH120" s="2106"/>
      <c r="AI120" s="2106"/>
      <c r="AJ120" s="2106"/>
      <c r="AK120" s="2106"/>
      <c r="AL120" s="2106"/>
      <c r="AM120" s="2106"/>
      <c r="AN120" s="2106"/>
      <c r="AO120" s="2106"/>
      <c r="AP120" s="2106"/>
      <c r="AQ120" s="2106"/>
      <c r="AR120" s="2106"/>
      <c r="AS120" s="2106"/>
      <c r="AT120" s="2106"/>
      <c r="AU120" s="2106"/>
      <c r="AV120" s="2106"/>
      <c r="AW120" s="2106"/>
      <c r="AX120" s="2106"/>
      <c r="AY120" s="2106"/>
      <c r="AZ120" s="2106"/>
      <c r="BA120" s="2106"/>
      <c r="BB120" s="2106"/>
      <c r="BC120" s="2106"/>
      <c r="BD120" s="2146"/>
      <c r="BE120" s="1209"/>
    </row>
    <row r="121" spans="1:57" ht="15.75" customHeight="1">
      <c r="A121" s="1202"/>
      <c r="B121" s="2148" t="s">
        <v>1565</v>
      </c>
      <c r="C121" s="2149"/>
      <c r="D121" s="2149"/>
      <c r="E121" s="2149"/>
      <c r="F121" s="2149"/>
      <c r="G121" s="2149"/>
      <c r="H121" s="2149"/>
      <c r="I121" s="2149"/>
      <c r="J121" s="2149"/>
      <c r="K121" s="2149"/>
      <c r="L121" s="2149"/>
      <c r="M121" s="2149"/>
      <c r="N121" s="2149"/>
      <c r="O121" s="2149"/>
      <c r="P121" s="2149"/>
      <c r="Q121" s="2149"/>
      <c r="R121" s="2149"/>
      <c r="S121" s="2149"/>
      <c r="T121" s="2149"/>
      <c r="U121" s="2150"/>
      <c r="V121" s="1202"/>
      <c r="W121" s="1202"/>
      <c r="X121" s="2107"/>
      <c r="Y121" s="2108"/>
      <c r="Z121" s="2108"/>
      <c r="AA121" s="2108"/>
      <c r="AB121" s="2108"/>
      <c r="AC121" s="2108"/>
      <c r="AD121" s="2108"/>
      <c r="AE121" s="2108"/>
      <c r="AF121" s="2108"/>
      <c r="AG121" s="2108"/>
      <c r="AH121" s="2108"/>
      <c r="AI121" s="2108"/>
      <c r="AJ121" s="2108"/>
      <c r="AK121" s="2108"/>
      <c r="AL121" s="2108"/>
      <c r="AM121" s="2108"/>
      <c r="AN121" s="2108"/>
      <c r="AO121" s="2108"/>
      <c r="AP121" s="2108"/>
      <c r="AQ121" s="2108"/>
      <c r="AR121" s="2108"/>
      <c r="AS121" s="2108"/>
      <c r="AT121" s="2108"/>
      <c r="AU121" s="2108"/>
      <c r="AV121" s="2108"/>
      <c r="AW121" s="2108"/>
      <c r="AX121" s="2108"/>
      <c r="AY121" s="2108"/>
      <c r="AZ121" s="2108"/>
      <c r="BA121" s="2108"/>
      <c r="BB121" s="2108"/>
      <c r="BC121" s="2108"/>
      <c r="BD121" s="2147"/>
      <c r="BE121" s="1209"/>
    </row>
    <row r="122" spans="1:57" ht="15.75" customHeight="1">
      <c r="A122" s="1202"/>
      <c r="B122" s="2166"/>
      <c r="C122" s="2167"/>
      <c r="D122" s="2167"/>
      <c r="E122" s="2167"/>
      <c r="F122" s="2167"/>
      <c r="G122" s="2167"/>
      <c r="H122" s="2167"/>
      <c r="I122" s="2041" t="s">
        <v>2297</v>
      </c>
      <c r="J122" s="2041"/>
      <c r="K122" s="2041"/>
      <c r="L122" s="2041"/>
      <c r="M122" s="2041"/>
      <c r="N122" s="2041"/>
      <c r="O122" s="2170" t="s">
        <v>2296</v>
      </c>
      <c r="P122" s="2170"/>
      <c r="Q122" s="2170"/>
      <c r="R122" s="2170"/>
      <c r="S122" s="2170"/>
      <c r="T122" s="2170"/>
      <c r="U122" s="2171"/>
      <c r="V122" s="1202"/>
      <c r="W122" s="1202"/>
      <c r="X122" s="2088" t="s">
        <v>2266</v>
      </c>
      <c r="Y122" s="2089"/>
      <c r="Z122" s="2089"/>
      <c r="AA122" s="2089"/>
      <c r="AB122" s="2089"/>
      <c r="AC122" s="2089"/>
      <c r="AD122" s="2089"/>
      <c r="AE122" s="2089"/>
      <c r="AF122" s="2089"/>
      <c r="AG122" s="2089"/>
      <c r="AH122" s="2089"/>
      <c r="AI122" s="2089"/>
      <c r="AJ122" s="2089"/>
      <c r="AK122" s="2089"/>
      <c r="AL122" s="2089"/>
      <c r="AM122" s="2089"/>
      <c r="AN122" s="2089"/>
      <c r="AO122" s="2089"/>
      <c r="AP122" s="2089"/>
      <c r="AQ122" s="2089"/>
      <c r="AR122" s="2089"/>
      <c r="AS122" s="2089"/>
      <c r="AT122" s="2089"/>
      <c r="AU122" s="2089"/>
      <c r="AV122" s="2089"/>
      <c r="AW122" s="2089"/>
      <c r="AX122" s="2089"/>
      <c r="AY122" s="2089"/>
      <c r="AZ122" s="2089"/>
      <c r="BA122" s="2089"/>
      <c r="BB122" s="2089"/>
      <c r="BC122" s="2089"/>
      <c r="BD122" s="2090"/>
      <c r="BE122" s="1209"/>
    </row>
    <row r="123" spans="1:57" ht="15.75" customHeight="1">
      <c r="A123" s="1202"/>
      <c r="B123" s="2140" t="s">
        <v>2280</v>
      </c>
      <c r="C123" s="2141"/>
      <c r="D123" s="2141"/>
      <c r="E123" s="2141"/>
      <c r="F123" s="2141"/>
      <c r="G123" s="2141"/>
      <c r="H123" s="2141"/>
      <c r="I123" s="2118">
        <v>0</v>
      </c>
      <c r="J123" s="2118"/>
      <c r="K123" s="2118"/>
      <c r="L123" s="2118"/>
      <c r="M123" s="2118"/>
      <c r="N123" s="2118"/>
      <c r="O123" s="2118">
        <v>0</v>
      </c>
      <c r="P123" s="2118"/>
      <c r="Q123" s="2118"/>
      <c r="R123" s="2118"/>
      <c r="S123" s="2118"/>
      <c r="T123" s="2118"/>
      <c r="U123" s="2119"/>
      <c r="V123" s="1202"/>
      <c r="W123" s="1202"/>
      <c r="X123" s="2088"/>
      <c r="Y123" s="2089"/>
      <c r="Z123" s="2089"/>
      <c r="AA123" s="2089"/>
      <c r="AB123" s="2089"/>
      <c r="AC123" s="2089"/>
      <c r="AD123" s="2089"/>
      <c r="AE123" s="2089"/>
      <c r="AF123" s="2089"/>
      <c r="AG123" s="2089"/>
      <c r="AH123" s="2089"/>
      <c r="AI123" s="2089"/>
      <c r="AJ123" s="2089"/>
      <c r="AK123" s="2089"/>
      <c r="AL123" s="2089"/>
      <c r="AM123" s="2089"/>
      <c r="AN123" s="2089"/>
      <c r="AO123" s="2089"/>
      <c r="AP123" s="2089"/>
      <c r="AQ123" s="2089"/>
      <c r="AR123" s="2089"/>
      <c r="AS123" s="2089"/>
      <c r="AT123" s="2089"/>
      <c r="AU123" s="2089"/>
      <c r="AV123" s="2089"/>
      <c r="AW123" s="2089"/>
      <c r="AX123" s="2089"/>
      <c r="AY123" s="2089"/>
      <c r="AZ123" s="2089"/>
      <c r="BA123" s="2089"/>
      <c r="BB123" s="2089"/>
      <c r="BC123" s="2089"/>
      <c r="BD123" s="2090"/>
      <c r="BE123" s="1209"/>
    </row>
    <row r="124" spans="1:57" ht="15.75" customHeight="1" thickBot="1">
      <c r="A124" s="1202"/>
      <c r="B124" s="2142" t="s">
        <v>2279</v>
      </c>
      <c r="C124" s="2143"/>
      <c r="D124" s="2143"/>
      <c r="E124" s="2143"/>
      <c r="F124" s="2143"/>
      <c r="G124" s="2143"/>
      <c r="H124" s="2143"/>
      <c r="I124" s="2116">
        <v>0</v>
      </c>
      <c r="J124" s="2116"/>
      <c r="K124" s="2116"/>
      <c r="L124" s="2116"/>
      <c r="M124" s="2116"/>
      <c r="N124" s="2116"/>
      <c r="O124" s="2144"/>
      <c r="P124" s="2144"/>
      <c r="Q124" s="2144"/>
      <c r="R124" s="2144"/>
      <c r="S124" s="2144"/>
      <c r="T124" s="2144"/>
      <c r="U124" s="2145"/>
      <c r="V124" s="1202"/>
      <c r="W124" s="1202"/>
      <c r="X124" s="2088"/>
      <c r="Y124" s="2089"/>
      <c r="Z124" s="2089"/>
      <c r="AA124" s="2089"/>
      <c r="AB124" s="2089"/>
      <c r="AC124" s="2089"/>
      <c r="AD124" s="2089"/>
      <c r="AE124" s="2089"/>
      <c r="AF124" s="2089"/>
      <c r="AG124" s="2089"/>
      <c r="AH124" s="2089"/>
      <c r="AI124" s="2089"/>
      <c r="AJ124" s="2089"/>
      <c r="AK124" s="2089"/>
      <c r="AL124" s="2089"/>
      <c r="AM124" s="2089"/>
      <c r="AN124" s="2089"/>
      <c r="AO124" s="2089"/>
      <c r="AP124" s="2089"/>
      <c r="AQ124" s="2089"/>
      <c r="AR124" s="2089"/>
      <c r="AS124" s="2089"/>
      <c r="AT124" s="2089"/>
      <c r="AU124" s="2089"/>
      <c r="AV124" s="2089"/>
      <c r="AW124" s="2089"/>
      <c r="AX124" s="2089"/>
      <c r="AY124" s="2089"/>
      <c r="AZ124" s="2089"/>
      <c r="BA124" s="2089"/>
      <c r="BB124" s="2089"/>
      <c r="BC124" s="2089"/>
      <c r="BD124" s="2090"/>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8"/>
      <c r="Y125" s="2089"/>
      <c r="Z125" s="2089"/>
      <c r="AA125" s="2089"/>
      <c r="AB125" s="2089"/>
      <c r="AC125" s="2089"/>
      <c r="AD125" s="2089"/>
      <c r="AE125" s="2089"/>
      <c r="AF125" s="2089"/>
      <c r="AG125" s="2089"/>
      <c r="AH125" s="2089"/>
      <c r="AI125" s="2089"/>
      <c r="AJ125" s="2089"/>
      <c r="AK125" s="2089"/>
      <c r="AL125" s="2089"/>
      <c r="AM125" s="2089"/>
      <c r="AN125" s="2089"/>
      <c r="AO125" s="2089"/>
      <c r="AP125" s="2089"/>
      <c r="AQ125" s="2089"/>
      <c r="AR125" s="2089"/>
      <c r="AS125" s="2089"/>
      <c r="AT125" s="2089"/>
      <c r="AU125" s="2089"/>
      <c r="AV125" s="2089"/>
      <c r="AW125" s="2089"/>
      <c r="AX125" s="2089"/>
      <c r="AY125" s="2089"/>
      <c r="AZ125" s="2089"/>
      <c r="BA125" s="2089"/>
      <c r="BB125" s="2089"/>
      <c r="BC125" s="2089"/>
      <c r="BD125" s="2090"/>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88"/>
      <c r="Y126" s="2089"/>
      <c r="Z126" s="2089"/>
      <c r="AA126" s="2089"/>
      <c r="AB126" s="2089"/>
      <c r="AC126" s="2089"/>
      <c r="AD126" s="2089"/>
      <c r="AE126" s="2089"/>
      <c r="AF126" s="2089"/>
      <c r="AG126" s="2089"/>
      <c r="AH126" s="2089"/>
      <c r="AI126" s="2089"/>
      <c r="AJ126" s="2089"/>
      <c r="AK126" s="2089"/>
      <c r="AL126" s="2089"/>
      <c r="AM126" s="2089"/>
      <c r="AN126" s="2089"/>
      <c r="AO126" s="2089"/>
      <c r="AP126" s="2089"/>
      <c r="AQ126" s="2089"/>
      <c r="AR126" s="2089"/>
      <c r="AS126" s="2089"/>
      <c r="AT126" s="2089"/>
      <c r="AU126" s="2089"/>
      <c r="AV126" s="2089"/>
      <c r="AW126" s="2089"/>
      <c r="AX126" s="2089"/>
      <c r="AY126" s="2089"/>
      <c r="AZ126" s="2089"/>
      <c r="BA126" s="2089"/>
      <c r="BB126" s="2089"/>
      <c r="BC126" s="2089"/>
      <c r="BD126" s="2090"/>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8"/>
      <c r="Y127" s="2089"/>
      <c r="Z127" s="2089"/>
      <c r="AA127" s="2089"/>
      <c r="AB127" s="2089"/>
      <c r="AC127" s="2089"/>
      <c r="AD127" s="2089"/>
      <c r="AE127" s="2089"/>
      <c r="AF127" s="2089"/>
      <c r="AG127" s="2089"/>
      <c r="AH127" s="2089"/>
      <c r="AI127" s="2089"/>
      <c r="AJ127" s="2089"/>
      <c r="AK127" s="2089"/>
      <c r="AL127" s="2089"/>
      <c r="AM127" s="2089"/>
      <c r="AN127" s="2089"/>
      <c r="AO127" s="2089"/>
      <c r="AP127" s="2089"/>
      <c r="AQ127" s="2089"/>
      <c r="AR127" s="2089"/>
      <c r="AS127" s="2089"/>
      <c r="AT127" s="2089"/>
      <c r="AU127" s="2089"/>
      <c r="AV127" s="2089"/>
      <c r="AW127" s="2089"/>
      <c r="AX127" s="2089"/>
      <c r="AY127" s="2089"/>
      <c r="AZ127" s="2089"/>
      <c r="BA127" s="2089"/>
      <c r="BB127" s="2089"/>
      <c r="BC127" s="2089"/>
      <c r="BD127" s="2090"/>
      <c r="BE127" s="1209"/>
    </row>
    <row r="128" spans="1:57" ht="15.75" customHeight="1">
      <c r="A128" s="1202"/>
      <c r="B128" s="1942" t="s">
        <v>2294</v>
      </c>
      <c r="C128" s="1943"/>
      <c r="D128" s="1943"/>
      <c r="E128" s="1943"/>
      <c r="F128" s="1943"/>
      <c r="G128" s="1943"/>
      <c r="H128" s="1943"/>
      <c r="I128" s="1943"/>
      <c r="J128" s="1943"/>
      <c r="K128" s="1943"/>
      <c r="L128" s="1943"/>
      <c r="M128" s="1943"/>
      <c r="N128" s="1943"/>
      <c r="O128" s="1943"/>
      <c r="P128" s="1943"/>
      <c r="Q128" s="1943"/>
      <c r="R128" s="1943"/>
      <c r="S128" s="1943"/>
      <c r="T128" s="1943"/>
      <c r="U128" s="1944"/>
      <c r="V128" s="1202"/>
      <c r="W128" s="1202"/>
      <c r="X128" s="2088"/>
      <c r="Y128" s="2089"/>
      <c r="Z128" s="2089"/>
      <c r="AA128" s="2089"/>
      <c r="AB128" s="2089"/>
      <c r="AC128" s="2089"/>
      <c r="AD128" s="2089"/>
      <c r="AE128" s="2089"/>
      <c r="AF128" s="2089"/>
      <c r="AG128" s="2089"/>
      <c r="AH128" s="2089"/>
      <c r="AI128" s="2089"/>
      <c r="AJ128" s="2089"/>
      <c r="AK128" s="2089"/>
      <c r="AL128" s="2089"/>
      <c r="AM128" s="2089"/>
      <c r="AN128" s="2089"/>
      <c r="AO128" s="2089"/>
      <c r="AP128" s="2089"/>
      <c r="AQ128" s="2089"/>
      <c r="AR128" s="2089"/>
      <c r="AS128" s="2089"/>
      <c r="AT128" s="2089"/>
      <c r="AU128" s="2089"/>
      <c r="AV128" s="2089"/>
      <c r="AW128" s="2089"/>
      <c r="AX128" s="2089"/>
      <c r="AY128" s="2089"/>
      <c r="AZ128" s="2089"/>
      <c r="BA128" s="2089"/>
      <c r="BB128" s="2089"/>
      <c r="BC128" s="2089"/>
      <c r="BD128" s="2090"/>
      <c r="BE128" s="1209"/>
    </row>
    <row r="129" spans="1:57" ht="15.75" customHeight="1">
      <c r="A129" s="1202"/>
      <c r="B129" s="2166"/>
      <c r="C129" s="2167"/>
      <c r="D129" s="2167"/>
      <c r="E129" s="2167"/>
      <c r="F129" s="2167"/>
      <c r="G129" s="2167"/>
      <c r="H129" s="2167"/>
      <c r="I129" s="2168" t="s">
        <v>2282</v>
      </c>
      <c r="J129" s="2168"/>
      <c r="K129" s="2168"/>
      <c r="L129" s="2168"/>
      <c r="M129" s="2168"/>
      <c r="N129" s="2168"/>
      <c r="O129" s="2168"/>
      <c r="P129" s="2168" t="s">
        <v>2281</v>
      </c>
      <c r="Q129" s="2168"/>
      <c r="R129" s="2168"/>
      <c r="S129" s="2168"/>
      <c r="T129" s="2168"/>
      <c r="U129" s="2169"/>
      <c r="V129" s="1202"/>
      <c r="W129" s="1202"/>
      <c r="X129" s="2088"/>
      <c r="Y129" s="2089"/>
      <c r="Z129" s="2089"/>
      <c r="AA129" s="2089"/>
      <c r="AB129" s="2089"/>
      <c r="AC129" s="2089"/>
      <c r="AD129" s="2089"/>
      <c r="AE129" s="2089"/>
      <c r="AF129" s="2089"/>
      <c r="AG129" s="2089"/>
      <c r="AH129" s="2089"/>
      <c r="AI129" s="2089"/>
      <c r="AJ129" s="2089"/>
      <c r="AK129" s="2089"/>
      <c r="AL129" s="2089"/>
      <c r="AM129" s="2089"/>
      <c r="AN129" s="2089"/>
      <c r="AO129" s="2089"/>
      <c r="AP129" s="2089"/>
      <c r="AQ129" s="2089"/>
      <c r="AR129" s="2089"/>
      <c r="AS129" s="2089"/>
      <c r="AT129" s="2089"/>
      <c r="AU129" s="2089"/>
      <c r="AV129" s="2089"/>
      <c r="AW129" s="2089"/>
      <c r="AX129" s="2089"/>
      <c r="AY129" s="2089"/>
      <c r="AZ129" s="2089"/>
      <c r="BA129" s="2089"/>
      <c r="BB129" s="2089"/>
      <c r="BC129" s="2089"/>
      <c r="BD129" s="2090"/>
      <c r="BE129" s="1209"/>
    </row>
    <row r="130" spans="1:57" ht="15.75" customHeight="1">
      <c r="A130" s="1202"/>
      <c r="B130" s="2166"/>
      <c r="C130" s="2167"/>
      <c r="D130" s="2167"/>
      <c r="E130" s="2167"/>
      <c r="F130" s="2167"/>
      <c r="G130" s="2167"/>
      <c r="H130" s="2167"/>
      <c r="I130" s="2168"/>
      <c r="J130" s="2168"/>
      <c r="K130" s="2168"/>
      <c r="L130" s="2168"/>
      <c r="M130" s="2168"/>
      <c r="N130" s="2168"/>
      <c r="O130" s="2168"/>
      <c r="P130" s="2168"/>
      <c r="Q130" s="2168"/>
      <c r="R130" s="2168"/>
      <c r="S130" s="2168"/>
      <c r="T130" s="2168"/>
      <c r="U130" s="2169"/>
      <c r="V130" s="1202"/>
      <c r="W130" s="1202"/>
      <c r="X130" s="2088"/>
      <c r="Y130" s="2089"/>
      <c r="Z130" s="2089"/>
      <c r="AA130" s="2089"/>
      <c r="AB130" s="2089"/>
      <c r="AC130" s="2089"/>
      <c r="AD130" s="2089"/>
      <c r="AE130" s="2089"/>
      <c r="AF130" s="2089"/>
      <c r="AG130" s="2089"/>
      <c r="AH130" s="2089"/>
      <c r="AI130" s="2089"/>
      <c r="AJ130" s="2089"/>
      <c r="AK130" s="2089"/>
      <c r="AL130" s="2089"/>
      <c r="AM130" s="2089"/>
      <c r="AN130" s="2089"/>
      <c r="AO130" s="2089"/>
      <c r="AP130" s="2089"/>
      <c r="AQ130" s="2089"/>
      <c r="AR130" s="2089"/>
      <c r="AS130" s="2089"/>
      <c r="AT130" s="2089"/>
      <c r="AU130" s="2089"/>
      <c r="AV130" s="2089"/>
      <c r="AW130" s="2089"/>
      <c r="AX130" s="2089"/>
      <c r="AY130" s="2089"/>
      <c r="AZ130" s="2089"/>
      <c r="BA130" s="2089"/>
      <c r="BB130" s="2089"/>
      <c r="BC130" s="2089"/>
      <c r="BD130" s="2090"/>
      <c r="BE130" s="1209"/>
    </row>
    <row r="131" spans="1:57" ht="15.75" customHeight="1">
      <c r="A131" s="1202"/>
      <c r="B131" s="2140" t="s">
        <v>2280</v>
      </c>
      <c r="C131" s="2141"/>
      <c r="D131" s="2141"/>
      <c r="E131" s="2141"/>
      <c r="F131" s="2141"/>
      <c r="G131" s="2141"/>
      <c r="H131" s="2141"/>
      <c r="I131" s="2118">
        <v>0</v>
      </c>
      <c r="J131" s="2118"/>
      <c r="K131" s="2118"/>
      <c r="L131" s="2118"/>
      <c r="M131" s="2118"/>
      <c r="N131" s="2118"/>
      <c r="O131" s="2118"/>
      <c r="P131" s="2118">
        <v>0</v>
      </c>
      <c r="Q131" s="2118"/>
      <c r="R131" s="2118"/>
      <c r="S131" s="2118"/>
      <c r="T131" s="2118"/>
      <c r="U131" s="2119"/>
      <c r="V131" s="1202"/>
      <c r="W131" s="1202"/>
      <c r="X131" s="2088"/>
      <c r="Y131" s="2089"/>
      <c r="Z131" s="2089"/>
      <c r="AA131" s="2089"/>
      <c r="AB131" s="2089"/>
      <c r="AC131" s="2089"/>
      <c r="AD131" s="2089"/>
      <c r="AE131" s="2089"/>
      <c r="AF131" s="2089"/>
      <c r="AG131" s="2089"/>
      <c r="AH131" s="2089"/>
      <c r="AI131" s="2089"/>
      <c r="AJ131" s="2089"/>
      <c r="AK131" s="2089"/>
      <c r="AL131" s="2089"/>
      <c r="AM131" s="2089"/>
      <c r="AN131" s="2089"/>
      <c r="AO131" s="2089"/>
      <c r="AP131" s="2089"/>
      <c r="AQ131" s="2089"/>
      <c r="AR131" s="2089"/>
      <c r="AS131" s="2089"/>
      <c r="AT131" s="2089"/>
      <c r="AU131" s="2089"/>
      <c r="AV131" s="2089"/>
      <c r="AW131" s="2089"/>
      <c r="AX131" s="2089"/>
      <c r="AY131" s="2089"/>
      <c r="AZ131" s="2089"/>
      <c r="BA131" s="2089"/>
      <c r="BB131" s="2089"/>
      <c r="BC131" s="2089"/>
      <c r="BD131" s="2090"/>
      <c r="BE131" s="1209"/>
    </row>
    <row r="132" spans="1:57" ht="15.75" customHeight="1" thickBot="1">
      <c r="A132" s="1202"/>
      <c r="B132" s="2142" t="s">
        <v>2279</v>
      </c>
      <c r="C132" s="2143"/>
      <c r="D132" s="2143"/>
      <c r="E132" s="2143"/>
      <c r="F132" s="2143"/>
      <c r="G132" s="2143"/>
      <c r="H132" s="2143"/>
      <c r="I132" s="2116">
        <v>0</v>
      </c>
      <c r="J132" s="2116"/>
      <c r="K132" s="2116"/>
      <c r="L132" s="2116"/>
      <c r="M132" s="2116"/>
      <c r="N132" s="2116"/>
      <c r="O132" s="2116"/>
      <c r="P132" s="2116">
        <v>0</v>
      </c>
      <c r="Q132" s="2116"/>
      <c r="R132" s="2116"/>
      <c r="S132" s="2116"/>
      <c r="T132" s="2116"/>
      <c r="U132" s="2117"/>
      <c r="V132" s="1202"/>
      <c r="W132" s="1202"/>
      <c r="X132" s="2091"/>
      <c r="Y132" s="2092"/>
      <c r="Z132" s="2092"/>
      <c r="AA132" s="2092"/>
      <c r="AB132" s="2092"/>
      <c r="AC132" s="2092"/>
      <c r="AD132" s="2092"/>
      <c r="AE132" s="2092"/>
      <c r="AF132" s="2092"/>
      <c r="AG132" s="2092"/>
      <c r="AH132" s="2092"/>
      <c r="AI132" s="2092"/>
      <c r="AJ132" s="2092"/>
      <c r="AK132" s="2092"/>
      <c r="AL132" s="2092"/>
      <c r="AM132" s="2092"/>
      <c r="AN132" s="2092"/>
      <c r="AO132" s="2092"/>
      <c r="AP132" s="2092"/>
      <c r="AQ132" s="2092"/>
      <c r="AR132" s="2092"/>
      <c r="AS132" s="2092"/>
      <c r="AT132" s="2092"/>
      <c r="AU132" s="2092"/>
      <c r="AV132" s="2092"/>
      <c r="AW132" s="2092"/>
      <c r="AX132" s="2092"/>
      <c r="AY132" s="2092"/>
      <c r="AZ132" s="2092"/>
      <c r="BA132" s="2092"/>
      <c r="BB132" s="2092"/>
      <c r="BC132" s="2092"/>
      <c r="BD132" s="2093"/>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4" t="s">
        <v>2293</v>
      </c>
      <c r="C134" s="2165"/>
      <c r="D134" s="2165"/>
      <c r="E134" s="2165"/>
      <c r="F134" s="2165"/>
      <c r="G134" s="2165"/>
      <c r="H134" s="2165"/>
      <c r="I134" s="2165"/>
      <c r="J134" s="2165"/>
      <c r="K134" s="2165"/>
      <c r="L134" s="2165"/>
      <c r="M134" s="2165"/>
      <c r="N134" s="2165"/>
      <c r="O134" s="2165"/>
      <c r="P134" s="2165"/>
      <c r="Q134" s="2165"/>
      <c r="R134" s="2165"/>
      <c r="S134" s="2165"/>
      <c r="T134" s="2165"/>
      <c r="U134" s="2165"/>
      <c r="V134" s="2165"/>
      <c r="W134" s="2165"/>
      <c r="X134" s="2165"/>
      <c r="Y134" s="2165"/>
      <c r="Z134" s="2165"/>
      <c r="AA134" s="2165"/>
      <c r="AB134" s="2165"/>
      <c r="AC134" s="2165"/>
      <c r="AD134" s="2165"/>
      <c r="AE134" s="2165"/>
      <c r="AF134" s="2165"/>
      <c r="AG134" s="2165"/>
      <c r="AH134" s="2065" t="s">
        <v>545</v>
      </c>
      <c r="AI134" s="2065"/>
      <c r="AJ134" s="2065"/>
      <c r="AK134" s="2065"/>
      <c r="AL134" s="2065"/>
      <c r="AM134" s="2065"/>
      <c r="AN134" s="2065"/>
      <c r="AO134" s="2065"/>
      <c r="AP134" s="2065"/>
      <c r="AQ134" s="2065"/>
      <c r="AR134" s="2065"/>
      <c r="AS134" s="2065"/>
      <c r="AT134" s="2065"/>
      <c r="AU134" s="2065"/>
      <c r="AV134" s="2065"/>
      <c r="AW134" s="2065"/>
      <c r="AX134" s="2066"/>
      <c r="AY134" s="1202"/>
      <c r="AZ134" s="1202"/>
      <c r="BA134" s="1202"/>
      <c r="BB134" s="1202"/>
      <c r="BC134" s="1202"/>
      <c r="BD134" s="1202"/>
      <c r="BE134" s="1209"/>
    </row>
    <row r="135" spans="1:57" ht="15.75" customHeight="1" thickBot="1">
      <c r="A135" s="1202"/>
      <c r="B135" s="2151" t="s">
        <v>2292</v>
      </c>
      <c r="C135" s="2152"/>
      <c r="D135" s="2152"/>
      <c r="E135" s="2152"/>
      <c r="F135" s="2152"/>
      <c r="G135" s="2152"/>
      <c r="H135" s="2152"/>
      <c r="I135" s="2152"/>
      <c r="J135" s="2152"/>
      <c r="K135" s="2152"/>
      <c r="L135" s="2152"/>
      <c r="M135" s="2152"/>
      <c r="N135" s="2152"/>
      <c r="O135" s="2152"/>
      <c r="P135" s="2152"/>
      <c r="Q135" s="2152"/>
      <c r="R135" s="2152"/>
      <c r="S135" s="2152"/>
      <c r="T135" s="2152"/>
      <c r="U135" s="2152"/>
      <c r="V135" s="2152"/>
      <c r="W135" s="2152"/>
      <c r="X135" s="2152"/>
      <c r="Y135" s="2152"/>
      <c r="Z135" s="2152"/>
      <c r="AA135" s="2152"/>
      <c r="AB135" s="2152"/>
      <c r="AC135" s="2152"/>
      <c r="AD135" s="2152"/>
      <c r="AE135" s="2152"/>
      <c r="AF135" s="2152"/>
      <c r="AG135" s="2153"/>
      <c r="AH135" s="2120"/>
      <c r="AI135" s="2121"/>
      <c r="AJ135" s="2121"/>
      <c r="AK135" s="2121"/>
      <c r="AL135" s="2121"/>
      <c r="AM135" s="2121"/>
      <c r="AN135" s="2121"/>
      <c r="AO135" s="2121"/>
      <c r="AP135" s="2121"/>
      <c r="AQ135" s="2121"/>
      <c r="AR135" s="2121"/>
      <c r="AS135" s="2121"/>
      <c r="AT135" s="2121"/>
      <c r="AU135" s="2121"/>
      <c r="AV135" s="2121"/>
      <c r="AW135" s="2121"/>
      <c r="AX135" s="2122"/>
      <c r="AY135" s="1202"/>
      <c r="AZ135" s="1202"/>
      <c r="BA135" s="1202"/>
      <c r="BB135" s="1202"/>
      <c r="BC135" s="1202"/>
      <c r="BD135" s="1202"/>
      <c r="BE135" s="1209"/>
    </row>
    <row r="136" spans="1:57" ht="15.75" customHeight="1">
      <c r="A136" s="1202"/>
      <c r="B136" s="2151" t="s">
        <v>2291</v>
      </c>
      <c r="C136" s="2152"/>
      <c r="D136" s="2152"/>
      <c r="E136" s="2152"/>
      <c r="F136" s="2152"/>
      <c r="G136" s="2152"/>
      <c r="H136" s="2152"/>
      <c r="I136" s="2152"/>
      <c r="J136" s="2152"/>
      <c r="K136" s="2152"/>
      <c r="L136" s="2152"/>
      <c r="M136" s="2152"/>
      <c r="N136" s="2152"/>
      <c r="O136" s="2152"/>
      <c r="P136" s="2152"/>
      <c r="Q136" s="2152"/>
      <c r="R136" s="2152"/>
      <c r="S136" s="2152"/>
      <c r="T136" s="2152"/>
      <c r="U136" s="2152"/>
      <c r="V136" s="2152"/>
      <c r="W136" s="2152"/>
      <c r="X136" s="2152"/>
      <c r="Y136" s="2152"/>
      <c r="Z136" s="2152"/>
      <c r="AA136" s="2152"/>
      <c r="AB136" s="2152"/>
      <c r="AC136" s="2152"/>
      <c r="AD136" s="2152"/>
      <c r="AE136" s="2152"/>
      <c r="AF136" s="2152"/>
      <c r="AG136" s="2153"/>
      <c r="AH136" s="2065" t="s">
        <v>545</v>
      </c>
      <c r="AI136" s="2065"/>
      <c r="AJ136" s="2065"/>
      <c r="AK136" s="2065"/>
      <c r="AL136" s="2065"/>
      <c r="AM136" s="2065"/>
      <c r="AN136" s="2065"/>
      <c r="AO136" s="2065"/>
      <c r="AP136" s="2065"/>
      <c r="AQ136" s="2065"/>
      <c r="AR136" s="2065"/>
      <c r="AS136" s="2065"/>
      <c r="AT136" s="2065"/>
      <c r="AU136" s="2065"/>
      <c r="AV136" s="2065"/>
      <c r="AW136" s="2065"/>
      <c r="AX136" s="2066"/>
      <c r="AY136" s="1202"/>
      <c r="AZ136" s="1202"/>
      <c r="BA136" s="1202"/>
      <c r="BB136" s="1202"/>
      <c r="BC136" s="1202"/>
      <c r="BD136" s="1202"/>
      <c r="BE136" s="1209"/>
    </row>
    <row r="137" spans="1:57" ht="15.75" customHeight="1">
      <c r="A137" s="1202"/>
      <c r="B137" s="2154" t="s">
        <v>2290</v>
      </c>
      <c r="C137" s="2155"/>
      <c r="D137" s="2155"/>
      <c r="E137" s="2155"/>
      <c r="F137" s="2155"/>
      <c r="G137" s="2155"/>
      <c r="H137" s="2155"/>
      <c r="I137" s="2155"/>
      <c r="J137" s="2155"/>
      <c r="K137" s="2155"/>
      <c r="L137" s="2155"/>
      <c r="M137" s="2155"/>
      <c r="N137" s="2155"/>
      <c r="O137" s="2155"/>
      <c r="P137" s="2155"/>
      <c r="Q137" s="2155"/>
      <c r="R137" s="2156" t="s">
        <v>2289</v>
      </c>
      <c r="S137" s="2156"/>
      <c r="T137" s="2156"/>
      <c r="U137" s="2156"/>
      <c r="V137" s="2156"/>
      <c r="W137" s="2156"/>
      <c r="X137" s="2156"/>
      <c r="Y137" s="2156"/>
      <c r="Z137" s="2156"/>
      <c r="AA137" s="2156"/>
      <c r="AB137" s="2156"/>
      <c r="AC137" s="2156"/>
      <c r="AD137" s="2156"/>
      <c r="AE137" s="2156"/>
      <c r="AF137" s="2156"/>
      <c r="AG137" s="2156"/>
      <c r="AH137" s="2156"/>
      <c r="AI137" s="2156"/>
      <c r="AJ137" s="2156"/>
      <c r="AK137" s="2156"/>
      <c r="AL137" s="2156"/>
      <c r="AM137" s="2156"/>
      <c r="AN137" s="2156"/>
      <c r="AO137" s="2156"/>
      <c r="AP137" s="2156"/>
      <c r="AQ137" s="2156"/>
      <c r="AR137" s="2156"/>
      <c r="AS137" s="2156"/>
      <c r="AT137" s="2156"/>
      <c r="AU137" s="2156"/>
      <c r="AV137" s="2156"/>
      <c r="AW137" s="2156"/>
      <c r="AX137" s="2157"/>
      <c r="AY137" s="1202"/>
      <c r="AZ137" s="1202"/>
      <c r="BA137" s="1202"/>
      <c r="BB137" s="1202"/>
      <c r="BC137" s="1202" t="s">
        <v>250</v>
      </c>
      <c r="BD137" s="1202"/>
      <c r="BE137" s="1209"/>
    </row>
    <row r="138" spans="1:57" ht="15.75" customHeight="1">
      <c r="A138" s="1202"/>
      <c r="B138" s="2158" t="s">
        <v>2288</v>
      </c>
      <c r="C138" s="2159"/>
      <c r="D138" s="2159"/>
      <c r="E138" s="2159"/>
      <c r="F138" s="2159"/>
      <c r="G138" s="2159"/>
      <c r="H138" s="2159"/>
      <c r="I138" s="2159"/>
      <c r="J138" s="2159"/>
      <c r="K138" s="2159"/>
      <c r="L138" s="2159"/>
      <c r="M138" s="2159"/>
      <c r="N138" s="2159"/>
      <c r="O138" s="2159"/>
      <c r="P138" s="2159"/>
      <c r="Q138" s="2159"/>
      <c r="R138" s="2159"/>
      <c r="S138" s="2159"/>
      <c r="T138" s="2159"/>
      <c r="U138" s="2159"/>
      <c r="V138" s="2159"/>
      <c r="W138" s="2159"/>
      <c r="X138" s="2159"/>
      <c r="Y138" s="2159"/>
      <c r="Z138" s="2159"/>
      <c r="AA138" s="2159"/>
      <c r="AB138" s="2159"/>
      <c r="AC138" s="2159"/>
      <c r="AD138" s="2159"/>
      <c r="AE138" s="2159"/>
      <c r="AF138" s="2159"/>
      <c r="AG138" s="2159"/>
      <c r="AH138" s="2159"/>
      <c r="AI138" s="2159"/>
      <c r="AJ138" s="2159"/>
      <c r="AK138" s="2159"/>
      <c r="AL138" s="2159"/>
      <c r="AM138" s="2159"/>
      <c r="AN138" s="2159"/>
      <c r="AO138" s="2159"/>
      <c r="AP138" s="2159"/>
      <c r="AQ138" s="2159"/>
      <c r="AR138" s="2159"/>
      <c r="AS138" s="2159"/>
      <c r="AT138" s="2159"/>
      <c r="AU138" s="2159"/>
      <c r="AV138" s="2159"/>
      <c r="AW138" s="2159"/>
      <c r="AX138" s="2160"/>
      <c r="AY138" s="1202"/>
      <c r="AZ138" s="1202"/>
      <c r="BA138" s="1202"/>
      <c r="BB138" s="1202"/>
      <c r="BC138" s="1202"/>
      <c r="BD138" s="1202"/>
      <c r="BE138" s="1209"/>
    </row>
    <row r="139" spans="1:57" ht="15.75" customHeight="1">
      <c r="A139" s="1202"/>
      <c r="B139" s="2158"/>
      <c r="C139" s="2159"/>
      <c r="D139" s="2159"/>
      <c r="E139" s="2159"/>
      <c r="F139" s="2159"/>
      <c r="G139" s="2159"/>
      <c r="H139" s="2159"/>
      <c r="I139" s="2159"/>
      <c r="J139" s="2159"/>
      <c r="K139" s="2159"/>
      <c r="L139" s="2159"/>
      <c r="M139" s="2159"/>
      <c r="N139" s="2159"/>
      <c r="O139" s="2159"/>
      <c r="P139" s="2159"/>
      <c r="Q139" s="2159"/>
      <c r="R139" s="2159"/>
      <c r="S139" s="2159"/>
      <c r="T139" s="2159"/>
      <c r="U139" s="2159"/>
      <c r="V139" s="2159"/>
      <c r="W139" s="2159"/>
      <c r="X139" s="2159"/>
      <c r="Y139" s="2159"/>
      <c r="Z139" s="2159"/>
      <c r="AA139" s="2159"/>
      <c r="AB139" s="2159"/>
      <c r="AC139" s="2159"/>
      <c r="AD139" s="2159"/>
      <c r="AE139" s="2159"/>
      <c r="AF139" s="2159"/>
      <c r="AG139" s="2159"/>
      <c r="AH139" s="2159"/>
      <c r="AI139" s="2159"/>
      <c r="AJ139" s="2159"/>
      <c r="AK139" s="2159"/>
      <c r="AL139" s="2159"/>
      <c r="AM139" s="2159"/>
      <c r="AN139" s="2159"/>
      <c r="AO139" s="2159"/>
      <c r="AP139" s="2159"/>
      <c r="AQ139" s="2159"/>
      <c r="AR139" s="2159"/>
      <c r="AS139" s="2159"/>
      <c r="AT139" s="2159"/>
      <c r="AU139" s="2159"/>
      <c r="AV139" s="2159"/>
      <c r="AW139" s="2159"/>
      <c r="AX139" s="2160"/>
      <c r="AY139" s="1202"/>
      <c r="AZ139" s="1202"/>
      <c r="BA139" s="1202"/>
      <c r="BB139" s="1202"/>
      <c r="BC139" s="1202"/>
      <c r="BD139" s="1202"/>
      <c r="BE139" s="1209"/>
    </row>
    <row r="140" spans="1:57" ht="15.75" customHeight="1">
      <c r="A140" s="1202"/>
      <c r="B140" s="2158"/>
      <c r="C140" s="2159"/>
      <c r="D140" s="2159"/>
      <c r="E140" s="2159"/>
      <c r="F140" s="2159"/>
      <c r="G140" s="2159"/>
      <c r="H140" s="2159"/>
      <c r="I140" s="2159"/>
      <c r="J140" s="2159"/>
      <c r="K140" s="2159"/>
      <c r="L140" s="2159"/>
      <c r="M140" s="2159"/>
      <c r="N140" s="2159"/>
      <c r="O140" s="2159"/>
      <c r="P140" s="2159"/>
      <c r="Q140" s="2159"/>
      <c r="R140" s="2159"/>
      <c r="S140" s="2159"/>
      <c r="T140" s="2159"/>
      <c r="U140" s="2159"/>
      <c r="V140" s="2159"/>
      <c r="W140" s="2159"/>
      <c r="X140" s="2159"/>
      <c r="Y140" s="2159"/>
      <c r="Z140" s="2159"/>
      <c r="AA140" s="2159"/>
      <c r="AB140" s="2159"/>
      <c r="AC140" s="2159"/>
      <c r="AD140" s="2159"/>
      <c r="AE140" s="2159"/>
      <c r="AF140" s="2159"/>
      <c r="AG140" s="2159"/>
      <c r="AH140" s="2159"/>
      <c r="AI140" s="2159"/>
      <c r="AJ140" s="2159"/>
      <c r="AK140" s="2159"/>
      <c r="AL140" s="2159"/>
      <c r="AM140" s="2159"/>
      <c r="AN140" s="2159"/>
      <c r="AO140" s="2159"/>
      <c r="AP140" s="2159"/>
      <c r="AQ140" s="2159"/>
      <c r="AR140" s="2159"/>
      <c r="AS140" s="2159"/>
      <c r="AT140" s="2159"/>
      <c r="AU140" s="2159"/>
      <c r="AV140" s="2159"/>
      <c r="AW140" s="2159"/>
      <c r="AX140" s="2160"/>
      <c r="AY140" s="1202"/>
      <c r="AZ140" s="1202"/>
      <c r="BA140" s="1202"/>
      <c r="BB140" s="1202"/>
      <c r="BC140" s="1202"/>
      <c r="BD140" s="1202"/>
      <c r="BE140" s="1209"/>
    </row>
    <row r="141" spans="1:57" ht="15.75" customHeight="1">
      <c r="A141" s="1202"/>
      <c r="B141" s="2158"/>
      <c r="C141" s="2159"/>
      <c r="D141" s="2159"/>
      <c r="E141" s="2159"/>
      <c r="F141" s="2159"/>
      <c r="G141" s="2159"/>
      <c r="H141" s="2159"/>
      <c r="I141" s="2159"/>
      <c r="J141" s="2159"/>
      <c r="K141" s="2159"/>
      <c r="L141" s="2159"/>
      <c r="M141" s="2159"/>
      <c r="N141" s="2159"/>
      <c r="O141" s="2159"/>
      <c r="P141" s="2159"/>
      <c r="Q141" s="2159"/>
      <c r="R141" s="2159"/>
      <c r="S141" s="2159"/>
      <c r="T141" s="2159"/>
      <c r="U141" s="2159"/>
      <c r="V141" s="2159"/>
      <c r="W141" s="2159"/>
      <c r="X141" s="2159"/>
      <c r="Y141" s="2159"/>
      <c r="Z141" s="2159"/>
      <c r="AA141" s="2159"/>
      <c r="AB141" s="2159"/>
      <c r="AC141" s="2159"/>
      <c r="AD141" s="2159"/>
      <c r="AE141" s="2159"/>
      <c r="AF141" s="2159"/>
      <c r="AG141" s="2159"/>
      <c r="AH141" s="2159"/>
      <c r="AI141" s="2159"/>
      <c r="AJ141" s="2159"/>
      <c r="AK141" s="2159"/>
      <c r="AL141" s="2159"/>
      <c r="AM141" s="2159"/>
      <c r="AN141" s="2159"/>
      <c r="AO141" s="2159"/>
      <c r="AP141" s="2159"/>
      <c r="AQ141" s="2159"/>
      <c r="AR141" s="2159"/>
      <c r="AS141" s="2159"/>
      <c r="AT141" s="2159"/>
      <c r="AU141" s="2159"/>
      <c r="AV141" s="2159"/>
      <c r="AW141" s="2159"/>
      <c r="AX141" s="2160"/>
      <c r="AY141" s="1202"/>
      <c r="AZ141" s="1202"/>
      <c r="BA141" s="1202"/>
      <c r="BB141" s="1202"/>
      <c r="BC141" s="1202"/>
      <c r="BD141" s="1202"/>
      <c r="BE141" s="1209"/>
    </row>
    <row r="142" spans="1:57" ht="15.75" customHeight="1">
      <c r="A142" s="1202"/>
      <c r="B142" s="2158"/>
      <c r="C142" s="2159"/>
      <c r="D142" s="2159"/>
      <c r="E142" s="2159"/>
      <c r="F142" s="2159"/>
      <c r="G142" s="2159"/>
      <c r="H142" s="2159"/>
      <c r="I142" s="2159"/>
      <c r="J142" s="2159"/>
      <c r="K142" s="2159"/>
      <c r="L142" s="2159"/>
      <c r="M142" s="2159"/>
      <c r="N142" s="2159"/>
      <c r="O142" s="2159"/>
      <c r="P142" s="2159"/>
      <c r="Q142" s="2159"/>
      <c r="R142" s="2159"/>
      <c r="S142" s="2159"/>
      <c r="T142" s="2159"/>
      <c r="U142" s="2159"/>
      <c r="V142" s="2159"/>
      <c r="W142" s="2159"/>
      <c r="X142" s="2159"/>
      <c r="Y142" s="2159"/>
      <c r="Z142" s="2159"/>
      <c r="AA142" s="2159"/>
      <c r="AB142" s="2159"/>
      <c r="AC142" s="2159"/>
      <c r="AD142" s="2159"/>
      <c r="AE142" s="2159"/>
      <c r="AF142" s="2159"/>
      <c r="AG142" s="2159"/>
      <c r="AH142" s="2159"/>
      <c r="AI142" s="2159"/>
      <c r="AJ142" s="2159"/>
      <c r="AK142" s="2159"/>
      <c r="AL142" s="2159"/>
      <c r="AM142" s="2159"/>
      <c r="AN142" s="2159"/>
      <c r="AO142" s="2159"/>
      <c r="AP142" s="2159"/>
      <c r="AQ142" s="2159"/>
      <c r="AR142" s="2159"/>
      <c r="AS142" s="2159"/>
      <c r="AT142" s="2159"/>
      <c r="AU142" s="2159"/>
      <c r="AV142" s="2159"/>
      <c r="AW142" s="2159"/>
      <c r="AX142" s="2160"/>
      <c r="AY142" s="1202"/>
      <c r="AZ142" s="1202"/>
      <c r="BA142" s="1202"/>
      <c r="BB142" s="1202"/>
      <c r="BC142" s="1202"/>
      <c r="BD142" s="1202"/>
      <c r="BE142" s="1209"/>
    </row>
    <row r="143" spans="1:57" ht="15.75" customHeight="1">
      <c r="A143" s="1202"/>
      <c r="B143" s="2158"/>
      <c r="C143" s="2159"/>
      <c r="D143" s="2159"/>
      <c r="E143" s="2159"/>
      <c r="F143" s="2159"/>
      <c r="G143" s="2159"/>
      <c r="H143" s="2159"/>
      <c r="I143" s="2159"/>
      <c r="J143" s="2159"/>
      <c r="K143" s="2159"/>
      <c r="L143" s="2159"/>
      <c r="M143" s="2159"/>
      <c r="N143" s="2159"/>
      <c r="O143" s="2159"/>
      <c r="P143" s="2159"/>
      <c r="Q143" s="2159"/>
      <c r="R143" s="2159"/>
      <c r="S143" s="2159"/>
      <c r="T143" s="2159"/>
      <c r="U143" s="2159"/>
      <c r="V143" s="2159"/>
      <c r="W143" s="2159"/>
      <c r="X143" s="2159"/>
      <c r="Y143" s="2159"/>
      <c r="Z143" s="2159"/>
      <c r="AA143" s="2159"/>
      <c r="AB143" s="2159"/>
      <c r="AC143" s="2159"/>
      <c r="AD143" s="2159"/>
      <c r="AE143" s="2159"/>
      <c r="AF143" s="2159"/>
      <c r="AG143" s="2159"/>
      <c r="AH143" s="2159"/>
      <c r="AI143" s="2159"/>
      <c r="AJ143" s="2159"/>
      <c r="AK143" s="2159"/>
      <c r="AL143" s="2159"/>
      <c r="AM143" s="2159"/>
      <c r="AN143" s="2159"/>
      <c r="AO143" s="2159"/>
      <c r="AP143" s="2159"/>
      <c r="AQ143" s="2159"/>
      <c r="AR143" s="2159"/>
      <c r="AS143" s="2159"/>
      <c r="AT143" s="2159"/>
      <c r="AU143" s="2159"/>
      <c r="AV143" s="2159"/>
      <c r="AW143" s="2159"/>
      <c r="AX143" s="2160"/>
      <c r="AY143" s="1202"/>
      <c r="AZ143" s="1202"/>
      <c r="BA143" s="1202"/>
      <c r="BB143" s="1202"/>
      <c r="BC143" s="1202"/>
      <c r="BD143" s="1202"/>
      <c r="BE143" s="1209"/>
    </row>
    <row r="144" spans="1:57" ht="15.75" customHeight="1">
      <c r="A144" s="1202"/>
      <c r="B144" s="2158"/>
      <c r="C144" s="2159"/>
      <c r="D144" s="2159"/>
      <c r="E144" s="2159"/>
      <c r="F144" s="2159"/>
      <c r="G144" s="2159"/>
      <c r="H144" s="2159"/>
      <c r="I144" s="2159"/>
      <c r="J144" s="2159"/>
      <c r="K144" s="2159"/>
      <c r="L144" s="2159"/>
      <c r="M144" s="2159"/>
      <c r="N144" s="2159"/>
      <c r="O144" s="2159"/>
      <c r="P144" s="2159"/>
      <c r="Q144" s="2159"/>
      <c r="R144" s="2159"/>
      <c r="S144" s="2159"/>
      <c r="T144" s="2159"/>
      <c r="U144" s="2159"/>
      <c r="V144" s="2159"/>
      <c r="W144" s="2159"/>
      <c r="X144" s="2159"/>
      <c r="Y144" s="2159"/>
      <c r="Z144" s="2159"/>
      <c r="AA144" s="2159"/>
      <c r="AB144" s="2159"/>
      <c r="AC144" s="2159"/>
      <c r="AD144" s="2159"/>
      <c r="AE144" s="2159"/>
      <c r="AF144" s="2159"/>
      <c r="AG144" s="2159"/>
      <c r="AH144" s="2159"/>
      <c r="AI144" s="2159"/>
      <c r="AJ144" s="2159"/>
      <c r="AK144" s="2159"/>
      <c r="AL144" s="2159"/>
      <c r="AM144" s="2159"/>
      <c r="AN144" s="2159"/>
      <c r="AO144" s="2159"/>
      <c r="AP144" s="2159"/>
      <c r="AQ144" s="2159"/>
      <c r="AR144" s="2159"/>
      <c r="AS144" s="2159"/>
      <c r="AT144" s="2159"/>
      <c r="AU144" s="2159"/>
      <c r="AV144" s="2159"/>
      <c r="AW144" s="2159"/>
      <c r="AX144" s="2160"/>
      <c r="AY144" s="1202"/>
      <c r="AZ144" s="1202"/>
      <c r="BA144" s="1202"/>
      <c r="BB144" s="1202"/>
      <c r="BC144" s="1202"/>
      <c r="BD144" s="1202"/>
      <c r="BE144" s="1209"/>
    </row>
    <row r="145" spans="1:57" ht="15.75" customHeight="1">
      <c r="A145" s="1202"/>
      <c r="B145" s="2158"/>
      <c r="C145" s="2159"/>
      <c r="D145" s="2159"/>
      <c r="E145" s="2159"/>
      <c r="F145" s="2159"/>
      <c r="G145" s="2159"/>
      <c r="H145" s="2159"/>
      <c r="I145" s="2159"/>
      <c r="J145" s="2159"/>
      <c r="K145" s="2159"/>
      <c r="L145" s="2159"/>
      <c r="M145" s="2159"/>
      <c r="N145" s="2159"/>
      <c r="O145" s="2159"/>
      <c r="P145" s="2159"/>
      <c r="Q145" s="2159"/>
      <c r="R145" s="2159"/>
      <c r="S145" s="2159"/>
      <c r="T145" s="2159"/>
      <c r="U145" s="2159"/>
      <c r="V145" s="2159"/>
      <c r="W145" s="2159"/>
      <c r="X145" s="2159"/>
      <c r="Y145" s="2159"/>
      <c r="Z145" s="2159"/>
      <c r="AA145" s="2159"/>
      <c r="AB145" s="2159"/>
      <c r="AC145" s="2159"/>
      <c r="AD145" s="2159"/>
      <c r="AE145" s="2159"/>
      <c r="AF145" s="2159"/>
      <c r="AG145" s="2159"/>
      <c r="AH145" s="2159"/>
      <c r="AI145" s="2159"/>
      <c r="AJ145" s="2159"/>
      <c r="AK145" s="2159"/>
      <c r="AL145" s="2159"/>
      <c r="AM145" s="2159"/>
      <c r="AN145" s="2159"/>
      <c r="AO145" s="2159"/>
      <c r="AP145" s="2159"/>
      <c r="AQ145" s="2159"/>
      <c r="AR145" s="2159"/>
      <c r="AS145" s="2159"/>
      <c r="AT145" s="2159"/>
      <c r="AU145" s="2159"/>
      <c r="AV145" s="2159"/>
      <c r="AW145" s="2159"/>
      <c r="AX145" s="2160"/>
      <c r="AY145" s="1202"/>
      <c r="AZ145" s="1202"/>
      <c r="BA145" s="1202"/>
      <c r="BB145" s="1202"/>
      <c r="BC145" s="1202"/>
      <c r="BD145" s="1202"/>
      <c r="BE145" s="1209"/>
    </row>
    <row r="146" spans="1:57" ht="15.75" customHeight="1">
      <c r="A146" s="1202"/>
      <c r="B146" s="2158"/>
      <c r="C146" s="2159"/>
      <c r="D146" s="2159"/>
      <c r="E146" s="2159"/>
      <c r="F146" s="2159"/>
      <c r="G146" s="2159"/>
      <c r="H146" s="2159"/>
      <c r="I146" s="2159"/>
      <c r="J146" s="2159"/>
      <c r="K146" s="2159"/>
      <c r="L146" s="2159"/>
      <c r="M146" s="2159"/>
      <c r="N146" s="2159"/>
      <c r="O146" s="2159"/>
      <c r="P146" s="2159"/>
      <c r="Q146" s="2159"/>
      <c r="R146" s="2159"/>
      <c r="S146" s="2159"/>
      <c r="T146" s="2159"/>
      <c r="U146" s="2159"/>
      <c r="V146" s="2159"/>
      <c r="W146" s="2159"/>
      <c r="X146" s="2159"/>
      <c r="Y146" s="2159"/>
      <c r="Z146" s="2159"/>
      <c r="AA146" s="2159"/>
      <c r="AB146" s="2159"/>
      <c r="AC146" s="2159"/>
      <c r="AD146" s="2159"/>
      <c r="AE146" s="2159"/>
      <c r="AF146" s="2159"/>
      <c r="AG146" s="2159"/>
      <c r="AH146" s="2159"/>
      <c r="AI146" s="2159"/>
      <c r="AJ146" s="2159"/>
      <c r="AK146" s="2159"/>
      <c r="AL146" s="2159"/>
      <c r="AM146" s="2159"/>
      <c r="AN146" s="2159"/>
      <c r="AO146" s="2159"/>
      <c r="AP146" s="2159"/>
      <c r="AQ146" s="2159"/>
      <c r="AR146" s="2159"/>
      <c r="AS146" s="2159"/>
      <c r="AT146" s="2159"/>
      <c r="AU146" s="2159"/>
      <c r="AV146" s="2159"/>
      <c r="AW146" s="2159"/>
      <c r="AX146" s="2160"/>
      <c r="AY146" s="1202"/>
      <c r="AZ146" s="1202"/>
      <c r="BA146" s="1202"/>
      <c r="BB146" s="1202"/>
      <c r="BC146" s="1202"/>
      <c r="BD146" s="1202"/>
      <c r="BE146" s="1209"/>
    </row>
    <row r="147" spans="1:57" ht="15.75" customHeight="1" thickBot="1">
      <c r="A147" s="1202"/>
      <c r="B147" s="2161"/>
      <c r="C147" s="2162"/>
      <c r="D147" s="2162"/>
      <c r="E147" s="2162"/>
      <c r="F147" s="2162"/>
      <c r="G147" s="2162"/>
      <c r="H147" s="2162"/>
      <c r="I147" s="2162"/>
      <c r="J147" s="2162"/>
      <c r="K147" s="2162"/>
      <c r="L147" s="2162"/>
      <c r="M147" s="2162"/>
      <c r="N147" s="2162"/>
      <c r="O147" s="2162"/>
      <c r="P147" s="2162"/>
      <c r="Q147" s="2162"/>
      <c r="R147" s="2162"/>
      <c r="S147" s="2162"/>
      <c r="T147" s="2162"/>
      <c r="U147" s="2162"/>
      <c r="V147" s="2162"/>
      <c r="W147" s="2162"/>
      <c r="X147" s="2162"/>
      <c r="Y147" s="2162"/>
      <c r="Z147" s="2162"/>
      <c r="AA147" s="2162"/>
      <c r="AB147" s="2162"/>
      <c r="AC147" s="2162"/>
      <c r="AD147" s="2162"/>
      <c r="AE147" s="2162"/>
      <c r="AF147" s="2162"/>
      <c r="AG147" s="2162"/>
      <c r="AH147" s="2162"/>
      <c r="AI147" s="2162"/>
      <c r="AJ147" s="2162"/>
      <c r="AK147" s="2162"/>
      <c r="AL147" s="2162"/>
      <c r="AM147" s="2162"/>
      <c r="AN147" s="2162"/>
      <c r="AO147" s="2162"/>
      <c r="AP147" s="2162"/>
      <c r="AQ147" s="2162"/>
      <c r="AR147" s="2162"/>
      <c r="AS147" s="2162"/>
      <c r="AT147" s="2162"/>
      <c r="AU147" s="2162"/>
      <c r="AV147" s="2162"/>
      <c r="AW147" s="2162"/>
      <c r="AX147" s="2163"/>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7" t="s">
        <v>2285</v>
      </c>
      <c r="C151" s="2038"/>
      <c r="D151" s="2038"/>
      <c r="E151" s="2038"/>
      <c r="F151" s="2038"/>
      <c r="G151" s="2038"/>
      <c r="H151" s="2038"/>
      <c r="I151" s="2038"/>
      <c r="J151" s="2038"/>
      <c r="K151" s="2038"/>
      <c r="L151" s="2038"/>
      <c r="M151" s="2038"/>
      <c r="N151" s="2038"/>
      <c r="O151" s="2038"/>
      <c r="P151" s="2038"/>
      <c r="Q151" s="2038"/>
      <c r="R151" s="2038"/>
      <c r="S151" s="2038"/>
      <c r="T151" s="2038"/>
      <c r="U151" s="2039"/>
      <c r="V151" s="1202"/>
      <c r="W151" s="1203"/>
      <c r="X151" s="2037" t="s">
        <v>2284</v>
      </c>
      <c r="Y151" s="2038"/>
      <c r="Z151" s="2038"/>
      <c r="AA151" s="2038"/>
      <c r="AB151" s="2038"/>
      <c r="AC151" s="2038"/>
      <c r="AD151" s="2038"/>
      <c r="AE151" s="2038"/>
      <c r="AF151" s="2038"/>
      <c r="AG151" s="2038"/>
      <c r="AH151" s="2038"/>
      <c r="AI151" s="2038"/>
      <c r="AJ151" s="2038"/>
      <c r="AK151" s="2038"/>
      <c r="AL151" s="2038"/>
      <c r="AM151" s="2038"/>
      <c r="AN151" s="2038"/>
      <c r="AO151" s="2038"/>
      <c r="AP151" s="2038"/>
      <c r="AQ151" s="2039"/>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6"/>
      <c r="C152" s="2167"/>
      <c r="D152" s="2167"/>
      <c r="E152" s="2167"/>
      <c r="F152" s="2167"/>
      <c r="G152" s="2167"/>
      <c r="H152" s="2167"/>
      <c r="I152" s="2168" t="s">
        <v>2282</v>
      </c>
      <c r="J152" s="2168"/>
      <c r="K152" s="2168"/>
      <c r="L152" s="2168"/>
      <c r="M152" s="2168"/>
      <c r="N152" s="2168"/>
      <c r="O152" s="2168"/>
      <c r="P152" s="2168" t="s">
        <v>2283</v>
      </c>
      <c r="Q152" s="2168"/>
      <c r="R152" s="2168"/>
      <c r="S152" s="2168"/>
      <c r="T152" s="2168"/>
      <c r="U152" s="2169"/>
      <c r="V152" s="1202"/>
      <c r="W152" s="1202"/>
      <c r="X152" s="2166"/>
      <c r="Y152" s="2167"/>
      <c r="Z152" s="2167"/>
      <c r="AA152" s="2167"/>
      <c r="AB152" s="2167"/>
      <c r="AC152" s="2167"/>
      <c r="AD152" s="2167"/>
      <c r="AE152" s="2168" t="s">
        <v>2282</v>
      </c>
      <c r="AF152" s="2168"/>
      <c r="AG152" s="2168"/>
      <c r="AH152" s="2168"/>
      <c r="AI152" s="2168"/>
      <c r="AJ152" s="2168"/>
      <c r="AK152" s="2168"/>
      <c r="AL152" s="2168" t="s">
        <v>2281</v>
      </c>
      <c r="AM152" s="2168"/>
      <c r="AN152" s="2168"/>
      <c r="AO152" s="2168"/>
      <c r="AP152" s="2168"/>
      <c r="AQ152" s="2169"/>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6"/>
      <c r="C153" s="2167"/>
      <c r="D153" s="2167"/>
      <c r="E153" s="2167"/>
      <c r="F153" s="2167"/>
      <c r="G153" s="2167"/>
      <c r="H153" s="2167"/>
      <c r="I153" s="2168"/>
      <c r="J153" s="2168"/>
      <c r="K153" s="2168"/>
      <c r="L153" s="2168"/>
      <c r="M153" s="2168"/>
      <c r="N153" s="2168"/>
      <c r="O153" s="2168"/>
      <c r="P153" s="2168"/>
      <c r="Q153" s="2168"/>
      <c r="R153" s="2168"/>
      <c r="S153" s="2168"/>
      <c r="T153" s="2168"/>
      <c r="U153" s="2169"/>
      <c r="V153" s="1202"/>
      <c r="W153" s="1202"/>
      <c r="X153" s="2166"/>
      <c r="Y153" s="2167"/>
      <c r="Z153" s="2167"/>
      <c r="AA153" s="2167"/>
      <c r="AB153" s="2167"/>
      <c r="AC153" s="2167"/>
      <c r="AD153" s="2167"/>
      <c r="AE153" s="2168"/>
      <c r="AF153" s="2168"/>
      <c r="AG153" s="2168"/>
      <c r="AH153" s="2168"/>
      <c r="AI153" s="2168"/>
      <c r="AJ153" s="2168"/>
      <c r="AK153" s="2168"/>
      <c r="AL153" s="2168"/>
      <c r="AM153" s="2168"/>
      <c r="AN153" s="2168"/>
      <c r="AO153" s="2168"/>
      <c r="AP153" s="2168"/>
      <c r="AQ153" s="2169"/>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0" t="s">
        <v>2280</v>
      </c>
      <c r="C154" s="2141"/>
      <c r="D154" s="2141"/>
      <c r="E154" s="2141"/>
      <c r="F154" s="2141"/>
      <c r="G154" s="2141"/>
      <c r="H154" s="2141"/>
      <c r="I154" s="2118">
        <v>0</v>
      </c>
      <c r="J154" s="2118"/>
      <c r="K154" s="2118"/>
      <c r="L154" s="2118"/>
      <c r="M154" s="2118"/>
      <c r="N154" s="2118"/>
      <c r="O154" s="2118"/>
      <c r="P154" s="2118">
        <v>0</v>
      </c>
      <c r="Q154" s="2118"/>
      <c r="R154" s="2118"/>
      <c r="S154" s="2118"/>
      <c r="T154" s="2118"/>
      <c r="U154" s="2119"/>
      <c r="V154" s="1202"/>
      <c r="W154" s="1202"/>
      <c r="X154" s="2142" t="s">
        <v>2280</v>
      </c>
      <c r="Y154" s="2143"/>
      <c r="Z154" s="2143"/>
      <c r="AA154" s="2143"/>
      <c r="AB154" s="2143"/>
      <c r="AC154" s="2143"/>
      <c r="AD154" s="2143"/>
      <c r="AE154" s="2116">
        <v>0</v>
      </c>
      <c r="AF154" s="2116"/>
      <c r="AG154" s="2116"/>
      <c r="AH154" s="2116"/>
      <c r="AI154" s="2116"/>
      <c r="AJ154" s="2116"/>
      <c r="AK154" s="2116"/>
      <c r="AL154" s="2116">
        <v>0</v>
      </c>
      <c r="AM154" s="2116"/>
      <c r="AN154" s="2116"/>
      <c r="AO154" s="2116"/>
      <c r="AP154" s="2116"/>
      <c r="AQ154" s="211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2" t="s">
        <v>2279</v>
      </c>
      <c r="C155" s="2143"/>
      <c r="D155" s="2143"/>
      <c r="E155" s="2143"/>
      <c r="F155" s="2143"/>
      <c r="G155" s="2143"/>
      <c r="H155" s="2143"/>
      <c r="I155" s="2116">
        <v>0</v>
      </c>
      <c r="J155" s="2116"/>
      <c r="K155" s="2116"/>
      <c r="L155" s="2116"/>
      <c r="M155" s="2116"/>
      <c r="N155" s="2116"/>
      <c r="O155" s="2116"/>
      <c r="P155" s="2116">
        <v>0</v>
      </c>
      <c r="Q155" s="2116"/>
      <c r="R155" s="2116"/>
      <c r="S155" s="2116"/>
      <c r="T155" s="2116"/>
      <c r="U155" s="211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7" t="s">
        <v>2278</v>
      </c>
      <c r="D157" s="2038"/>
      <c r="E157" s="2038"/>
      <c r="F157" s="2038"/>
      <c r="G157" s="2038"/>
      <c r="H157" s="2038"/>
      <c r="I157" s="2038"/>
      <c r="J157" s="2038"/>
      <c r="K157" s="2038"/>
      <c r="L157" s="2038"/>
      <c r="M157" s="2038"/>
      <c r="N157" s="2038"/>
      <c r="O157" s="2038"/>
      <c r="P157" s="2038"/>
      <c r="Q157" s="2038"/>
      <c r="R157" s="2038"/>
      <c r="S157" s="2038"/>
      <c r="T157" s="2038"/>
      <c r="U157" s="2038"/>
      <c r="V157" s="2038"/>
      <c r="W157" s="2038"/>
      <c r="X157" s="2038"/>
      <c r="Y157" s="2038"/>
      <c r="Z157" s="2038"/>
      <c r="AA157" s="2038"/>
      <c r="AB157" s="2038"/>
      <c r="AC157" s="2038"/>
      <c r="AD157" s="2038"/>
      <c r="AE157" s="2038"/>
      <c r="AF157" s="2038"/>
      <c r="AG157" s="2039"/>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6" t="s">
        <v>2263</v>
      </c>
      <c r="D158" s="2167"/>
      <c r="E158" s="2167"/>
      <c r="F158" s="2167"/>
      <c r="G158" s="2167"/>
      <c r="H158" s="2167"/>
      <c r="I158" s="2167"/>
      <c r="J158" s="2167"/>
      <c r="K158" s="2167"/>
      <c r="L158" s="2167"/>
      <c r="M158" s="2167"/>
      <c r="N158" s="2167"/>
      <c r="O158" s="2167"/>
      <c r="P158" s="2167"/>
      <c r="Q158" s="2167" t="s">
        <v>2277</v>
      </c>
      <c r="R158" s="2167"/>
      <c r="S158" s="2167"/>
      <c r="T158" s="2114" t="s">
        <v>2276</v>
      </c>
      <c r="U158" s="2114"/>
      <c r="V158" s="2114"/>
      <c r="W158" s="2114"/>
      <c r="X158" s="2114"/>
      <c r="Y158" s="2114"/>
      <c r="Z158" s="2114"/>
      <c r="AA158" s="2114"/>
      <c r="AB158" s="2167" t="s">
        <v>2275</v>
      </c>
      <c r="AC158" s="2167"/>
      <c r="AD158" s="2167"/>
      <c r="AE158" s="2167"/>
      <c r="AF158" s="2167"/>
      <c r="AG158" s="217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2" t="s">
        <v>2274</v>
      </c>
      <c r="D159" s="2173"/>
      <c r="E159" s="2173"/>
      <c r="F159" s="2173"/>
      <c r="G159" s="2173"/>
      <c r="H159" s="2173"/>
      <c r="I159" s="2173"/>
      <c r="J159" s="2173"/>
      <c r="K159" s="2173"/>
      <c r="L159" s="2173"/>
      <c r="M159" s="2173"/>
      <c r="N159" s="2173"/>
      <c r="O159" s="2173"/>
      <c r="P159" s="2173"/>
      <c r="Q159" s="2174">
        <v>55</v>
      </c>
      <c r="R159" s="2174"/>
      <c r="S159" s="2174"/>
      <c r="T159" s="2175"/>
      <c r="U159" s="2175"/>
      <c r="V159" s="2175"/>
      <c r="W159" s="2175"/>
      <c r="X159" s="2175"/>
      <c r="Y159" s="2175"/>
      <c r="Z159" s="2175"/>
      <c r="AA159" s="2175"/>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2" t="s">
        <v>2273</v>
      </c>
      <c r="D160" s="2173"/>
      <c r="E160" s="2173"/>
      <c r="F160" s="2173"/>
      <c r="G160" s="2173"/>
      <c r="H160" s="2173"/>
      <c r="I160" s="2173"/>
      <c r="J160" s="2173"/>
      <c r="K160" s="2173"/>
      <c r="L160" s="2173"/>
      <c r="M160" s="2173"/>
      <c r="N160" s="2173"/>
      <c r="O160" s="2173"/>
      <c r="P160" s="2173"/>
      <c r="Q160" s="2174">
        <v>55</v>
      </c>
      <c r="R160" s="2174"/>
      <c r="S160" s="2174"/>
      <c r="T160" s="2176"/>
      <c r="U160" s="2176"/>
      <c r="V160" s="2176"/>
      <c r="W160" s="2176"/>
      <c r="X160" s="2176"/>
      <c r="Y160" s="2176"/>
      <c r="Z160" s="2176"/>
      <c r="AA160" s="2176"/>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2" t="s">
        <v>2272</v>
      </c>
      <c r="D161" s="2173"/>
      <c r="E161" s="2173"/>
      <c r="F161" s="2173"/>
      <c r="G161" s="2173"/>
      <c r="H161" s="2173"/>
      <c r="I161" s="2173"/>
      <c r="J161" s="2173"/>
      <c r="K161" s="2173"/>
      <c r="L161" s="2173"/>
      <c r="M161" s="2173"/>
      <c r="N161" s="2173"/>
      <c r="O161" s="2173"/>
      <c r="P161" s="2173"/>
      <c r="Q161" s="2174">
        <v>55</v>
      </c>
      <c r="R161" s="2174"/>
      <c r="S161" s="2174"/>
      <c r="T161" s="2175"/>
      <c r="U161" s="2175"/>
      <c r="V161" s="2175"/>
      <c r="W161" s="2175"/>
      <c r="X161" s="2175"/>
      <c r="Y161" s="2175"/>
      <c r="Z161" s="2175"/>
      <c r="AA161" s="217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2" t="s">
        <v>2271</v>
      </c>
      <c r="D162" s="2173"/>
      <c r="E162" s="2173"/>
      <c r="F162" s="2173"/>
      <c r="G162" s="2173"/>
      <c r="H162" s="2173"/>
      <c r="I162" s="2173"/>
      <c r="J162" s="2173"/>
      <c r="K162" s="2173"/>
      <c r="L162" s="2173"/>
      <c r="M162" s="2173"/>
      <c r="N162" s="2173"/>
      <c r="O162" s="2173"/>
      <c r="P162" s="2173"/>
      <c r="Q162" s="2174">
        <v>55</v>
      </c>
      <c r="R162" s="2174"/>
      <c r="S162" s="2174"/>
      <c r="T162" s="2175"/>
      <c r="U162" s="2175"/>
      <c r="V162" s="2175"/>
      <c r="W162" s="2175"/>
      <c r="X162" s="2175"/>
      <c r="Y162" s="2175"/>
      <c r="Z162" s="2175"/>
      <c r="AA162" s="2175"/>
      <c r="AB162" s="2178">
        <v>0</v>
      </c>
      <c r="AC162" s="2178"/>
      <c r="AD162" s="2178"/>
      <c r="AE162" s="2178"/>
      <c r="AF162" s="2178"/>
      <c r="AG162" s="2179"/>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2" t="s">
        <v>170</v>
      </c>
      <c r="D163" s="2173"/>
      <c r="E163" s="2173"/>
      <c r="F163" s="2180" t="s">
        <v>2252</v>
      </c>
      <c r="G163" s="2180"/>
      <c r="H163" s="2180"/>
      <c r="I163" s="2180"/>
      <c r="J163" s="2180"/>
      <c r="K163" s="2180"/>
      <c r="L163" s="2180"/>
      <c r="M163" s="2180"/>
      <c r="N163" s="2180"/>
      <c r="O163" s="2180"/>
      <c r="P163" s="2180"/>
      <c r="Q163" s="2174">
        <v>55</v>
      </c>
      <c r="R163" s="2174"/>
      <c r="S163" s="2174"/>
      <c r="T163" s="2176"/>
      <c r="U163" s="2176"/>
      <c r="V163" s="2176"/>
      <c r="W163" s="2176"/>
      <c r="X163" s="2176"/>
      <c r="Y163" s="2176"/>
      <c r="Z163" s="2176"/>
      <c r="AA163" s="2176"/>
      <c r="AB163" s="2178">
        <v>0</v>
      </c>
      <c r="AC163" s="2178"/>
      <c r="AD163" s="2178"/>
      <c r="AE163" s="2178"/>
      <c r="AF163" s="2178"/>
      <c r="AG163" s="2179"/>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2" t="s">
        <v>170</v>
      </c>
      <c r="D164" s="2173"/>
      <c r="E164" s="2173"/>
      <c r="F164" s="2180" t="s">
        <v>2252</v>
      </c>
      <c r="G164" s="2180"/>
      <c r="H164" s="2180"/>
      <c r="I164" s="2180"/>
      <c r="J164" s="2180"/>
      <c r="K164" s="2180"/>
      <c r="L164" s="2180"/>
      <c r="M164" s="2180"/>
      <c r="N164" s="2180"/>
      <c r="O164" s="2180"/>
      <c r="P164" s="2180"/>
      <c r="Q164" s="2174">
        <v>55</v>
      </c>
      <c r="R164" s="2174"/>
      <c r="S164" s="2174"/>
      <c r="T164" s="2176"/>
      <c r="U164" s="2176"/>
      <c r="V164" s="2176"/>
      <c r="W164" s="2176"/>
      <c r="X164" s="2176"/>
      <c r="Y164" s="2176"/>
      <c r="Z164" s="2176"/>
      <c r="AA164" s="2176"/>
      <c r="AB164" s="2178">
        <v>0</v>
      </c>
      <c r="AC164" s="2178"/>
      <c r="AD164" s="2178"/>
      <c r="AE164" s="2178"/>
      <c r="AF164" s="2178"/>
      <c r="AG164" s="2179"/>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1" t="s">
        <v>170</v>
      </c>
      <c r="D165" s="2182"/>
      <c r="E165" s="2182"/>
      <c r="F165" s="2183" t="s">
        <v>2252</v>
      </c>
      <c r="G165" s="2183"/>
      <c r="H165" s="2183"/>
      <c r="I165" s="2183"/>
      <c r="J165" s="2183"/>
      <c r="K165" s="2183"/>
      <c r="L165" s="2183"/>
      <c r="M165" s="2183"/>
      <c r="N165" s="2183"/>
      <c r="O165" s="2183"/>
      <c r="P165" s="2183"/>
      <c r="Q165" s="2184">
        <v>55</v>
      </c>
      <c r="R165" s="2184"/>
      <c r="S165" s="2184"/>
      <c r="T165" s="2185"/>
      <c r="U165" s="2185"/>
      <c r="V165" s="2185"/>
      <c r="W165" s="2185"/>
      <c r="X165" s="2185"/>
      <c r="Y165" s="2185"/>
      <c r="Z165" s="2185"/>
      <c r="AA165" s="2185"/>
      <c r="AB165" s="2186">
        <v>0</v>
      </c>
      <c r="AC165" s="2186"/>
      <c r="AD165" s="2186"/>
      <c r="AE165" s="2186"/>
      <c r="AF165" s="2186"/>
      <c r="AG165" s="2187"/>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4" t="s">
        <v>2270</v>
      </c>
      <c r="D167" s="2085"/>
      <c r="E167" s="2085"/>
      <c r="F167" s="2085"/>
      <c r="G167" s="2085"/>
      <c r="H167" s="2085"/>
      <c r="I167" s="2085"/>
      <c r="J167" s="2085"/>
      <c r="K167" s="2085"/>
      <c r="L167" s="2085"/>
      <c r="M167" s="2085"/>
      <c r="N167" s="2123"/>
      <c r="O167" s="1202"/>
      <c r="P167" s="2188" t="s">
        <v>2269</v>
      </c>
      <c r="Q167" s="2189"/>
      <c r="R167" s="2189"/>
      <c r="S167" s="2189"/>
      <c r="T167" s="2189"/>
      <c r="U167" s="2189"/>
      <c r="V167" s="2189"/>
      <c r="W167" s="2189"/>
      <c r="X167" s="2189"/>
      <c r="Y167" s="2189"/>
      <c r="Z167" s="2189"/>
      <c r="AA167" s="2189"/>
      <c r="AB167" s="2189"/>
      <c r="AC167" s="2189"/>
      <c r="AD167" s="2189"/>
      <c r="AE167" s="2189"/>
      <c r="AF167" s="2189"/>
      <c r="AG167" s="2189"/>
      <c r="AH167" s="2189"/>
      <c r="AI167" s="2189"/>
      <c r="AJ167" s="2189"/>
      <c r="AK167" s="2189"/>
      <c r="AL167" s="2189"/>
      <c r="AM167" s="2189"/>
      <c r="AN167" s="2189"/>
      <c r="AO167" s="2190"/>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6" t="s">
        <v>2268</v>
      </c>
      <c r="D168" s="2167"/>
      <c r="E168" s="2167"/>
      <c r="F168" s="2167"/>
      <c r="G168" s="2167"/>
      <c r="H168" s="2167"/>
      <c r="I168" s="2167" t="s">
        <v>2267</v>
      </c>
      <c r="J168" s="2167"/>
      <c r="K168" s="2167"/>
      <c r="L168" s="2167"/>
      <c r="M168" s="2167"/>
      <c r="N168" s="2177"/>
      <c r="O168" s="1202"/>
      <c r="P168" s="2088" t="s">
        <v>2266</v>
      </c>
      <c r="Q168" s="2089"/>
      <c r="R168" s="2089"/>
      <c r="S168" s="2089"/>
      <c r="T168" s="2089"/>
      <c r="U168" s="2089"/>
      <c r="V168" s="2089"/>
      <c r="W168" s="2089"/>
      <c r="X168" s="2089"/>
      <c r="Y168" s="2089"/>
      <c r="Z168" s="2089"/>
      <c r="AA168" s="2089"/>
      <c r="AB168" s="2089"/>
      <c r="AC168" s="2089"/>
      <c r="AD168" s="2089"/>
      <c r="AE168" s="2089"/>
      <c r="AF168" s="2089"/>
      <c r="AG168" s="2089"/>
      <c r="AH168" s="2089"/>
      <c r="AI168" s="2089"/>
      <c r="AJ168" s="2089"/>
      <c r="AK168" s="2089"/>
      <c r="AL168" s="2089"/>
      <c r="AM168" s="2089"/>
      <c r="AN168" s="2089"/>
      <c r="AO168" s="2090"/>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4"/>
      <c r="D169" s="2044"/>
      <c r="E169" s="2044"/>
      <c r="F169" s="2044"/>
      <c r="G169" s="2044"/>
      <c r="H169" s="2044"/>
      <c r="I169" s="2175"/>
      <c r="J169" s="2175"/>
      <c r="K169" s="2175"/>
      <c r="L169" s="2175"/>
      <c r="M169" s="2175"/>
      <c r="N169" s="2191"/>
      <c r="O169" s="1202"/>
      <c r="P169" s="2088"/>
      <c r="Q169" s="2089"/>
      <c r="R169" s="2089"/>
      <c r="S169" s="2089"/>
      <c r="T169" s="2089"/>
      <c r="U169" s="2089"/>
      <c r="V169" s="2089"/>
      <c r="W169" s="2089"/>
      <c r="X169" s="2089"/>
      <c r="Y169" s="2089"/>
      <c r="Z169" s="2089"/>
      <c r="AA169" s="2089"/>
      <c r="AB169" s="2089"/>
      <c r="AC169" s="2089"/>
      <c r="AD169" s="2089"/>
      <c r="AE169" s="2089"/>
      <c r="AF169" s="2089"/>
      <c r="AG169" s="2089"/>
      <c r="AH169" s="2089"/>
      <c r="AI169" s="2089"/>
      <c r="AJ169" s="2089"/>
      <c r="AK169" s="2089"/>
      <c r="AL169" s="2089"/>
      <c r="AM169" s="2089"/>
      <c r="AN169" s="2089"/>
      <c r="AO169" s="2090"/>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4"/>
      <c r="D170" s="2044"/>
      <c r="E170" s="2044"/>
      <c r="F170" s="2044"/>
      <c r="G170" s="2044"/>
      <c r="H170" s="2044"/>
      <c r="I170" s="2175"/>
      <c r="J170" s="2175"/>
      <c r="K170" s="2175"/>
      <c r="L170" s="2175"/>
      <c r="M170" s="2175"/>
      <c r="N170" s="2191"/>
      <c r="O170" s="1202"/>
      <c r="P170" s="2088"/>
      <c r="Q170" s="2089"/>
      <c r="R170" s="2089"/>
      <c r="S170" s="2089"/>
      <c r="T170" s="2089"/>
      <c r="U170" s="2089"/>
      <c r="V170" s="2089"/>
      <c r="W170" s="2089"/>
      <c r="X170" s="2089"/>
      <c r="Y170" s="2089"/>
      <c r="Z170" s="2089"/>
      <c r="AA170" s="2089"/>
      <c r="AB170" s="2089"/>
      <c r="AC170" s="2089"/>
      <c r="AD170" s="2089"/>
      <c r="AE170" s="2089"/>
      <c r="AF170" s="2089"/>
      <c r="AG170" s="2089"/>
      <c r="AH170" s="2089"/>
      <c r="AI170" s="2089"/>
      <c r="AJ170" s="2089"/>
      <c r="AK170" s="2089"/>
      <c r="AL170" s="2089"/>
      <c r="AM170" s="2089"/>
      <c r="AN170" s="2089"/>
      <c r="AO170" s="2090"/>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4"/>
      <c r="D171" s="2044"/>
      <c r="E171" s="2044"/>
      <c r="F171" s="2044"/>
      <c r="G171" s="2044"/>
      <c r="H171" s="2044"/>
      <c r="I171" s="2175"/>
      <c r="J171" s="2175"/>
      <c r="K171" s="2175"/>
      <c r="L171" s="2175"/>
      <c r="M171" s="2175"/>
      <c r="N171" s="2191"/>
      <c r="O171" s="1202"/>
      <c r="P171" s="2088"/>
      <c r="Q171" s="2089"/>
      <c r="R171" s="2089"/>
      <c r="S171" s="2089"/>
      <c r="T171" s="2089"/>
      <c r="U171" s="2089"/>
      <c r="V171" s="2089"/>
      <c r="W171" s="2089"/>
      <c r="X171" s="2089"/>
      <c r="Y171" s="2089"/>
      <c r="Z171" s="2089"/>
      <c r="AA171" s="2089"/>
      <c r="AB171" s="2089"/>
      <c r="AC171" s="2089"/>
      <c r="AD171" s="2089"/>
      <c r="AE171" s="2089"/>
      <c r="AF171" s="2089"/>
      <c r="AG171" s="2089"/>
      <c r="AH171" s="2089"/>
      <c r="AI171" s="2089"/>
      <c r="AJ171" s="2089"/>
      <c r="AK171" s="2089"/>
      <c r="AL171" s="2089"/>
      <c r="AM171" s="2089"/>
      <c r="AN171" s="2089"/>
      <c r="AO171" s="2090"/>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4"/>
      <c r="D172" s="2044"/>
      <c r="E172" s="2044"/>
      <c r="F172" s="2044"/>
      <c r="G172" s="2044"/>
      <c r="H172" s="2044"/>
      <c r="I172" s="2175"/>
      <c r="J172" s="2175"/>
      <c r="K172" s="2175"/>
      <c r="L172" s="2175"/>
      <c r="M172" s="2175"/>
      <c r="N172" s="2191"/>
      <c r="O172" s="1202"/>
      <c r="P172" s="2088"/>
      <c r="Q172" s="2089"/>
      <c r="R172" s="2089"/>
      <c r="S172" s="2089"/>
      <c r="T172" s="2089"/>
      <c r="U172" s="2089"/>
      <c r="V172" s="2089"/>
      <c r="W172" s="2089"/>
      <c r="X172" s="2089"/>
      <c r="Y172" s="2089"/>
      <c r="Z172" s="2089"/>
      <c r="AA172" s="2089"/>
      <c r="AB172" s="2089"/>
      <c r="AC172" s="2089"/>
      <c r="AD172" s="2089"/>
      <c r="AE172" s="2089"/>
      <c r="AF172" s="2089"/>
      <c r="AG172" s="2089"/>
      <c r="AH172" s="2089"/>
      <c r="AI172" s="2089"/>
      <c r="AJ172" s="2089"/>
      <c r="AK172" s="2089"/>
      <c r="AL172" s="2089"/>
      <c r="AM172" s="2089"/>
      <c r="AN172" s="2089"/>
      <c r="AO172" s="2090"/>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4"/>
      <c r="D173" s="2044"/>
      <c r="E173" s="2044"/>
      <c r="F173" s="2044"/>
      <c r="G173" s="2044"/>
      <c r="H173" s="2044"/>
      <c r="I173" s="2175"/>
      <c r="J173" s="2175"/>
      <c r="K173" s="2175"/>
      <c r="L173" s="2175"/>
      <c r="M173" s="2175"/>
      <c r="N173" s="2191"/>
      <c r="O173" s="1202"/>
      <c r="P173" s="2088"/>
      <c r="Q173" s="2089"/>
      <c r="R173" s="2089"/>
      <c r="S173" s="2089"/>
      <c r="T173" s="2089"/>
      <c r="U173" s="2089"/>
      <c r="V173" s="2089"/>
      <c r="W173" s="2089"/>
      <c r="X173" s="2089"/>
      <c r="Y173" s="2089"/>
      <c r="Z173" s="2089"/>
      <c r="AA173" s="2089"/>
      <c r="AB173" s="2089"/>
      <c r="AC173" s="2089"/>
      <c r="AD173" s="2089"/>
      <c r="AE173" s="2089"/>
      <c r="AF173" s="2089"/>
      <c r="AG173" s="2089"/>
      <c r="AH173" s="2089"/>
      <c r="AI173" s="2089"/>
      <c r="AJ173" s="2089"/>
      <c r="AK173" s="2089"/>
      <c r="AL173" s="2089"/>
      <c r="AM173" s="2089"/>
      <c r="AN173" s="2089"/>
      <c r="AO173" s="2090"/>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4"/>
      <c r="D174" s="2044"/>
      <c r="E174" s="2044"/>
      <c r="F174" s="2044"/>
      <c r="G174" s="2044"/>
      <c r="H174" s="2044"/>
      <c r="I174" s="2175"/>
      <c r="J174" s="2175"/>
      <c r="K174" s="2175"/>
      <c r="L174" s="2175"/>
      <c r="M174" s="2175"/>
      <c r="N174" s="2191"/>
      <c r="O174" s="1202"/>
      <c r="P174" s="2088"/>
      <c r="Q174" s="2089"/>
      <c r="R174" s="2089"/>
      <c r="S174" s="2089"/>
      <c r="T174" s="2089"/>
      <c r="U174" s="2089"/>
      <c r="V174" s="2089"/>
      <c r="W174" s="2089"/>
      <c r="X174" s="2089"/>
      <c r="Y174" s="2089"/>
      <c r="Z174" s="2089"/>
      <c r="AA174" s="2089"/>
      <c r="AB174" s="2089"/>
      <c r="AC174" s="2089"/>
      <c r="AD174" s="2089"/>
      <c r="AE174" s="2089"/>
      <c r="AF174" s="2089"/>
      <c r="AG174" s="2089"/>
      <c r="AH174" s="2089"/>
      <c r="AI174" s="2089"/>
      <c r="AJ174" s="2089"/>
      <c r="AK174" s="2089"/>
      <c r="AL174" s="2089"/>
      <c r="AM174" s="2089"/>
      <c r="AN174" s="2089"/>
      <c r="AO174" s="2090"/>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2"/>
      <c r="D175" s="2193"/>
      <c r="E175" s="2193"/>
      <c r="F175" s="2193"/>
      <c r="G175" s="2193"/>
      <c r="H175" s="2193"/>
      <c r="I175" s="2194"/>
      <c r="J175" s="2194"/>
      <c r="K175" s="2194"/>
      <c r="L175" s="2194"/>
      <c r="M175" s="2194"/>
      <c r="N175" s="2195"/>
      <c r="O175" s="1202"/>
      <c r="P175" s="2091"/>
      <c r="Q175" s="2092"/>
      <c r="R175" s="2092"/>
      <c r="S175" s="2092"/>
      <c r="T175" s="2092"/>
      <c r="U175" s="2092"/>
      <c r="V175" s="2092"/>
      <c r="W175" s="2092"/>
      <c r="X175" s="2092"/>
      <c r="Y175" s="2092"/>
      <c r="Z175" s="2092"/>
      <c r="AA175" s="2092"/>
      <c r="AB175" s="2092"/>
      <c r="AC175" s="2092"/>
      <c r="AD175" s="2092"/>
      <c r="AE175" s="2092"/>
      <c r="AF175" s="2092"/>
      <c r="AG175" s="2092"/>
      <c r="AH175" s="2092"/>
      <c r="AI175" s="2092"/>
      <c r="AJ175" s="2092"/>
      <c r="AK175" s="2092"/>
      <c r="AL175" s="2092"/>
      <c r="AM175" s="2092"/>
      <c r="AN175" s="2092"/>
      <c r="AO175" s="2093"/>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9" t="s">
        <v>2265</v>
      </c>
      <c r="D177" s="2200"/>
      <c r="E177" s="2200"/>
      <c r="F177" s="2200"/>
      <c r="G177" s="2200"/>
      <c r="H177" s="2200"/>
      <c r="I177" s="2200"/>
      <c r="J177" s="2200"/>
      <c r="K177" s="2200"/>
      <c r="L177" s="2200"/>
      <c r="M177" s="2200"/>
      <c r="N177" s="2200"/>
      <c r="O177" s="2200"/>
      <c r="P177" s="2200"/>
      <c r="Q177" s="2200"/>
      <c r="R177" s="2200"/>
      <c r="S177" s="2200"/>
      <c r="T177" s="2200"/>
      <c r="U177" s="2200"/>
      <c r="V177" s="2200"/>
      <c r="W177" s="2200"/>
      <c r="X177" s="2200"/>
      <c r="Y177" s="2200"/>
      <c r="Z177" s="2200"/>
      <c r="AA177" s="2200"/>
      <c r="AB177" s="2200"/>
      <c r="AC177" s="2200"/>
      <c r="AD177" s="2200"/>
      <c r="AE177" s="2201"/>
      <c r="AF177" s="1202"/>
      <c r="AG177" s="1202"/>
      <c r="AH177" s="2209"/>
      <c r="AI177" s="2209"/>
      <c r="AJ177" s="2209"/>
      <c r="AK177" s="2209"/>
      <c r="AL177" s="2209"/>
      <c r="AM177" s="2209"/>
      <c r="AN177" s="2209"/>
      <c r="AO177" s="2209"/>
      <c r="AP177" s="2209"/>
      <c r="AQ177" s="2209"/>
      <c r="AR177" s="2209"/>
      <c r="AS177" s="2209"/>
      <c r="AT177" s="2209"/>
      <c r="AU177" s="2209"/>
      <c r="AV177" s="2209"/>
      <c r="AW177" s="2209"/>
      <c r="AX177" s="2209"/>
      <c r="AY177" s="2209"/>
      <c r="AZ177" s="2209"/>
      <c r="BA177" s="2209"/>
      <c r="BB177" s="2209"/>
      <c r="BC177" s="2209"/>
      <c r="BD177" s="2209"/>
      <c r="BE177" s="2209"/>
    </row>
    <row r="178" spans="1:57" ht="15.75" customHeight="1" thickBot="1">
      <c r="A178" s="1202"/>
      <c r="B178" s="1202"/>
      <c r="C178" s="2202"/>
      <c r="D178" s="2203"/>
      <c r="E178" s="2203"/>
      <c r="F178" s="2203"/>
      <c r="G178" s="2203"/>
      <c r="H178" s="2203"/>
      <c r="I178" s="2203"/>
      <c r="J178" s="2203"/>
      <c r="K178" s="2203"/>
      <c r="L178" s="2203"/>
      <c r="M178" s="2203"/>
      <c r="N178" s="2203"/>
      <c r="O178" s="2203"/>
      <c r="P178" s="2203"/>
      <c r="Q178" s="2203"/>
      <c r="R178" s="2203"/>
      <c r="S178" s="2203"/>
      <c r="T178" s="2203"/>
      <c r="U178" s="2203"/>
      <c r="V178" s="2203"/>
      <c r="W178" s="2203"/>
      <c r="X178" s="2203"/>
      <c r="Y178" s="2203"/>
      <c r="Z178" s="2203"/>
      <c r="AA178" s="2203"/>
      <c r="AB178" s="2203"/>
      <c r="AC178" s="2203"/>
      <c r="AD178" s="2203"/>
      <c r="AE178" s="2204"/>
      <c r="AF178" s="1202"/>
      <c r="AG178" s="1202"/>
      <c r="AH178" s="2209"/>
      <c r="AI178" s="2209"/>
      <c r="AJ178" s="2209"/>
      <c r="AK178" s="2209"/>
      <c r="AL178" s="2209"/>
      <c r="AM178" s="2209"/>
      <c r="AN178" s="2209"/>
      <c r="AO178" s="2209"/>
      <c r="AP178" s="2209"/>
      <c r="AQ178" s="2209"/>
      <c r="AR178" s="2209"/>
      <c r="AS178" s="2209"/>
      <c r="AT178" s="2209"/>
      <c r="AU178" s="2209"/>
      <c r="AV178" s="2209"/>
      <c r="AW178" s="2209"/>
      <c r="AX178" s="2209"/>
      <c r="AY178" s="2209"/>
      <c r="AZ178" s="2209"/>
      <c r="BA178" s="2209"/>
      <c r="BB178" s="2209"/>
      <c r="BC178" s="2209"/>
      <c r="BD178" s="2209"/>
      <c r="BE178" s="2209"/>
    </row>
    <row r="179" spans="1:57" ht="15.75" customHeight="1">
      <c r="A179" s="1202"/>
      <c r="B179" s="1202"/>
      <c r="C179" s="2084" t="s">
        <v>2263</v>
      </c>
      <c r="D179" s="2085"/>
      <c r="E179" s="2085"/>
      <c r="F179" s="2085"/>
      <c r="G179" s="2085"/>
      <c r="H179" s="2085"/>
      <c r="I179" s="2085"/>
      <c r="J179" s="2085"/>
      <c r="K179" s="2085"/>
      <c r="L179" s="2085"/>
      <c r="M179" s="2085"/>
      <c r="N179" s="2085" t="s">
        <v>2264</v>
      </c>
      <c r="O179" s="2085"/>
      <c r="P179" s="2085"/>
      <c r="Q179" s="2085"/>
      <c r="R179" s="2085"/>
      <c r="S179" s="2085"/>
      <c r="T179" s="2085"/>
      <c r="U179" s="2038" t="s">
        <v>2263</v>
      </c>
      <c r="V179" s="2038"/>
      <c r="W179" s="2038"/>
      <c r="X179" s="2038"/>
      <c r="Y179" s="2038"/>
      <c r="Z179" s="2038"/>
      <c r="AA179" s="2038"/>
      <c r="AB179" s="2038"/>
      <c r="AC179" s="2038"/>
      <c r="AD179" s="2038"/>
      <c r="AE179" s="2039"/>
      <c r="AF179" s="1202"/>
      <c r="AG179" s="1202"/>
      <c r="AH179" s="2209"/>
      <c r="AI179" s="2209"/>
      <c r="AJ179" s="2209"/>
      <c r="AK179" s="2209"/>
      <c r="AL179" s="2209"/>
      <c r="AM179" s="2209"/>
      <c r="AN179" s="2209"/>
      <c r="AO179" s="2209"/>
      <c r="AP179" s="2209"/>
      <c r="AQ179" s="2209"/>
      <c r="AR179" s="2209"/>
      <c r="AS179" s="2209"/>
      <c r="AT179" s="2209"/>
      <c r="AU179" s="2209"/>
      <c r="AV179" s="2209"/>
      <c r="AW179" s="2209"/>
      <c r="AX179" s="2209"/>
      <c r="AY179" s="2209"/>
      <c r="AZ179" s="2209"/>
      <c r="BA179" s="2209"/>
      <c r="BB179" s="2209"/>
      <c r="BC179" s="2209"/>
      <c r="BD179" s="2209"/>
      <c r="BE179" s="2209"/>
    </row>
    <row r="180" spans="1:57" ht="15.75" customHeight="1">
      <c r="A180" s="1202"/>
      <c r="B180" s="1202"/>
      <c r="C180" s="2196" t="s">
        <v>2262</v>
      </c>
      <c r="D180" s="2197"/>
      <c r="E180" s="2197"/>
      <c r="F180" s="2197"/>
      <c r="G180" s="2197"/>
      <c r="H180" s="2197"/>
      <c r="I180" s="2197"/>
      <c r="J180" s="2197"/>
      <c r="K180" s="2197"/>
      <c r="L180" s="2197"/>
      <c r="M180" s="2197"/>
      <c r="N180" s="2198">
        <f>'Sources and Uses Budget'!B105</f>
        <v>55906573</v>
      </c>
      <c r="O180" s="2198"/>
      <c r="P180" s="2198"/>
      <c r="Q180" s="2198"/>
      <c r="R180" s="2198"/>
      <c r="S180" s="2198"/>
      <c r="T180" s="2198"/>
      <c r="U180" s="2210"/>
      <c r="V180" s="2210"/>
      <c r="W180" s="2210"/>
      <c r="X180" s="2210"/>
      <c r="Y180" s="2210"/>
      <c r="Z180" s="2210"/>
      <c r="AA180" s="2210"/>
      <c r="AB180" s="2210"/>
      <c r="AC180" s="2210"/>
      <c r="AD180" s="2210"/>
      <c r="AE180" s="2211"/>
      <c r="AF180" s="1202"/>
      <c r="AG180" s="1202"/>
      <c r="AH180" s="2209"/>
      <c r="AI180" s="2209"/>
      <c r="AJ180" s="2209"/>
      <c r="AK180" s="2209"/>
      <c r="AL180" s="2209"/>
      <c r="AM180" s="2209"/>
      <c r="AN180" s="2209"/>
      <c r="AO180" s="2209"/>
      <c r="AP180" s="2209"/>
      <c r="AQ180" s="2209"/>
      <c r="AR180" s="2209"/>
      <c r="AS180" s="2209"/>
      <c r="AT180" s="2209"/>
      <c r="AU180" s="2209"/>
      <c r="AV180" s="2209"/>
      <c r="AW180" s="2209"/>
      <c r="AX180" s="2209"/>
      <c r="AY180" s="2209"/>
      <c r="AZ180" s="2209"/>
      <c r="BA180" s="2209"/>
      <c r="BB180" s="2209"/>
      <c r="BC180" s="2209"/>
      <c r="BD180" s="2209"/>
      <c r="BE180" s="2209"/>
    </row>
    <row r="181" spans="1:57" ht="15.75" customHeight="1">
      <c r="A181" s="1202"/>
      <c r="B181" s="1202"/>
      <c r="C181" s="2196" t="s">
        <v>2261</v>
      </c>
      <c r="D181" s="2197"/>
      <c r="E181" s="2197"/>
      <c r="F181" s="2197"/>
      <c r="G181" s="2197"/>
      <c r="H181" s="2197"/>
      <c r="I181" s="2197"/>
      <c r="J181" s="2197"/>
      <c r="K181" s="2197"/>
      <c r="L181" s="2197"/>
      <c r="M181" s="2197"/>
      <c r="N181" s="2198">
        <f>N180/J29</f>
        <v>517653.45370370371</v>
      </c>
      <c r="O181" s="2198"/>
      <c r="P181" s="2198"/>
      <c r="Q181" s="2198"/>
      <c r="R181" s="2198"/>
      <c r="S181" s="2198"/>
      <c r="T181" s="2198"/>
      <c r="U181" s="1242"/>
      <c r="V181" s="1242"/>
      <c r="W181" s="1242"/>
      <c r="X181" s="1242"/>
      <c r="Y181" s="1242"/>
      <c r="Z181" s="1242"/>
      <c r="AA181" s="1242"/>
      <c r="AB181" s="1242"/>
      <c r="AC181" s="1242"/>
      <c r="AD181" s="1242"/>
      <c r="AE181" s="1243"/>
      <c r="AF181" s="1202"/>
      <c r="AG181" s="1202"/>
      <c r="AH181" s="2209"/>
      <c r="AI181" s="2209"/>
      <c r="AJ181" s="2209"/>
      <c r="AK181" s="2209"/>
      <c r="AL181" s="2209"/>
      <c r="AM181" s="2209"/>
      <c r="AN181" s="2209"/>
      <c r="AO181" s="2209"/>
      <c r="AP181" s="2209"/>
      <c r="AQ181" s="2209"/>
      <c r="AR181" s="2209"/>
      <c r="AS181" s="2209"/>
      <c r="AT181" s="2209"/>
      <c r="AU181" s="2209"/>
      <c r="AV181" s="2209"/>
      <c r="AW181" s="2209"/>
      <c r="AX181" s="2209"/>
      <c r="AY181" s="2209"/>
      <c r="AZ181" s="2209"/>
      <c r="BA181" s="2209"/>
      <c r="BB181" s="2209"/>
      <c r="BC181" s="2209"/>
      <c r="BD181" s="2209"/>
      <c r="BE181" s="2209"/>
    </row>
    <row r="182" spans="1:57" ht="15.75" customHeight="1">
      <c r="A182" s="1202"/>
      <c r="B182" s="1202"/>
      <c r="C182" s="2212" t="s">
        <v>2260</v>
      </c>
      <c r="D182" s="2213"/>
      <c r="E182" s="2213"/>
      <c r="F182" s="2213"/>
      <c r="G182" s="2213"/>
      <c r="H182" s="2213"/>
      <c r="I182" s="2213"/>
      <c r="J182" s="2213"/>
      <c r="K182" s="2213"/>
      <c r="L182" s="2213"/>
      <c r="M182" s="2213"/>
      <c r="N182" s="2078">
        <v>0</v>
      </c>
      <c r="O182" s="2078"/>
      <c r="P182" s="2078"/>
      <c r="Q182" s="2078"/>
      <c r="R182" s="2078"/>
      <c r="S182" s="2078"/>
      <c r="T182" s="2078"/>
      <c r="U182" s="2056"/>
      <c r="V182" s="2056"/>
      <c r="W182" s="2056"/>
      <c r="X182" s="2056"/>
      <c r="Y182" s="2056"/>
      <c r="Z182" s="2056"/>
      <c r="AA182" s="2056"/>
      <c r="AB182" s="2056"/>
      <c r="AC182" s="2056"/>
      <c r="AD182" s="2056"/>
      <c r="AE182" s="2057"/>
      <c r="AF182" s="1202"/>
      <c r="AG182" s="1202"/>
      <c r="AH182" s="2209"/>
      <c r="AI182" s="2209"/>
      <c r="AJ182" s="2209"/>
      <c r="AK182" s="2209"/>
      <c r="AL182" s="2209"/>
      <c r="AM182" s="2209"/>
      <c r="AN182" s="2209"/>
      <c r="AO182" s="2209"/>
      <c r="AP182" s="2209"/>
      <c r="AQ182" s="2209"/>
      <c r="AR182" s="2209"/>
      <c r="AS182" s="2209"/>
      <c r="AT182" s="2209"/>
      <c r="AU182" s="2209"/>
      <c r="AV182" s="2209"/>
      <c r="AW182" s="2209"/>
      <c r="AX182" s="2209"/>
      <c r="AY182" s="2209"/>
      <c r="AZ182" s="2209"/>
      <c r="BA182" s="2209"/>
      <c r="BB182" s="2209"/>
      <c r="BC182" s="2209"/>
      <c r="BD182" s="2209"/>
      <c r="BE182" s="2209"/>
    </row>
    <row r="183" spans="1:57" ht="15.75" customHeight="1" thickBot="1">
      <c r="A183" s="1202"/>
      <c r="B183" s="1202"/>
      <c r="C183" s="2196" t="s">
        <v>2259</v>
      </c>
      <c r="D183" s="2197"/>
      <c r="E183" s="2197"/>
      <c r="F183" s="2197"/>
      <c r="G183" s="2197"/>
      <c r="H183" s="2197"/>
      <c r="I183" s="2197"/>
      <c r="J183" s="2197"/>
      <c r="K183" s="2197"/>
      <c r="L183" s="2197"/>
      <c r="M183" s="2197"/>
      <c r="N183" s="2214">
        <f>SUM('Sources and Uses Budget'!B85:B86)</f>
        <v>2307529</v>
      </c>
      <c r="O183" s="2214"/>
      <c r="P183" s="2214"/>
      <c r="Q183" s="2214"/>
      <c r="R183" s="2214"/>
      <c r="S183" s="2214"/>
      <c r="T183" s="2214"/>
      <c r="U183" s="2056"/>
      <c r="V183" s="2056"/>
      <c r="W183" s="2056"/>
      <c r="X183" s="2056"/>
      <c r="Y183" s="2056"/>
      <c r="Z183" s="2056"/>
      <c r="AA183" s="2056"/>
      <c r="AB183" s="2056"/>
      <c r="AC183" s="2056"/>
      <c r="AD183" s="2056"/>
      <c r="AE183" s="2057"/>
      <c r="AF183" s="1202"/>
      <c r="AG183" s="1202"/>
      <c r="AH183" s="2209"/>
      <c r="AI183" s="2209"/>
      <c r="AJ183" s="2209"/>
      <c r="AK183" s="2209"/>
      <c r="AL183" s="2209"/>
      <c r="AM183" s="2209"/>
      <c r="AN183" s="2209"/>
      <c r="AO183" s="2209"/>
      <c r="AP183" s="2209"/>
      <c r="AQ183" s="2209"/>
      <c r="AR183" s="2209"/>
      <c r="AS183" s="2209"/>
      <c r="AT183" s="2209"/>
      <c r="AU183" s="2209"/>
      <c r="AV183" s="2209"/>
      <c r="AW183" s="2209"/>
      <c r="AX183" s="2209"/>
      <c r="AY183" s="2209"/>
      <c r="AZ183" s="2209"/>
      <c r="BA183" s="2209"/>
      <c r="BB183" s="2209"/>
      <c r="BC183" s="2209"/>
      <c r="BD183" s="2209"/>
      <c r="BE183" s="2209"/>
    </row>
    <row r="184" spans="1:57" ht="15.75" customHeight="1" thickBot="1">
      <c r="A184" s="1202"/>
      <c r="B184" s="1202"/>
      <c r="C184" s="2196" t="s">
        <v>2258</v>
      </c>
      <c r="D184" s="2197"/>
      <c r="E184" s="2197"/>
      <c r="F184" s="2197"/>
      <c r="G184" s="2197"/>
      <c r="H184" s="2197"/>
      <c r="I184" s="2197"/>
      <c r="J184" s="2197"/>
      <c r="K184" s="2197"/>
      <c r="L184" s="2197"/>
      <c r="M184" s="2197"/>
      <c r="N184" s="2214">
        <f>'Sources and Uses Budget'!B8</f>
        <v>4505000</v>
      </c>
      <c r="O184" s="2214"/>
      <c r="P184" s="2214"/>
      <c r="Q184" s="2214"/>
      <c r="R184" s="2214"/>
      <c r="S184" s="2214"/>
      <c r="T184" s="2214"/>
      <c r="U184" s="2056"/>
      <c r="V184" s="2056"/>
      <c r="W184" s="2056"/>
      <c r="X184" s="2056"/>
      <c r="Y184" s="2056"/>
      <c r="Z184" s="2056"/>
      <c r="AA184" s="2056"/>
      <c r="AB184" s="2056"/>
      <c r="AC184" s="2056"/>
      <c r="AD184" s="2056"/>
      <c r="AE184" s="2057"/>
      <c r="AF184" s="1202"/>
      <c r="AG184" s="1202"/>
      <c r="AH184" s="2218" t="s">
        <v>2256</v>
      </c>
      <c r="AI184" s="2219"/>
      <c r="AJ184" s="2219"/>
      <c r="AK184" s="2219"/>
      <c r="AL184" s="2219"/>
      <c r="AM184" s="2219"/>
      <c r="AN184" s="2219"/>
      <c r="AO184" s="2219"/>
      <c r="AP184" s="2219"/>
      <c r="AQ184" s="2219"/>
      <c r="AR184" s="2219"/>
      <c r="AS184" s="2219"/>
      <c r="AT184" s="2219"/>
      <c r="AU184" s="2219"/>
      <c r="AV184" s="2219"/>
      <c r="AW184" s="2219"/>
      <c r="AX184" s="2219"/>
      <c r="AY184" s="2219"/>
      <c r="AZ184" s="2219"/>
      <c r="BA184" s="2219"/>
      <c r="BB184" s="2219"/>
      <c r="BC184" s="2219"/>
      <c r="BD184" s="2219"/>
      <c r="BE184" s="2220"/>
    </row>
    <row r="185" spans="1:57" ht="15.75" customHeight="1">
      <c r="A185" s="1202"/>
      <c r="B185" s="1202"/>
      <c r="C185" s="2196" t="s">
        <v>2257</v>
      </c>
      <c r="D185" s="2197"/>
      <c r="E185" s="2197"/>
      <c r="F185" s="2197"/>
      <c r="G185" s="2197"/>
      <c r="H185" s="2197"/>
      <c r="I185" s="2197"/>
      <c r="J185" s="2197"/>
      <c r="K185" s="2197"/>
      <c r="L185" s="2197"/>
      <c r="M185" s="2197"/>
      <c r="N185" s="2205">
        <v>0</v>
      </c>
      <c r="O185" s="2205"/>
      <c r="P185" s="2205"/>
      <c r="Q185" s="2205"/>
      <c r="R185" s="2205"/>
      <c r="S185" s="2205"/>
      <c r="T185" s="2205"/>
      <c r="U185" s="2056"/>
      <c r="V185" s="2056"/>
      <c r="W185" s="2056"/>
      <c r="X185" s="2056"/>
      <c r="Y185" s="2056"/>
      <c r="Z185" s="2056"/>
      <c r="AA185" s="2056"/>
      <c r="AB185" s="2056"/>
      <c r="AC185" s="2056"/>
      <c r="AD185" s="2056"/>
      <c r="AE185" s="2057"/>
      <c r="AF185" s="1202"/>
      <c r="AG185" s="1202"/>
      <c r="AH185" s="2221" t="s">
        <v>2256</v>
      </c>
      <c r="AI185" s="2222"/>
      <c r="AJ185" s="2222"/>
      <c r="AK185" s="2222"/>
      <c r="AL185" s="2222"/>
      <c r="AM185" s="2222"/>
      <c r="AN185" s="2222"/>
      <c r="AO185" s="2222"/>
      <c r="AP185" s="2222"/>
      <c r="AQ185" s="2222"/>
      <c r="AR185" s="2222"/>
      <c r="AS185" s="2222"/>
      <c r="AT185" s="2222"/>
      <c r="AU185" s="2223">
        <v>0</v>
      </c>
      <c r="AV185" s="2223"/>
      <c r="AW185" s="2223"/>
      <c r="AX185" s="2223"/>
      <c r="AY185" s="2223"/>
      <c r="AZ185" s="2223"/>
      <c r="BA185" s="2223"/>
      <c r="BB185" s="2223"/>
      <c r="BC185" s="2224"/>
      <c r="BD185" s="2225"/>
      <c r="BE185" s="2226"/>
    </row>
    <row r="186" spans="1:57" ht="15.75" customHeight="1">
      <c r="A186" s="1202"/>
      <c r="B186" s="1202"/>
      <c r="C186" s="2196" t="s">
        <v>2255</v>
      </c>
      <c r="D186" s="2197"/>
      <c r="E186" s="2197"/>
      <c r="F186" s="2197"/>
      <c r="G186" s="2197"/>
      <c r="H186" s="2197"/>
      <c r="I186" s="2197"/>
      <c r="J186" s="2197"/>
      <c r="K186" s="2197"/>
      <c r="L186" s="2197"/>
      <c r="M186" s="2197"/>
      <c r="N186" s="2205">
        <v>0</v>
      </c>
      <c r="O186" s="2205"/>
      <c r="P186" s="2205"/>
      <c r="Q186" s="2205"/>
      <c r="R186" s="2205"/>
      <c r="S186" s="2205"/>
      <c r="T186" s="2205"/>
      <c r="U186" s="2056"/>
      <c r="V186" s="2056"/>
      <c r="W186" s="2056"/>
      <c r="X186" s="2056"/>
      <c r="Y186" s="2056"/>
      <c r="Z186" s="2056"/>
      <c r="AA186" s="2056"/>
      <c r="AB186" s="2056"/>
      <c r="AC186" s="2056"/>
      <c r="AD186" s="2056"/>
      <c r="AE186" s="2057"/>
      <c r="AF186" s="1202"/>
      <c r="AG186" s="1202"/>
      <c r="AH186" s="2206" t="s">
        <v>2254</v>
      </c>
      <c r="AI186" s="2207"/>
      <c r="AJ186" s="2207"/>
      <c r="AK186" s="2207"/>
      <c r="AL186" s="2207"/>
      <c r="AM186" s="2207"/>
      <c r="AN186" s="2207"/>
      <c r="AO186" s="2207"/>
      <c r="AP186" s="2207"/>
      <c r="AQ186" s="2207"/>
      <c r="AR186" s="2207"/>
      <c r="AS186" s="2207"/>
      <c r="AT186" s="2207"/>
      <c r="AU186" s="2208"/>
      <c r="AV186" s="2208"/>
      <c r="AW186" s="2208"/>
      <c r="AX186" s="2208"/>
      <c r="AY186" s="2208"/>
      <c r="AZ186" s="2208"/>
      <c r="BA186" s="2208"/>
      <c r="BB186" s="2208"/>
      <c r="BC186" s="2215"/>
      <c r="BD186" s="2216"/>
      <c r="BE186" s="2217"/>
    </row>
    <row r="187" spans="1:57" ht="15.75" customHeight="1">
      <c r="A187" s="1202"/>
      <c r="B187" s="1202"/>
      <c r="C187" s="2231" t="s">
        <v>300</v>
      </c>
      <c r="D187" s="2174"/>
      <c r="E187" s="2227" t="s">
        <v>2252</v>
      </c>
      <c r="F187" s="2227"/>
      <c r="G187" s="2227"/>
      <c r="H187" s="2227"/>
      <c r="I187" s="2227"/>
      <c r="J187" s="2227"/>
      <c r="K187" s="2227"/>
      <c r="L187" s="2227"/>
      <c r="M187" s="2227"/>
      <c r="N187" s="2205">
        <v>0</v>
      </c>
      <c r="O187" s="2205"/>
      <c r="P187" s="2205"/>
      <c r="Q187" s="2205"/>
      <c r="R187" s="2205"/>
      <c r="S187" s="2205"/>
      <c r="T187" s="2205"/>
      <c r="U187" s="2056"/>
      <c r="V187" s="2056"/>
      <c r="W187" s="2056"/>
      <c r="X187" s="2056"/>
      <c r="Y187" s="2056"/>
      <c r="Z187" s="2056"/>
      <c r="AA187" s="2056"/>
      <c r="AB187" s="2056"/>
      <c r="AC187" s="2056"/>
      <c r="AD187" s="2056"/>
      <c r="AE187" s="2057"/>
      <c r="AF187" s="1202"/>
      <c r="AG187" s="1202"/>
      <c r="AH187" s="2232" t="s">
        <v>2253</v>
      </c>
      <c r="AI187" s="2233"/>
      <c r="AJ187" s="2233"/>
      <c r="AK187" s="2233"/>
      <c r="AL187" s="2233"/>
      <c r="AM187" s="2233"/>
      <c r="AN187" s="2233"/>
      <c r="AO187" s="2233"/>
      <c r="AP187" s="2233"/>
      <c r="AQ187" s="2233"/>
      <c r="AR187" s="2233"/>
      <c r="AS187" s="2233"/>
      <c r="AT187" s="2233"/>
      <c r="AU187" s="2234">
        <f>SUM(AU185:BB186)</f>
        <v>0</v>
      </c>
      <c r="AV187" s="2234"/>
      <c r="AW187" s="2234"/>
      <c r="AX187" s="2234"/>
      <c r="AY187" s="2234"/>
      <c r="AZ187" s="2234"/>
      <c r="BA187" s="2234"/>
      <c r="BB187" s="2234"/>
      <c r="BC187" s="2215"/>
      <c r="BD187" s="2216"/>
      <c r="BE187" s="2217"/>
    </row>
    <row r="188" spans="1:57" ht="15.75" customHeight="1" thickBot="1">
      <c r="A188" s="1202"/>
      <c r="B188" s="1202"/>
      <c r="C188" s="2094" t="s">
        <v>300</v>
      </c>
      <c r="D188" s="2044"/>
      <c r="E188" s="2227" t="s">
        <v>2252</v>
      </c>
      <c r="F188" s="2227"/>
      <c r="G188" s="2227"/>
      <c r="H188" s="2227"/>
      <c r="I188" s="2227"/>
      <c r="J188" s="2227"/>
      <c r="K188" s="2227"/>
      <c r="L188" s="2227"/>
      <c r="M188" s="2227"/>
      <c r="N188" s="2205">
        <v>0</v>
      </c>
      <c r="O188" s="2205"/>
      <c r="P188" s="2205"/>
      <c r="Q188" s="2205"/>
      <c r="R188" s="2205"/>
      <c r="S188" s="2205"/>
      <c r="T188" s="2205"/>
      <c r="U188" s="2056"/>
      <c r="V188" s="2056"/>
      <c r="W188" s="2056"/>
      <c r="X188" s="2056"/>
      <c r="Y188" s="2056"/>
      <c r="Z188" s="2056"/>
      <c r="AA188" s="2056"/>
      <c r="AB188" s="2056"/>
      <c r="AC188" s="2056"/>
      <c r="AD188" s="2056"/>
      <c r="AE188" s="2057"/>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8"/>
      <c r="BD188" s="2229"/>
      <c r="BE188" s="2230"/>
    </row>
    <row r="189" spans="1:57" ht="15.75" customHeight="1" thickBot="1">
      <c r="A189" s="1202"/>
      <c r="B189" s="1202"/>
      <c r="C189" s="2252" t="s">
        <v>300</v>
      </c>
      <c r="D189" s="2253"/>
      <c r="E189" s="2254" t="s">
        <v>2252</v>
      </c>
      <c r="F189" s="2254"/>
      <c r="G189" s="2254"/>
      <c r="H189" s="2254"/>
      <c r="I189" s="2254"/>
      <c r="J189" s="2254"/>
      <c r="K189" s="2254"/>
      <c r="L189" s="2254"/>
      <c r="M189" s="2255"/>
      <c r="N189" s="2256">
        <v>0</v>
      </c>
      <c r="O189" s="2256"/>
      <c r="P189" s="2256"/>
      <c r="Q189" s="2256"/>
      <c r="R189" s="2256"/>
      <c r="S189" s="2256"/>
      <c r="T189" s="2257"/>
      <c r="U189" s="2258"/>
      <c r="V189" s="2259"/>
      <c r="W189" s="2259"/>
      <c r="X189" s="2259"/>
      <c r="Y189" s="2259"/>
      <c r="Z189" s="2259"/>
      <c r="AA189" s="2259"/>
      <c r="AB189" s="2259"/>
      <c r="AC189" s="2259"/>
      <c r="AD189" s="2259"/>
      <c r="AE189" s="2260"/>
      <c r="AF189" s="1202"/>
      <c r="AG189" s="1202"/>
      <c r="AH189" s="2261" t="s">
        <v>2251</v>
      </c>
      <c r="AI189" s="2262"/>
      <c r="AJ189" s="2262"/>
      <c r="AK189" s="2262"/>
      <c r="AL189" s="2262"/>
      <c r="AM189" s="2262"/>
      <c r="AN189" s="2262"/>
      <c r="AO189" s="2262"/>
      <c r="AP189" s="2262"/>
      <c r="AQ189" s="2262"/>
      <c r="AR189" s="2262"/>
      <c r="AS189" s="2262"/>
      <c r="AT189" s="2262"/>
      <c r="AU189" s="2263"/>
      <c r="AV189" s="2263"/>
      <c r="AW189" s="2263"/>
      <c r="AX189" s="2263"/>
      <c r="AY189" s="2263"/>
      <c r="AZ189" s="2263"/>
      <c r="BA189" s="2263"/>
      <c r="BB189" s="2263"/>
      <c r="BC189" s="1159"/>
      <c r="BD189" s="1159"/>
      <c r="BE189" s="1246"/>
    </row>
    <row r="190" spans="1:57" ht="15.75" customHeight="1">
      <c r="A190" s="1202"/>
      <c r="B190" s="1202"/>
      <c r="C190" s="2235" t="s">
        <v>2250</v>
      </c>
      <c r="D190" s="2236"/>
      <c r="E190" s="2236"/>
      <c r="F190" s="2236"/>
      <c r="G190" s="2236"/>
      <c r="H190" s="2236"/>
      <c r="I190" s="2236"/>
      <c r="J190" s="2236"/>
      <c r="K190" s="2236"/>
      <c r="L190" s="2236"/>
      <c r="M190" s="2236"/>
      <c r="N190" s="2237">
        <f>SUM(N182:T189)</f>
        <v>6812529</v>
      </c>
      <c r="O190" s="2237"/>
      <c r="P190" s="2237"/>
      <c r="Q190" s="2237"/>
      <c r="R190" s="2237"/>
      <c r="S190" s="2237"/>
      <c r="T190" s="2238"/>
      <c r="U190" s="1202"/>
      <c r="V190" s="1202"/>
      <c r="W190" s="1202"/>
      <c r="X190" s="1202"/>
      <c r="Y190" s="1202"/>
      <c r="Z190" s="1202"/>
      <c r="AA190" s="1202"/>
      <c r="AB190" s="1202"/>
      <c r="AC190" s="1202"/>
      <c r="AD190" s="1202"/>
      <c r="AE190" s="1202"/>
      <c r="AF190" s="1202"/>
      <c r="AG190" s="1202"/>
      <c r="AH190" s="2239" t="s">
        <v>2249</v>
      </c>
      <c r="AI190" s="2240"/>
      <c r="AJ190" s="2240"/>
      <c r="AK190" s="2240"/>
      <c r="AL190" s="2240"/>
      <c r="AM190" s="2240"/>
      <c r="AN190" s="2240"/>
      <c r="AO190" s="2240"/>
      <c r="AP190" s="2240"/>
      <c r="AQ190" s="2240"/>
      <c r="AR190" s="2240"/>
      <c r="AS190" s="2240"/>
      <c r="AT190" s="2240"/>
      <c r="AU190" s="2240"/>
      <c r="AV190" s="2240"/>
      <c r="AW190" s="2240"/>
      <c r="AX190" s="2240"/>
      <c r="AY190" s="2240"/>
      <c r="AZ190" s="2240"/>
      <c r="BA190" s="2240"/>
      <c r="BB190" s="2240"/>
      <c r="BC190" s="2240"/>
      <c r="BD190" s="2240"/>
      <c r="BE190" s="2241"/>
    </row>
    <row r="191" spans="1:57" ht="15.75" customHeight="1" thickBot="1">
      <c r="A191" s="1202"/>
      <c r="B191" s="1202"/>
      <c r="C191" s="2245" t="s">
        <v>2248</v>
      </c>
      <c r="D191" s="2246"/>
      <c r="E191" s="2246"/>
      <c r="F191" s="2246"/>
      <c r="G191" s="2246"/>
      <c r="H191" s="2246"/>
      <c r="I191" s="2246"/>
      <c r="J191" s="2246"/>
      <c r="K191" s="2246"/>
      <c r="L191" s="2246"/>
      <c r="M191" s="2246"/>
      <c r="N191" s="2247">
        <f>(N180-N190)/J29</f>
        <v>454574.48148148146</v>
      </c>
      <c r="O191" s="2248"/>
      <c r="P191" s="2248"/>
      <c r="Q191" s="2248"/>
      <c r="R191" s="2248"/>
      <c r="S191" s="2248"/>
      <c r="T191" s="2249"/>
      <c r="U191" s="1210"/>
      <c r="V191" s="1202"/>
      <c r="W191" s="1202"/>
      <c r="X191" s="1202"/>
      <c r="Y191" s="1202"/>
      <c r="Z191" s="1202"/>
      <c r="AA191" s="1202"/>
      <c r="AB191" s="1202"/>
      <c r="AC191" s="1202"/>
      <c r="AD191" s="1202"/>
      <c r="AE191" s="1202"/>
      <c r="AF191" s="1202"/>
      <c r="AG191" s="1202"/>
      <c r="AH191" s="2242"/>
      <c r="AI191" s="2243"/>
      <c r="AJ191" s="2243"/>
      <c r="AK191" s="2243"/>
      <c r="AL191" s="2243"/>
      <c r="AM191" s="2243"/>
      <c r="AN191" s="2243"/>
      <c r="AO191" s="2243"/>
      <c r="AP191" s="2243"/>
      <c r="AQ191" s="2243"/>
      <c r="AR191" s="2243"/>
      <c r="AS191" s="2243"/>
      <c r="AT191" s="2243"/>
      <c r="AU191" s="2243"/>
      <c r="AV191" s="2243"/>
      <c r="AW191" s="2243"/>
      <c r="AX191" s="2243"/>
      <c r="AY191" s="2243"/>
      <c r="AZ191" s="2243"/>
      <c r="BA191" s="2243"/>
      <c r="BB191" s="2243"/>
      <c r="BC191" s="2243"/>
      <c r="BD191" s="2243"/>
      <c r="BE191" s="224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0"/>
      <c r="AI192" s="2250"/>
      <c r="AJ192" s="2250"/>
      <c r="AK192" s="2250"/>
      <c r="AL192" s="2250"/>
      <c r="AM192" s="2250"/>
      <c r="AN192" s="2250"/>
      <c r="AO192" s="2250"/>
      <c r="AP192" s="2250"/>
      <c r="AQ192" s="2250"/>
      <c r="AR192" s="2250"/>
      <c r="AS192" s="2251"/>
      <c r="AT192" s="2251"/>
      <c r="AU192" s="2251"/>
      <c r="AV192" s="2251"/>
      <c r="AW192" s="2251"/>
      <c r="AX192" s="2251"/>
      <c r="AY192" s="2251"/>
      <c r="AZ192" s="2251"/>
      <c r="BA192" s="2251"/>
      <c r="BB192" s="2251"/>
      <c r="BC192" s="2251"/>
      <c r="BD192" s="225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9" t="s">
        <v>2247</v>
      </c>
      <c r="D194" s="2270"/>
      <c r="E194" s="2270"/>
      <c r="F194" s="2270"/>
      <c r="G194" s="2270"/>
      <c r="H194" s="2270"/>
      <c r="I194" s="2270"/>
      <c r="J194" s="2270"/>
      <c r="K194" s="2270"/>
      <c r="L194" s="2270"/>
      <c r="M194" s="2270"/>
      <c r="N194" s="2270"/>
      <c r="O194" s="2270"/>
      <c r="P194" s="2270"/>
      <c r="Q194" s="2270"/>
      <c r="R194" s="2270"/>
      <c r="S194" s="2270"/>
      <c r="T194" s="2270"/>
      <c r="U194" s="2270"/>
      <c r="V194" s="2270"/>
      <c r="W194" s="2270"/>
      <c r="X194" s="2270"/>
      <c r="Y194" s="2270"/>
      <c r="Z194" s="2270"/>
      <c r="AA194" s="2270"/>
      <c r="AB194" s="2270"/>
      <c r="AC194" s="2270"/>
      <c r="AD194" s="2270"/>
      <c r="AE194" s="2271"/>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2" t="s">
        <v>2246</v>
      </c>
      <c r="D195" s="2272"/>
      <c r="E195" s="2272"/>
      <c r="F195" s="2272"/>
      <c r="G195" s="2272"/>
      <c r="H195" s="2272"/>
      <c r="I195" s="2272"/>
      <c r="J195" s="2272"/>
      <c r="K195" s="2272"/>
      <c r="L195" s="2272"/>
      <c r="M195" s="2272"/>
      <c r="N195" s="2272"/>
      <c r="O195" s="2273" t="s">
        <v>2245</v>
      </c>
      <c r="P195" s="2273"/>
      <c r="Q195" s="2273"/>
      <c r="R195" s="2273"/>
      <c r="S195" s="2273"/>
      <c r="T195" s="2273"/>
      <c r="U195" s="2273"/>
      <c r="V195" s="2273"/>
      <c r="W195" s="2273"/>
      <c r="X195" s="2273" t="s">
        <v>2244</v>
      </c>
      <c r="Y195" s="2273"/>
      <c r="Z195" s="2273"/>
      <c r="AA195" s="2273"/>
      <c r="AB195" s="2273"/>
      <c r="AC195" s="2273"/>
      <c r="AD195" s="2273"/>
      <c r="AE195" s="2273"/>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4" t="s">
        <v>2243</v>
      </c>
      <c r="D196" s="2264"/>
      <c r="E196" s="2264"/>
      <c r="F196" s="2264"/>
      <c r="G196" s="2264"/>
      <c r="H196" s="2264"/>
      <c r="I196" s="2264"/>
      <c r="J196" s="2264"/>
      <c r="K196" s="2264"/>
      <c r="L196" s="2264"/>
      <c r="M196" s="2264"/>
      <c r="N196" s="2264"/>
      <c r="O196" s="2265" t="s">
        <v>2242</v>
      </c>
      <c r="P196" s="2265"/>
      <c r="Q196" s="2265"/>
      <c r="R196" s="2265"/>
      <c r="S196" s="2265"/>
      <c r="T196" s="2265"/>
      <c r="U196" s="2265"/>
      <c r="V196" s="2265"/>
      <c r="W196" s="2265"/>
      <c r="X196" s="2266">
        <v>0.03</v>
      </c>
      <c r="Y196" s="2266"/>
      <c r="Z196" s="2266"/>
      <c r="AA196" s="2266"/>
      <c r="AB196" s="2266"/>
      <c r="AC196" s="2266"/>
      <c r="AD196" s="2266"/>
      <c r="AE196" s="2266"/>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4" t="s">
        <v>854</v>
      </c>
      <c r="D197" s="2264"/>
      <c r="E197" s="2264"/>
      <c r="F197" s="2264"/>
      <c r="G197" s="2264"/>
      <c r="H197" s="2264"/>
      <c r="I197" s="2264"/>
      <c r="J197" s="2264"/>
      <c r="K197" s="2264"/>
      <c r="L197" s="2264"/>
      <c r="M197" s="2264"/>
      <c r="N197" s="2264"/>
      <c r="O197" s="2265" t="s">
        <v>2242</v>
      </c>
      <c r="P197" s="2265"/>
      <c r="Q197" s="2265"/>
      <c r="R197" s="2265"/>
      <c r="S197" s="2265"/>
      <c r="T197" s="2265"/>
      <c r="U197" s="2265"/>
      <c r="V197" s="2265"/>
      <c r="W197" s="2265"/>
      <c r="X197" s="2266">
        <v>0.03</v>
      </c>
      <c r="Y197" s="2266"/>
      <c r="Z197" s="2266"/>
      <c r="AA197" s="2266"/>
      <c r="AB197" s="2266"/>
      <c r="AC197" s="2266"/>
      <c r="AD197" s="2266"/>
      <c r="AE197" s="2266"/>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4" t="s">
        <v>2241</v>
      </c>
      <c r="D198" s="2264"/>
      <c r="E198" s="2264"/>
      <c r="F198" s="2264"/>
      <c r="G198" s="2264"/>
      <c r="H198" s="2264"/>
      <c r="I198" s="2264"/>
      <c r="J198" s="2264"/>
      <c r="K198" s="2264"/>
      <c r="L198" s="2264"/>
      <c r="M198" s="2264"/>
      <c r="N198" s="2264"/>
      <c r="O198" s="2267">
        <f>SUM(O196:W197)</f>
        <v>0</v>
      </c>
      <c r="P198" s="2268"/>
      <c r="Q198" s="2268"/>
      <c r="R198" s="2268"/>
      <c r="S198" s="2268"/>
      <c r="T198" s="2268"/>
      <c r="U198" s="2268"/>
      <c r="V198" s="2268"/>
      <c r="W198" s="2268"/>
      <c r="X198" s="2268" t="s">
        <v>2240</v>
      </c>
      <c r="Y198" s="2268"/>
      <c r="Z198" s="2268"/>
      <c r="AA198" s="2268"/>
      <c r="AB198" s="2268"/>
      <c r="AC198" s="2268"/>
      <c r="AD198" s="2268"/>
      <c r="AE198" s="2268"/>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4" t="s">
        <v>2239</v>
      </c>
      <c r="D199" s="2274"/>
      <c r="E199" s="2274"/>
      <c r="F199" s="2274"/>
      <c r="G199" s="2274"/>
      <c r="H199" s="2274"/>
      <c r="I199" s="2274"/>
      <c r="J199" s="2274"/>
      <c r="K199" s="2274"/>
      <c r="L199" s="2274"/>
      <c r="M199" s="2274"/>
      <c r="N199" s="2274"/>
      <c r="O199" s="2274"/>
      <c r="P199" s="2274"/>
      <c r="Q199" s="2274"/>
      <c r="R199" s="2274"/>
      <c r="S199" s="2274"/>
      <c r="T199" s="2274"/>
      <c r="U199" s="2274"/>
      <c r="V199" s="2274"/>
      <c r="W199" s="2274"/>
      <c r="X199" s="2274"/>
      <c r="Y199" s="2274"/>
      <c r="Z199" s="2274"/>
      <c r="AA199" s="2274"/>
      <c r="AB199" s="2274"/>
      <c r="AC199" s="2274"/>
      <c r="AD199" s="2274"/>
      <c r="AE199" s="2274"/>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5" t="s">
        <v>2238</v>
      </c>
      <c r="D201" s="2276"/>
      <c r="E201" s="2276"/>
      <c r="F201" s="2276"/>
      <c r="G201" s="2276"/>
      <c r="H201" s="2276"/>
      <c r="I201" s="2276"/>
      <c r="J201" s="2276"/>
      <c r="K201" s="2276"/>
      <c r="L201" s="2276"/>
      <c r="M201" s="2276"/>
      <c r="N201" s="2276"/>
      <c r="O201" s="2276"/>
      <c r="P201" s="2276"/>
      <c r="Q201" s="2276"/>
      <c r="R201" s="2276"/>
      <c r="S201" s="2276"/>
      <c r="T201" s="2276"/>
      <c r="U201" s="2276"/>
      <c r="V201" s="2276"/>
      <c r="W201" s="2276"/>
      <c r="X201" s="2276"/>
      <c r="Y201" s="2276"/>
      <c r="Z201" s="2276"/>
      <c r="AA201" s="2276"/>
      <c r="AB201" s="2276"/>
      <c r="AC201" s="2276"/>
      <c r="AD201" s="2276"/>
      <c r="AE201" s="2276"/>
      <c r="AF201" s="2276"/>
      <c r="AG201" s="2276"/>
      <c r="AH201" s="2276"/>
      <c r="AI201" s="2276"/>
      <c r="AJ201" s="2276"/>
      <c r="AK201" s="2277"/>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8" t="s">
        <v>2237</v>
      </c>
      <c r="D202" s="2279"/>
      <c r="E202" s="2279"/>
      <c r="F202" s="2280"/>
      <c r="G202" s="2284" t="s">
        <v>2236</v>
      </c>
      <c r="H202" s="2279"/>
      <c r="I202" s="2279"/>
      <c r="J202" s="2279"/>
      <c r="K202" s="2279"/>
      <c r="L202" s="2279"/>
      <c r="M202" s="2279"/>
      <c r="N202" s="2279"/>
      <c r="O202" s="2280"/>
      <c r="P202" s="2286" t="s">
        <v>2235</v>
      </c>
      <c r="Q202" s="2287"/>
      <c r="R202" s="2287"/>
      <c r="S202" s="2287"/>
      <c r="T202" s="2288"/>
      <c r="U202" s="2292" t="s">
        <v>2234</v>
      </c>
      <c r="V202" s="2293"/>
      <c r="W202" s="2293"/>
      <c r="X202" s="2294"/>
      <c r="Y202" s="2292" t="s">
        <v>2233</v>
      </c>
      <c r="Z202" s="2293"/>
      <c r="AA202" s="2293"/>
      <c r="AB202" s="2294"/>
      <c r="AC202" s="2292" t="s">
        <v>2232</v>
      </c>
      <c r="AD202" s="2293"/>
      <c r="AE202" s="2293"/>
      <c r="AF202" s="2294"/>
      <c r="AG202" s="2284" t="s">
        <v>2231</v>
      </c>
      <c r="AH202" s="2279"/>
      <c r="AI202" s="2279"/>
      <c r="AJ202" s="2279"/>
      <c r="AK202" s="2298"/>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1"/>
      <c r="D203" s="2282"/>
      <c r="E203" s="2282"/>
      <c r="F203" s="2283"/>
      <c r="G203" s="2285"/>
      <c r="H203" s="2282"/>
      <c r="I203" s="2282"/>
      <c r="J203" s="2282"/>
      <c r="K203" s="2282"/>
      <c r="L203" s="2282"/>
      <c r="M203" s="2282"/>
      <c r="N203" s="2282"/>
      <c r="O203" s="2283"/>
      <c r="P203" s="2289"/>
      <c r="Q203" s="2290"/>
      <c r="R203" s="2290"/>
      <c r="S203" s="2290"/>
      <c r="T203" s="2291"/>
      <c r="U203" s="2295"/>
      <c r="V203" s="2296"/>
      <c r="W203" s="2296"/>
      <c r="X203" s="2297"/>
      <c r="Y203" s="2295"/>
      <c r="Z203" s="2296"/>
      <c r="AA203" s="2296"/>
      <c r="AB203" s="2297"/>
      <c r="AC203" s="2295"/>
      <c r="AD203" s="2296"/>
      <c r="AE203" s="2296"/>
      <c r="AF203" s="2297"/>
      <c r="AG203" s="2285"/>
      <c r="AH203" s="2282"/>
      <c r="AI203" s="2282"/>
      <c r="AJ203" s="2282"/>
      <c r="AK203" s="2299"/>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3">
        <v>1</v>
      </c>
      <c r="D204" s="2304"/>
      <c r="E204" s="2304"/>
      <c r="F204" s="2304"/>
      <c r="G204" s="2305" t="s">
        <v>1853</v>
      </c>
      <c r="H204" s="2305"/>
      <c r="I204" s="2305"/>
      <c r="J204" s="2305"/>
      <c r="K204" s="2305"/>
      <c r="L204" s="2305"/>
      <c r="M204" s="2305"/>
      <c r="N204" s="2305"/>
      <c r="O204" s="2305"/>
      <c r="P204" s="2306"/>
      <c r="Q204" s="2309"/>
      <c r="R204" s="2309"/>
      <c r="S204" s="2309"/>
      <c r="T204" s="2309"/>
      <c r="U204" s="2307" t="s">
        <v>1853</v>
      </c>
      <c r="V204" s="2307"/>
      <c r="W204" s="2307"/>
      <c r="X204" s="2307"/>
      <c r="Y204" s="2307" t="s">
        <v>1853</v>
      </c>
      <c r="Z204" s="2307"/>
      <c r="AA204" s="2307"/>
      <c r="AB204" s="2307"/>
      <c r="AC204" s="2308" t="s">
        <v>1853</v>
      </c>
      <c r="AD204" s="2308"/>
      <c r="AE204" s="2308"/>
      <c r="AF204" s="2308"/>
      <c r="AG204" s="2300"/>
      <c r="AH204" s="2301"/>
      <c r="AI204" s="2301"/>
      <c r="AJ204" s="2301"/>
      <c r="AK204" s="2302"/>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3">
        <v>2</v>
      </c>
      <c r="D205" s="2304"/>
      <c r="E205" s="2304"/>
      <c r="F205" s="2304"/>
      <c r="G205" s="2305" t="s">
        <v>1853</v>
      </c>
      <c r="H205" s="2305"/>
      <c r="I205" s="2305"/>
      <c r="J205" s="2305"/>
      <c r="K205" s="2305"/>
      <c r="L205" s="2305"/>
      <c r="M205" s="2305"/>
      <c r="N205" s="2305"/>
      <c r="O205" s="2305"/>
      <c r="P205" s="2306"/>
      <c r="Q205" s="2306"/>
      <c r="R205" s="2306"/>
      <c r="S205" s="2306"/>
      <c r="T205" s="2306"/>
      <c r="U205" s="2307" t="s">
        <v>1853</v>
      </c>
      <c r="V205" s="2307"/>
      <c r="W205" s="2307"/>
      <c r="X205" s="2307"/>
      <c r="Y205" s="2307" t="s">
        <v>1853</v>
      </c>
      <c r="Z205" s="2307"/>
      <c r="AA205" s="2307"/>
      <c r="AB205" s="2307"/>
      <c r="AC205" s="2308" t="s">
        <v>1853</v>
      </c>
      <c r="AD205" s="2308"/>
      <c r="AE205" s="2308"/>
      <c r="AF205" s="2308"/>
      <c r="AG205" s="2300"/>
      <c r="AH205" s="2301"/>
      <c r="AI205" s="2301"/>
      <c r="AJ205" s="2301"/>
      <c r="AK205" s="2302"/>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3">
        <v>3</v>
      </c>
      <c r="D206" s="2304"/>
      <c r="E206" s="2304"/>
      <c r="F206" s="2304"/>
      <c r="G206" s="2305" t="s">
        <v>1853</v>
      </c>
      <c r="H206" s="2305"/>
      <c r="I206" s="2305"/>
      <c r="J206" s="2305"/>
      <c r="K206" s="2305"/>
      <c r="L206" s="2305"/>
      <c r="M206" s="2305"/>
      <c r="N206" s="2305"/>
      <c r="O206" s="2305"/>
      <c r="P206" s="2306"/>
      <c r="Q206" s="2306"/>
      <c r="R206" s="2306"/>
      <c r="S206" s="2306"/>
      <c r="T206" s="2306"/>
      <c r="U206" s="2307" t="s">
        <v>1853</v>
      </c>
      <c r="V206" s="2307"/>
      <c r="W206" s="2307"/>
      <c r="X206" s="2307"/>
      <c r="Y206" s="2307" t="s">
        <v>1853</v>
      </c>
      <c r="Z206" s="2307"/>
      <c r="AA206" s="2307"/>
      <c r="AB206" s="2307"/>
      <c r="AC206" s="2308" t="s">
        <v>1853</v>
      </c>
      <c r="AD206" s="2308"/>
      <c r="AE206" s="2308"/>
      <c r="AF206" s="2308"/>
      <c r="AG206" s="2300"/>
      <c r="AH206" s="2301"/>
      <c r="AI206" s="2301"/>
      <c r="AJ206" s="2301"/>
      <c r="AK206" s="2302"/>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3">
        <v>4</v>
      </c>
      <c r="D207" s="2304"/>
      <c r="E207" s="2304"/>
      <c r="F207" s="2304"/>
      <c r="G207" s="2305" t="s">
        <v>1853</v>
      </c>
      <c r="H207" s="2305"/>
      <c r="I207" s="2305"/>
      <c r="J207" s="2305"/>
      <c r="K207" s="2305"/>
      <c r="L207" s="2305"/>
      <c r="M207" s="2305"/>
      <c r="N207" s="2305"/>
      <c r="O207" s="2305"/>
      <c r="P207" s="2306"/>
      <c r="Q207" s="2306"/>
      <c r="R207" s="2306"/>
      <c r="S207" s="2306"/>
      <c r="T207" s="2306"/>
      <c r="U207" s="2307" t="s">
        <v>1853</v>
      </c>
      <c r="V207" s="2307"/>
      <c r="W207" s="2307"/>
      <c r="X207" s="2307"/>
      <c r="Y207" s="2307" t="s">
        <v>1853</v>
      </c>
      <c r="Z207" s="2307"/>
      <c r="AA207" s="2307"/>
      <c r="AB207" s="2307"/>
      <c r="AC207" s="2308" t="s">
        <v>1853</v>
      </c>
      <c r="AD207" s="2308"/>
      <c r="AE207" s="2308"/>
      <c r="AF207" s="2308"/>
      <c r="AG207" s="2300"/>
      <c r="AH207" s="2301"/>
      <c r="AI207" s="2301"/>
      <c r="AJ207" s="2301"/>
      <c r="AK207" s="2302"/>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3">
        <v>5</v>
      </c>
      <c r="D208" s="2304"/>
      <c r="E208" s="2304"/>
      <c r="F208" s="2304"/>
      <c r="G208" s="2305" t="s">
        <v>1853</v>
      </c>
      <c r="H208" s="2305"/>
      <c r="I208" s="2305"/>
      <c r="J208" s="2305"/>
      <c r="K208" s="2305"/>
      <c r="L208" s="2305"/>
      <c r="M208" s="2305"/>
      <c r="N208" s="2305"/>
      <c r="O208" s="2305"/>
      <c r="P208" s="2306"/>
      <c r="Q208" s="2306"/>
      <c r="R208" s="2306"/>
      <c r="S208" s="2306"/>
      <c r="T208" s="2306"/>
      <c r="U208" s="2307" t="s">
        <v>1853</v>
      </c>
      <c r="V208" s="2307"/>
      <c r="W208" s="2307"/>
      <c r="X208" s="2307"/>
      <c r="Y208" s="2307" t="s">
        <v>1853</v>
      </c>
      <c r="Z208" s="2307"/>
      <c r="AA208" s="2307"/>
      <c r="AB208" s="2307"/>
      <c r="AC208" s="2308" t="s">
        <v>1853</v>
      </c>
      <c r="AD208" s="2308"/>
      <c r="AE208" s="2308"/>
      <c r="AF208" s="2308"/>
      <c r="AG208" s="2300"/>
      <c r="AH208" s="2301"/>
      <c r="AI208" s="2301"/>
      <c r="AJ208" s="2301"/>
      <c r="AK208" s="2302"/>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3">
        <v>6</v>
      </c>
      <c r="D209" s="2304"/>
      <c r="E209" s="2304"/>
      <c r="F209" s="2304"/>
      <c r="G209" s="2305" t="s">
        <v>1853</v>
      </c>
      <c r="H209" s="2305"/>
      <c r="I209" s="2305"/>
      <c r="J209" s="2305"/>
      <c r="K209" s="2305"/>
      <c r="L209" s="2305"/>
      <c r="M209" s="2305"/>
      <c r="N209" s="2305"/>
      <c r="O209" s="2305"/>
      <c r="P209" s="2306"/>
      <c r="Q209" s="2306"/>
      <c r="R209" s="2306"/>
      <c r="S209" s="2306"/>
      <c r="T209" s="2306"/>
      <c r="U209" s="2307"/>
      <c r="V209" s="2307"/>
      <c r="W209" s="2307"/>
      <c r="X209" s="2307"/>
      <c r="Y209" s="2307"/>
      <c r="Z209" s="2307"/>
      <c r="AA209" s="2307"/>
      <c r="AB209" s="2307"/>
      <c r="AC209" s="2308" t="s">
        <v>1853</v>
      </c>
      <c r="AD209" s="2308"/>
      <c r="AE209" s="2308"/>
      <c r="AF209" s="2308"/>
      <c r="AG209" s="2300"/>
      <c r="AH209" s="2301"/>
      <c r="AI209" s="2301"/>
      <c r="AJ209" s="2301"/>
      <c r="AK209" s="2302"/>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3">
        <v>7</v>
      </c>
      <c r="D210" s="2304"/>
      <c r="E210" s="2304"/>
      <c r="F210" s="2304"/>
      <c r="G210" s="2305"/>
      <c r="H210" s="2305"/>
      <c r="I210" s="2305"/>
      <c r="J210" s="2305"/>
      <c r="K210" s="2305"/>
      <c r="L210" s="2305"/>
      <c r="M210" s="2305"/>
      <c r="N210" s="2305"/>
      <c r="O210" s="2305"/>
      <c r="P210" s="2306"/>
      <c r="Q210" s="2306"/>
      <c r="R210" s="2306"/>
      <c r="S210" s="2306"/>
      <c r="T210" s="2306"/>
      <c r="U210" s="2307"/>
      <c r="V210" s="2307"/>
      <c r="W210" s="2307"/>
      <c r="X210" s="2307"/>
      <c r="Y210" s="2307"/>
      <c r="Z210" s="2307"/>
      <c r="AA210" s="2307"/>
      <c r="AB210" s="2307"/>
      <c r="AC210" s="2308" t="s">
        <v>1853</v>
      </c>
      <c r="AD210" s="2308"/>
      <c r="AE210" s="2308"/>
      <c r="AF210" s="2308"/>
      <c r="AG210" s="2300"/>
      <c r="AH210" s="2301"/>
      <c r="AI210" s="2301"/>
      <c r="AJ210" s="2301"/>
      <c r="AK210" s="2302"/>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2" t="s">
        <v>2230</v>
      </c>
      <c r="D211" s="2323"/>
      <c r="E211" s="2323"/>
      <c r="F211" s="2323"/>
      <c r="G211" s="2323"/>
      <c r="H211" s="2323"/>
      <c r="I211" s="2323"/>
      <c r="J211" s="2323"/>
      <c r="K211" s="2323"/>
      <c r="L211" s="2323"/>
      <c r="M211" s="2323"/>
      <c r="N211" s="2323"/>
      <c r="O211" s="2323"/>
      <c r="P211" s="2324"/>
      <c r="Q211" s="2324"/>
      <c r="R211" s="2324"/>
      <c r="S211" s="2324"/>
      <c r="T211" s="2324"/>
      <c r="U211" s="2325">
        <f>-SUM(U204:U210)</f>
        <v>0</v>
      </c>
      <c r="V211" s="2325"/>
      <c r="W211" s="2325"/>
      <c r="X211" s="2325"/>
      <c r="Y211" s="2325">
        <f>-SUM(Y204:Y210)</f>
        <v>0</v>
      </c>
      <c r="Z211" s="2325"/>
      <c r="AA211" s="2325"/>
      <c r="AB211" s="2325"/>
      <c r="AC211" s="2326">
        <f>-SUM(AC204:AC210)</f>
        <v>0</v>
      </c>
      <c r="AD211" s="2326"/>
      <c r="AE211" s="2326"/>
      <c r="AF211" s="2326"/>
      <c r="AG211" s="2327"/>
      <c r="AH211" s="2328"/>
      <c r="AI211" s="2328"/>
      <c r="AJ211" s="2328"/>
      <c r="AK211" s="2329"/>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0" t="s">
        <v>2228</v>
      </c>
      <c r="C216" s="2311"/>
      <c r="D216" s="2311"/>
      <c r="E216" s="2311"/>
      <c r="F216" s="2311"/>
      <c r="G216" s="2311"/>
      <c r="H216" s="2311"/>
      <c r="I216" s="2311"/>
      <c r="J216" s="2311"/>
      <c r="K216" s="2311"/>
      <c r="L216" s="2311"/>
      <c r="M216" s="2311"/>
      <c r="N216" s="2311"/>
      <c r="O216" s="2311"/>
      <c r="P216" s="2311"/>
      <c r="Q216" s="2311"/>
      <c r="R216" s="2311"/>
      <c r="S216" s="2311"/>
      <c r="T216" s="2311"/>
      <c r="U216" s="2311"/>
      <c r="V216" s="2311"/>
      <c r="W216" s="2311"/>
      <c r="X216" s="2311"/>
      <c r="Y216" s="2311"/>
      <c r="Z216" s="2311"/>
      <c r="AA216" s="2311"/>
      <c r="AB216" s="2311"/>
      <c r="AC216" s="2311"/>
      <c r="AD216" s="2311"/>
      <c r="AE216" s="2311"/>
      <c r="AF216" s="2311"/>
      <c r="AG216" s="2311"/>
      <c r="AH216" s="2311"/>
      <c r="AI216" s="2311"/>
      <c r="AJ216" s="2311"/>
      <c r="AK216" s="2311"/>
      <c r="AL216" s="2311"/>
      <c r="AM216" s="2311"/>
      <c r="AN216" s="2311"/>
      <c r="AO216" s="2311"/>
      <c r="AP216" s="2311"/>
      <c r="AQ216" s="2311"/>
      <c r="AR216" s="2311"/>
      <c r="AS216" s="2311"/>
      <c r="AT216" s="2311"/>
      <c r="AU216" s="2311"/>
      <c r="AV216" s="2311"/>
      <c r="AW216" s="2311"/>
      <c r="AX216" s="2311"/>
      <c r="AY216" s="2311"/>
      <c r="AZ216" s="2311"/>
      <c r="BA216" s="2311"/>
      <c r="BB216" s="2311"/>
      <c r="BC216" s="2311"/>
      <c r="BD216" s="2312"/>
      <c r="BE216" s="1209"/>
    </row>
    <row r="217" spans="1:57" ht="15.75" customHeight="1">
      <c r="A217" s="1202"/>
      <c r="B217" s="2313"/>
      <c r="C217" s="2314"/>
      <c r="D217" s="2314"/>
      <c r="E217" s="2314"/>
      <c r="F217" s="2314"/>
      <c r="G217" s="2314"/>
      <c r="H217" s="2314"/>
      <c r="I217" s="2314"/>
      <c r="J217" s="2314"/>
      <c r="K217" s="2314"/>
      <c r="L217" s="2314"/>
      <c r="M217" s="2314"/>
      <c r="N217" s="2314"/>
      <c r="O217" s="2314"/>
      <c r="P217" s="2314"/>
      <c r="Q217" s="2314"/>
      <c r="R217" s="2314"/>
      <c r="S217" s="2314"/>
      <c r="T217" s="2314"/>
      <c r="U217" s="2314"/>
      <c r="V217" s="2314"/>
      <c r="W217" s="2314"/>
      <c r="X217" s="2314"/>
      <c r="Y217" s="2314"/>
      <c r="Z217" s="2314"/>
      <c r="AA217" s="2314"/>
      <c r="AB217" s="2314"/>
      <c r="AC217" s="2314"/>
      <c r="AD217" s="2314"/>
      <c r="AE217" s="2314"/>
      <c r="AF217" s="2314"/>
      <c r="AG217" s="2314"/>
      <c r="AH217" s="2314"/>
      <c r="AI217" s="2314"/>
      <c r="AJ217" s="2314"/>
      <c r="AK217" s="2314"/>
      <c r="AL217" s="2314"/>
      <c r="AM217" s="2314"/>
      <c r="AN217" s="2314"/>
      <c r="AO217" s="2314"/>
      <c r="AP217" s="2314"/>
      <c r="AQ217" s="2314"/>
      <c r="AR217" s="2314"/>
      <c r="AS217" s="2314"/>
      <c r="AT217" s="2314"/>
      <c r="AU217" s="2314"/>
      <c r="AV217" s="2314"/>
      <c r="AW217" s="2314"/>
      <c r="AX217" s="2314"/>
      <c r="AY217" s="2314"/>
      <c r="AZ217" s="2314"/>
      <c r="BA217" s="2314"/>
      <c r="BB217" s="2314"/>
      <c r="BC217" s="2314"/>
      <c r="BD217" s="2315"/>
      <c r="BE217" s="1209"/>
    </row>
    <row r="218" spans="1:57" ht="15.75" customHeight="1">
      <c r="A218" s="1202"/>
      <c r="B218" s="2316" t="s">
        <v>2227</v>
      </c>
      <c r="C218" s="2317"/>
      <c r="D218" s="2317"/>
      <c r="E218" s="2317"/>
      <c r="F218" s="2317"/>
      <c r="G218" s="2317"/>
      <c r="H218" s="2317"/>
      <c r="I218" s="2317"/>
      <c r="J218" s="2317"/>
      <c r="K218" s="2317"/>
      <c r="L218" s="2317"/>
      <c r="M218" s="2317"/>
      <c r="N218" s="2317"/>
      <c r="O218" s="2317"/>
      <c r="P218" s="2317"/>
      <c r="Q218" s="2317"/>
      <c r="R218" s="2317"/>
      <c r="S218" s="2317"/>
      <c r="T218" s="2317"/>
      <c r="U218" s="2317"/>
      <c r="V218" s="2317"/>
      <c r="W218" s="2317"/>
      <c r="X218" s="2317"/>
      <c r="Y218" s="2317"/>
      <c r="Z218" s="2317"/>
      <c r="AA218" s="2317"/>
      <c r="AB218" s="2317"/>
      <c r="AC218" s="2317"/>
      <c r="AD218" s="2317"/>
      <c r="AE218" s="2317"/>
      <c r="AF218" s="2317"/>
      <c r="AG218" s="2317"/>
      <c r="AH218" s="2317"/>
      <c r="AI218" s="2317"/>
      <c r="AJ218" s="2317"/>
      <c r="AK218" s="2317"/>
      <c r="AL218" s="2317"/>
      <c r="AM218" s="2317"/>
      <c r="AN218" s="2317"/>
      <c r="AO218" s="2317"/>
      <c r="AP218" s="2317"/>
      <c r="AQ218" s="2317"/>
      <c r="AR218" s="2317"/>
      <c r="AS218" s="2317"/>
      <c r="AT218" s="2317"/>
      <c r="AU218" s="2317"/>
      <c r="AV218" s="2317"/>
      <c r="AW218" s="2317"/>
      <c r="AX218" s="2317"/>
      <c r="AY218" s="2317"/>
      <c r="AZ218" s="2317"/>
      <c r="BA218" s="2317"/>
      <c r="BB218" s="2317"/>
      <c r="BC218" s="2317"/>
      <c r="BD218" s="2318"/>
      <c r="BE218" s="1209"/>
    </row>
    <row r="219" spans="1:57" ht="15.75" customHeight="1">
      <c r="A219" s="1202"/>
      <c r="B219" s="2316" t="s">
        <v>2226</v>
      </c>
      <c r="C219" s="2317"/>
      <c r="D219" s="2317"/>
      <c r="E219" s="2317"/>
      <c r="F219" s="2317"/>
      <c r="G219" s="2317"/>
      <c r="H219" s="2317"/>
      <c r="I219" s="2317"/>
      <c r="J219" s="2317"/>
      <c r="K219" s="2317"/>
      <c r="L219" s="2317"/>
      <c r="M219" s="2317"/>
      <c r="N219" s="2317"/>
      <c r="O219" s="2317"/>
      <c r="P219" s="2317"/>
      <c r="Q219" s="2317"/>
      <c r="R219" s="2317"/>
      <c r="S219" s="2317"/>
      <c r="T219" s="2317"/>
      <c r="U219" s="2317"/>
      <c r="V219" s="2317"/>
      <c r="W219" s="2317"/>
      <c r="X219" s="2317"/>
      <c r="Y219" s="2317"/>
      <c r="Z219" s="2317"/>
      <c r="AA219" s="2317"/>
      <c r="AB219" s="2317"/>
      <c r="AC219" s="2317"/>
      <c r="AD219" s="2317"/>
      <c r="AE219" s="2317"/>
      <c r="AF219" s="2317"/>
      <c r="AG219" s="2317"/>
      <c r="AH219" s="2317"/>
      <c r="AI219" s="2317"/>
      <c r="AJ219" s="2317"/>
      <c r="AK219" s="2317"/>
      <c r="AL219" s="2317"/>
      <c r="AM219" s="2317"/>
      <c r="AN219" s="2317"/>
      <c r="AO219" s="2317"/>
      <c r="AP219" s="2317"/>
      <c r="AQ219" s="2317"/>
      <c r="AR219" s="2317"/>
      <c r="AS219" s="2317"/>
      <c r="AT219" s="2317"/>
      <c r="AU219" s="2317"/>
      <c r="AV219" s="2317"/>
      <c r="AW219" s="2317"/>
      <c r="AX219" s="2317"/>
      <c r="AY219" s="2317"/>
      <c r="AZ219" s="2317"/>
      <c r="BA219" s="2317"/>
      <c r="BB219" s="2317"/>
      <c r="BC219" s="2317"/>
      <c r="BD219" s="2318"/>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9" t="s">
        <v>2225</v>
      </c>
      <c r="C221" s="2209"/>
      <c r="D221" s="2209"/>
      <c r="E221" s="2209"/>
      <c r="F221" s="2209"/>
      <c r="G221" s="2209"/>
      <c r="H221" s="2209"/>
      <c r="I221" s="2209"/>
      <c r="J221" s="2209"/>
      <c r="K221" s="2209"/>
      <c r="L221" s="2209"/>
      <c r="M221" s="2209"/>
      <c r="N221" s="2209"/>
      <c r="O221" s="2209"/>
      <c r="P221" s="2209"/>
      <c r="Q221" s="2209"/>
      <c r="R221" s="2209"/>
      <c r="S221" s="2209"/>
      <c r="T221" s="2209"/>
      <c r="U221" s="2209"/>
      <c r="V221" s="2209"/>
      <c r="W221" s="2209"/>
      <c r="X221" s="2209"/>
      <c r="Y221" s="2209"/>
      <c r="Z221" s="2209"/>
      <c r="AA221" s="2209"/>
      <c r="AB221" s="2209"/>
      <c r="AC221" s="2209"/>
      <c r="AD221" s="2209"/>
      <c r="AE221" s="2209"/>
      <c r="AF221" s="2209"/>
      <c r="AG221" s="2209"/>
      <c r="AH221" s="2209"/>
      <c r="AI221" s="2209"/>
      <c r="AJ221" s="2209"/>
      <c r="AK221" s="2209"/>
      <c r="AL221" s="2209"/>
      <c r="AM221" s="2209"/>
      <c r="AN221" s="2209"/>
      <c r="AO221" s="2209"/>
      <c r="AP221" s="2209"/>
      <c r="AQ221" s="2209"/>
      <c r="AR221" s="2209"/>
      <c r="AS221" s="2209"/>
      <c r="AT221" s="2209"/>
      <c r="AU221" s="2209"/>
      <c r="AV221" s="2209"/>
      <c r="AW221" s="2209"/>
      <c r="AX221" s="2209"/>
      <c r="AY221" s="2209"/>
      <c r="AZ221" s="2209"/>
      <c r="BA221" s="2209"/>
      <c r="BB221" s="2209"/>
      <c r="BC221" s="2209"/>
      <c r="BD221" s="2320"/>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1" t="s">
        <v>2223</v>
      </c>
      <c r="I225" s="2321"/>
      <c r="J225" s="2321"/>
      <c r="K225" s="2321"/>
      <c r="L225" s="2321"/>
      <c r="M225" s="2321"/>
      <c r="N225" s="2321"/>
      <c r="O225" s="2321"/>
      <c r="P225" s="2321"/>
      <c r="Q225" s="2321"/>
      <c r="R225" s="2321"/>
      <c r="S225" s="2321"/>
      <c r="T225" s="2321"/>
      <c r="U225" s="2321"/>
      <c r="V225" s="2321"/>
      <c r="W225" s="2321"/>
      <c r="X225" s="2321"/>
      <c r="Y225" s="2321"/>
      <c r="Z225" s="2321"/>
      <c r="AA225" s="2321"/>
      <c r="AB225" s="2321"/>
      <c r="AC225" s="2321"/>
      <c r="AD225" s="2321"/>
      <c r="AE225" s="2321"/>
      <c r="AF225" s="2321"/>
      <c r="AG225" s="2321"/>
      <c r="AH225" s="2321"/>
      <c r="AI225" s="2321"/>
      <c r="AJ225" s="2321"/>
      <c r="AK225" s="2321"/>
      <c r="AL225" s="2321"/>
      <c r="AM225" s="2321"/>
      <c r="AN225" s="2321"/>
      <c r="AO225" s="2321"/>
      <c r="AP225" s="2321"/>
      <c r="AQ225" s="2321"/>
      <c r="AR225" s="2321"/>
      <c r="AS225" s="2321"/>
      <c r="AT225" s="2321"/>
      <c r="AU225" s="2321"/>
      <c r="AV225" s="2321"/>
      <c r="AW225" s="2321"/>
      <c r="AX225" s="2321"/>
      <c r="AY225" s="2321"/>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9" t="s">
        <v>2222</v>
      </c>
      <c r="I227" s="2339"/>
      <c r="J227" s="2339"/>
      <c r="K227" s="2339"/>
      <c r="L227" s="2339"/>
      <c r="M227" s="2339"/>
      <c r="N227" s="2339"/>
      <c r="O227" s="2339"/>
      <c r="P227" s="2339"/>
      <c r="Q227" s="2339"/>
      <c r="R227" s="2339"/>
      <c r="S227" s="2339"/>
      <c r="T227" s="2339"/>
      <c r="U227" s="2339"/>
      <c r="V227" s="2339"/>
      <c r="W227" s="2339"/>
      <c r="X227" s="2339"/>
      <c r="Y227" s="2339"/>
      <c r="Z227" s="2339"/>
      <c r="AA227" s="2339"/>
      <c r="AB227" s="2339"/>
      <c r="AC227" s="2339"/>
      <c r="AD227" s="2339"/>
      <c r="AE227" s="2339"/>
      <c r="AF227" s="2339"/>
      <c r="AG227" s="2339"/>
      <c r="AH227" s="2339"/>
      <c r="AI227" s="2339"/>
      <c r="AJ227" s="2339"/>
      <c r="AK227" s="2339"/>
      <c r="AL227" s="2339"/>
      <c r="AM227" s="2339"/>
      <c r="AN227" s="2339"/>
      <c r="AO227" s="2339"/>
      <c r="AP227" s="2339"/>
      <c r="AQ227" s="2339"/>
      <c r="AR227" s="2339"/>
      <c r="AS227" s="2339"/>
      <c r="AT227" s="2339"/>
      <c r="AU227" s="2339"/>
      <c r="AV227" s="2339"/>
      <c r="AW227" s="2339"/>
      <c r="AX227" s="2339"/>
      <c r="AY227" s="2339"/>
      <c r="AZ227" s="2339"/>
      <c r="BA227" s="1202"/>
      <c r="BB227" s="1202"/>
      <c r="BC227" s="1202"/>
      <c r="BD227" s="1209"/>
      <c r="BE227" s="1209"/>
    </row>
    <row r="228" spans="1:57" ht="15.75" customHeight="1">
      <c r="A228" s="1202"/>
      <c r="B228" s="1201"/>
      <c r="C228" s="1202"/>
      <c r="D228" s="1202"/>
      <c r="E228" s="1202"/>
      <c r="F228" s="1202"/>
      <c r="G228" s="1202"/>
      <c r="H228" s="2339"/>
      <c r="I228" s="2339"/>
      <c r="J228" s="2339"/>
      <c r="K228" s="2339"/>
      <c r="L228" s="2339"/>
      <c r="M228" s="2339"/>
      <c r="N228" s="2339"/>
      <c r="O228" s="2339"/>
      <c r="P228" s="2339"/>
      <c r="Q228" s="2339"/>
      <c r="R228" s="2339"/>
      <c r="S228" s="2339"/>
      <c r="T228" s="2339"/>
      <c r="U228" s="2339"/>
      <c r="V228" s="2339"/>
      <c r="W228" s="2339"/>
      <c r="X228" s="2339"/>
      <c r="Y228" s="2339"/>
      <c r="Z228" s="2339"/>
      <c r="AA228" s="2339"/>
      <c r="AB228" s="2339"/>
      <c r="AC228" s="2339"/>
      <c r="AD228" s="2339"/>
      <c r="AE228" s="2339"/>
      <c r="AF228" s="2339"/>
      <c r="AG228" s="2339"/>
      <c r="AH228" s="2339"/>
      <c r="AI228" s="2339"/>
      <c r="AJ228" s="2339"/>
      <c r="AK228" s="2339"/>
      <c r="AL228" s="2339"/>
      <c r="AM228" s="2339"/>
      <c r="AN228" s="2339"/>
      <c r="AO228" s="2339"/>
      <c r="AP228" s="2339"/>
      <c r="AQ228" s="2339"/>
      <c r="AR228" s="2339"/>
      <c r="AS228" s="2339"/>
      <c r="AT228" s="2339"/>
      <c r="AU228" s="2339"/>
      <c r="AV228" s="2339"/>
      <c r="AW228" s="2339"/>
      <c r="AX228" s="2339"/>
      <c r="AY228" s="2339"/>
      <c r="AZ228" s="2339"/>
      <c r="BA228" s="1202"/>
      <c r="BB228" s="1202"/>
      <c r="BC228" s="1202"/>
      <c r="BD228" s="1209"/>
      <c r="BE228" s="1209"/>
    </row>
    <row r="229" spans="1:57" ht="15.75" customHeight="1">
      <c r="A229" s="1202"/>
      <c r="B229" s="1201"/>
      <c r="C229" s="1202"/>
      <c r="D229" s="1202"/>
      <c r="E229" s="1202"/>
      <c r="F229" s="1202"/>
      <c r="G229" s="1202"/>
      <c r="H229" s="2339"/>
      <c r="I229" s="2339"/>
      <c r="J229" s="2339"/>
      <c r="K229" s="2339"/>
      <c r="L229" s="2339"/>
      <c r="M229" s="2339"/>
      <c r="N229" s="2339"/>
      <c r="O229" s="2339"/>
      <c r="P229" s="2339"/>
      <c r="Q229" s="2339"/>
      <c r="R229" s="2339"/>
      <c r="S229" s="2339"/>
      <c r="T229" s="2339"/>
      <c r="U229" s="2339"/>
      <c r="V229" s="2339"/>
      <c r="W229" s="2339"/>
      <c r="X229" s="2339"/>
      <c r="Y229" s="2339"/>
      <c r="Z229" s="2339"/>
      <c r="AA229" s="2339"/>
      <c r="AB229" s="2339"/>
      <c r="AC229" s="2339"/>
      <c r="AD229" s="2339"/>
      <c r="AE229" s="2339"/>
      <c r="AF229" s="2339"/>
      <c r="AG229" s="2339"/>
      <c r="AH229" s="2339"/>
      <c r="AI229" s="2339"/>
      <c r="AJ229" s="2339"/>
      <c r="AK229" s="2339"/>
      <c r="AL229" s="2339"/>
      <c r="AM229" s="2339"/>
      <c r="AN229" s="2339"/>
      <c r="AO229" s="2339"/>
      <c r="AP229" s="2339"/>
      <c r="AQ229" s="2339"/>
      <c r="AR229" s="2339"/>
      <c r="AS229" s="2339"/>
      <c r="AT229" s="2339"/>
      <c r="AU229" s="2339"/>
      <c r="AV229" s="2339"/>
      <c r="AW229" s="2339"/>
      <c r="AX229" s="2339"/>
      <c r="AY229" s="2339"/>
      <c r="AZ229" s="2339"/>
      <c r="BA229" s="1202"/>
      <c r="BB229" s="1202"/>
      <c r="BC229" s="1202"/>
      <c r="BD229" s="1209"/>
      <c r="BE229" s="1209"/>
    </row>
    <row r="230" spans="1:57" ht="15.75" customHeight="1">
      <c r="A230" s="1202"/>
      <c r="B230" s="1201"/>
      <c r="C230" s="1202"/>
      <c r="D230" s="1202"/>
      <c r="E230" s="1202"/>
      <c r="F230" s="1202"/>
      <c r="G230" s="1202"/>
      <c r="H230" s="2339"/>
      <c r="I230" s="2339"/>
      <c r="J230" s="2339"/>
      <c r="K230" s="2339"/>
      <c r="L230" s="2339"/>
      <c r="M230" s="2339"/>
      <c r="N230" s="2339"/>
      <c r="O230" s="2339"/>
      <c r="P230" s="2339"/>
      <c r="Q230" s="2339"/>
      <c r="R230" s="2339"/>
      <c r="S230" s="2339"/>
      <c r="T230" s="2339"/>
      <c r="U230" s="2339"/>
      <c r="V230" s="2339"/>
      <c r="W230" s="2339"/>
      <c r="X230" s="2339"/>
      <c r="Y230" s="2339"/>
      <c r="Z230" s="2339"/>
      <c r="AA230" s="2339"/>
      <c r="AB230" s="2339"/>
      <c r="AC230" s="2339"/>
      <c r="AD230" s="2339"/>
      <c r="AE230" s="2339"/>
      <c r="AF230" s="2339"/>
      <c r="AG230" s="2339"/>
      <c r="AH230" s="2339"/>
      <c r="AI230" s="2339"/>
      <c r="AJ230" s="2339"/>
      <c r="AK230" s="2339"/>
      <c r="AL230" s="2339"/>
      <c r="AM230" s="2339"/>
      <c r="AN230" s="2339"/>
      <c r="AO230" s="2339"/>
      <c r="AP230" s="2339"/>
      <c r="AQ230" s="2339"/>
      <c r="AR230" s="2339"/>
      <c r="AS230" s="2339"/>
      <c r="AT230" s="2339"/>
      <c r="AU230" s="2339"/>
      <c r="AV230" s="2339"/>
      <c r="AW230" s="2339"/>
      <c r="AX230" s="2339"/>
      <c r="AY230" s="2339"/>
      <c r="AZ230" s="233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0" t="s">
        <v>2221</v>
      </c>
      <c r="I232" s="2340"/>
      <c r="J232" s="2340"/>
      <c r="K232" s="2340"/>
      <c r="L232" s="2340"/>
      <c r="M232" s="2340"/>
      <c r="N232" s="2340"/>
      <c r="O232" s="2340"/>
      <c r="P232" s="2340"/>
      <c r="Q232" s="2340"/>
      <c r="R232" s="2340"/>
      <c r="S232" s="2340"/>
      <c r="T232" s="2340"/>
      <c r="U232" s="2340"/>
      <c r="V232" s="2340"/>
      <c r="W232" s="2340"/>
      <c r="X232" s="2340"/>
      <c r="Y232" s="2340"/>
      <c r="Z232" s="2340"/>
      <c r="AA232" s="2340"/>
      <c r="AB232" s="2340"/>
      <c r="AC232" s="2340"/>
      <c r="AD232" s="2340"/>
      <c r="AE232" s="2340"/>
      <c r="AF232" s="2340"/>
      <c r="AG232" s="2340"/>
      <c r="AH232" s="2340"/>
      <c r="AI232" s="2340"/>
      <c r="AJ232" s="2340"/>
      <c r="AK232" s="2340"/>
      <c r="AL232" s="2340"/>
      <c r="AM232" s="2340"/>
      <c r="AN232" s="2340"/>
      <c r="AO232" s="2340"/>
      <c r="AP232" s="2340"/>
      <c r="AQ232" s="2340"/>
      <c r="AR232" s="2340"/>
      <c r="AS232" s="2340"/>
      <c r="AT232" s="2340"/>
      <c r="AU232" s="2340"/>
      <c r="AV232" s="234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0" t="s">
        <v>2220</v>
      </c>
      <c r="I234" s="2330"/>
      <c r="J234" s="2330"/>
      <c r="K234" s="2330"/>
      <c r="L234" s="1253"/>
      <c r="M234" s="1253"/>
      <c r="N234" s="1253"/>
      <c r="O234" s="1253"/>
      <c r="P234" s="1253"/>
      <c r="Q234" s="1253"/>
      <c r="R234" s="1253"/>
      <c r="S234" s="2341"/>
      <c r="T234" s="2342"/>
      <c r="U234" s="2342"/>
      <c r="V234" s="2342"/>
      <c r="W234" s="2342"/>
      <c r="X234" s="2342"/>
      <c r="Y234" s="2342"/>
      <c r="Z234" s="2342"/>
      <c r="AA234" s="2342"/>
      <c r="AB234" s="2342"/>
      <c r="AC234" s="2342"/>
      <c r="AD234" s="2342"/>
      <c r="AE234" s="2342"/>
      <c r="AF234" s="2342"/>
      <c r="AG234" s="2342"/>
      <c r="AH234" s="2342"/>
      <c r="AI234" s="2342"/>
      <c r="AJ234" s="234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0" t="s">
        <v>2219</v>
      </c>
      <c r="I236" s="2330"/>
      <c r="J236" s="2330"/>
      <c r="K236" s="1255"/>
      <c r="L236" s="1253"/>
      <c r="M236" s="1253"/>
      <c r="N236" s="1253"/>
      <c r="O236" s="1253"/>
      <c r="P236" s="1253"/>
      <c r="Q236" s="1253"/>
      <c r="R236" s="1253"/>
      <c r="S236" s="2331"/>
      <c r="T236" s="2332"/>
      <c r="U236" s="2332"/>
      <c r="V236" s="2332"/>
      <c r="W236" s="2332"/>
      <c r="X236" s="2332"/>
      <c r="Y236" s="2332"/>
      <c r="Z236" s="2332"/>
      <c r="AA236" s="2332"/>
      <c r="AB236" s="2332"/>
      <c r="AC236" s="2332"/>
      <c r="AD236" s="2332"/>
      <c r="AE236" s="2332"/>
      <c r="AF236" s="2332"/>
      <c r="AG236" s="2332"/>
      <c r="AH236" s="2332"/>
      <c r="AI236" s="2332"/>
      <c r="AJ236" s="233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0" t="s">
        <v>441</v>
      </c>
      <c r="I238" s="2330"/>
      <c r="J238" s="1255"/>
      <c r="K238" s="1255"/>
      <c r="L238" s="1253"/>
      <c r="M238" s="1253"/>
      <c r="N238" s="1253"/>
      <c r="O238" s="1253"/>
      <c r="P238" s="1253"/>
      <c r="Q238" s="1253"/>
      <c r="R238" s="1253"/>
      <c r="S238" s="2331"/>
      <c r="T238" s="2332"/>
      <c r="U238" s="2332"/>
      <c r="V238" s="2332"/>
      <c r="W238" s="2332"/>
      <c r="X238" s="2332"/>
      <c r="Y238" s="2332"/>
      <c r="Z238" s="2332"/>
      <c r="AA238" s="2332"/>
      <c r="AB238" s="2332"/>
      <c r="AC238" s="2332"/>
      <c r="AD238" s="2332"/>
      <c r="AE238" s="2332"/>
      <c r="AF238" s="2332"/>
      <c r="AG238" s="2332"/>
      <c r="AH238" s="2332"/>
      <c r="AI238" s="2332"/>
      <c r="AJ238" s="233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4" t="s">
        <v>2218</v>
      </c>
      <c r="I240" s="2334"/>
      <c r="J240" s="2334"/>
      <c r="K240" s="2334"/>
      <c r="L240" s="2334"/>
      <c r="M240" s="2334"/>
      <c r="N240" s="2334"/>
      <c r="O240" s="2334"/>
      <c r="P240" s="1253"/>
      <c r="Q240" s="1253"/>
      <c r="R240" s="1253"/>
      <c r="S240" s="2331"/>
      <c r="T240" s="2332"/>
      <c r="U240" s="2332"/>
      <c r="V240" s="2332"/>
      <c r="W240" s="2332"/>
      <c r="X240" s="2332"/>
      <c r="Y240" s="2332"/>
      <c r="Z240" s="2332"/>
      <c r="AA240" s="2332"/>
      <c r="AB240" s="2332"/>
      <c r="AC240" s="2332"/>
      <c r="AD240" s="2332"/>
      <c r="AE240" s="2332"/>
      <c r="AF240" s="2332"/>
      <c r="AG240" s="2332"/>
      <c r="AH240" s="2332"/>
      <c r="AI240" s="2332"/>
      <c r="AJ240" s="233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5" t="s">
        <v>2217</v>
      </c>
      <c r="I242" s="2335"/>
      <c r="J242" s="1253"/>
      <c r="K242" s="1253"/>
      <c r="L242" s="1253"/>
      <c r="M242" s="1253"/>
      <c r="N242" s="1253"/>
      <c r="O242" s="1253"/>
      <c r="P242" s="1253"/>
      <c r="Q242" s="1253"/>
      <c r="R242" s="1253"/>
      <c r="S242" s="2336"/>
      <c r="T242" s="2337"/>
      <c r="U242" s="2337"/>
      <c r="V242" s="2337"/>
      <c r="W242" s="2337"/>
      <c r="X242" s="2337"/>
      <c r="Y242" s="2337"/>
      <c r="Z242" s="2337"/>
      <c r="AA242" s="2337"/>
      <c r="AB242" s="2337"/>
      <c r="AC242" s="2337"/>
      <c r="AD242" s="2337"/>
      <c r="AE242" s="2337"/>
      <c r="AF242" s="2337"/>
      <c r="AG242" s="2337"/>
      <c r="AH242" s="2337"/>
      <c r="AI242" s="2337"/>
      <c r="AJ242" s="233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0" sqref="AB50:AF50"/>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91" t="s">
        <v>1279</v>
      </c>
      <c r="B1" s="2391"/>
      <c r="C1" s="2391"/>
      <c r="D1" s="2391"/>
      <c r="E1" s="2391"/>
      <c r="F1" s="2391"/>
      <c r="G1" s="2391"/>
      <c r="H1" s="2391"/>
      <c r="I1" s="2391"/>
      <c r="J1" s="2391"/>
      <c r="K1" s="2391"/>
      <c r="L1" s="2391"/>
      <c r="M1" s="2391"/>
      <c r="N1" s="2391"/>
      <c r="O1" s="2391"/>
      <c r="P1" s="2391"/>
      <c r="Q1" s="2391"/>
      <c r="R1" s="2391"/>
      <c r="S1" s="2391"/>
      <c r="T1" s="2391"/>
      <c r="U1" s="2391"/>
      <c r="V1" s="2391"/>
      <c r="W1" s="2391"/>
      <c r="X1" s="2391"/>
      <c r="Y1" s="2391"/>
      <c r="Z1" s="2391"/>
      <c r="AA1" s="2391"/>
      <c r="AB1" s="2391"/>
      <c r="AC1" s="2391"/>
      <c r="AD1" s="2391"/>
      <c r="AE1" s="2391"/>
      <c r="AF1" s="2391"/>
      <c r="AG1" s="2391"/>
      <c r="AH1" s="2391"/>
      <c r="AI1" s="2391"/>
      <c r="AJ1" s="2391"/>
      <c r="AK1" s="2391"/>
      <c r="AL1" s="2391"/>
      <c r="AM1" s="2391"/>
      <c r="AN1" s="2391"/>
    </row>
    <row r="2" spans="1:40" ht="12.95" customHeight="1" thickBot="1">
      <c r="A2" s="2392"/>
      <c r="B2" s="2392"/>
      <c r="C2" s="2392"/>
      <c r="D2" s="2392"/>
      <c r="E2" s="2392"/>
      <c r="F2" s="2392"/>
      <c r="G2" s="2392"/>
      <c r="H2" s="2392"/>
      <c r="I2" s="2392"/>
      <c r="J2" s="2392"/>
      <c r="K2" s="2392"/>
      <c r="L2" s="2392"/>
      <c r="M2" s="2392"/>
      <c r="N2" s="2392"/>
      <c r="O2" s="2392"/>
      <c r="P2" s="2392"/>
      <c r="Q2" s="2392"/>
      <c r="R2" s="2392"/>
      <c r="S2" s="2392"/>
      <c r="T2" s="2392"/>
      <c r="U2" s="2392"/>
      <c r="V2" s="2392"/>
      <c r="W2" s="2392"/>
      <c r="X2" s="2392"/>
      <c r="Y2" s="2392"/>
      <c r="Z2" s="2392"/>
      <c r="AA2" s="2392"/>
      <c r="AB2" s="2392"/>
      <c r="AC2" s="2392"/>
      <c r="AD2" s="2392"/>
      <c r="AE2" s="2392"/>
      <c r="AF2" s="2392"/>
      <c r="AG2" s="2392"/>
      <c r="AH2" s="2392"/>
      <c r="AI2" s="2392"/>
      <c r="AJ2" s="2392"/>
      <c r="AK2" s="2392"/>
      <c r="AL2" s="2392"/>
      <c r="AM2" s="2392"/>
      <c r="AN2" s="2392"/>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71" t="str">
        <f xml:space="preserve"> IF(T25=100%,'Sources and Basis Breakdown'!G2,'Sources and Basis Breakdown'!F2)</f>
        <v>30% PVC for New Const/
Rehabilitation
DDA/QCT
Building(s)</v>
      </c>
      <c r="U7" s="2371"/>
      <c r="V7" s="2371"/>
      <c r="W7" s="2371"/>
      <c r="X7" s="2371"/>
      <c r="Y7" s="2371" t="str">
        <f>IF(T25=100%,"",'Sources and Basis Breakdown'!G2)</f>
        <v>30% PVC for New Const/
Rehabilitation
NON-DDA/
NON-QCT Building(s)</v>
      </c>
      <c r="Z7" s="2371"/>
      <c r="AA7" s="2371"/>
      <c r="AB7" s="2371"/>
      <c r="AC7" s="2371"/>
      <c r="AD7" s="2371" t="str">
        <f xml:space="preserve"> IF(T25=100%, 'Sources and Basis Breakdown'!J2,'Sources and Basis Breakdown'!I2)</f>
        <v>30% PVC for Acquisition
DDA/QCT Building(s)</v>
      </c>
      <c r="AE7" s="2371"/>
      <c r="AF7" s="2371"/>
      <c r="AG7" s="2371"/>
      <c r="AH7" s="2371"/>
      <c r="AI7" s="2371" t="str">
        <f>IF(T25=100%,"",'Sources and Basis Breakdown'!J2)</f>
        <v>30% PVC for Acquisition
NON-DDA/
NON-QCT Building(s)</v>
      </c>
      <c r="AJ7" s="2371"/>
      <c r="AK7" s="2371"/>
      <c r="AL7" s="2371"/>
      <c r="AM7" s="2371"/>
    </row>
    <row r="8" spans="1:40" ht="12.95" customHeight="1">
      <c r="B8" s="403"/>
      <c r="T8" s="2371"/>
      <c r="U8" s="2371"/>
      <c r="V8" s="2371"/>
      <c r="W8" s="2371"/>
      <c r="X8" s="2371"/>
      <c r="Y8" s="2371"/>
      <c r="Z8" s="2371"/>
      <c r="AA8" s="2371"/>
      <c r="AB8" s="2371"/>
      <c r="AC8" s="2371"/>
      <c r="AD8" s="2371"/>
      <c r="AE8" s="2371"/>
      <c r="AF8" s="2371"/>
      <c r="AG8" s="2371"/>
      <c r="AH8" s="2371"/>
      <c r="AI8" s="2371"/>
      <c r="AJ8" s="2371"/>
      <c r="AK8" s="2371"/>
      <c r="AL8" s="2371"/>
      <c r="AM8" s="2371"/>
    </row>
    <row r="9" spans="1:40" ht="12.95" customHeight="1">
      <c r="B9" s="403"/>
      <c r="T9" s="2371"/>
      <c r="U9" s="2371"/>
      <c r="V9" s="2371"/>
      <c r="W9" s="2371"/>
      <c r="X9" s="2371"/>
      <c r="Y9" s="2371"/>
      <c r="Z9" s="2371"/>
      <c r="AA9" s="2371"/>
      <c r="AB9" s="2371"/>
      <c r="AC9" s="2371"/>
      <c r="AD9" s="2371"/>
      <c r="AE9" s="2371"/>
      <c r="AF9" s="2371"/>
      <c r="AG9" s="2371"/>
      <c r="AH9" s="2371"/>
      <c r="AI9" s="2371"/>
      <c r="AJ9" s="2371"/>
      <c r="AK9" s="2371"/>
      <c r="AL9" s="2371"/>
      <c r="AM9" s="2371"/>
    </row>
    <row r="10" spans="1:40" ht="12.95" customHeight="1">
      <c r="B10" s="404"/>
      <c r="C10" s="405"/>
      <c r="D10" s="405"/>
      <c r="E10" s="405"/>
      <c r="F10" s="405"/>
      <c r="G10" s="405"/>
      <c r="H10" s="405"/>
      <c r="I10" s="405"/>
      <c r="J10" s="405"/>
      <c r="K10" s="405"/>
      <c r="L10" s="405"/>
      <c r="M10" s="405"/>
      <c r="N10" s="405"/>
      <c r="O10" s="405"/>
      <c r="P10" s="405"/>
      <c r="Q10" s="405"/>
      <c r="R10" s="405"/>
      <c r="S10" s="405"/>
      <c r="T10" s="2371"/>
      <c r="U10" s="2371"/>
      <c r="V10" s="2371"/>
      <c r="W10" s="2371"/>
      <c r="X10" s="2371"/>
      <c r="Y10" s="2371"/>
      <c r="Z10" s="2371"/>
      <c r="AA10" s="2371"/>
      <c r="AB10" s="2371"/>
      <c r="AC10" s="2371"/>
      <c r="AD10" s="2371"/>
      <c r="AE10" s="2371"/>
      <c r="AF10" s="2371"/>
      <c r="AG10" s="2371"/>
      <c r="AH10" s="2371"/>
      <c r="AI10" s="2371"/>
      <c r="AJ10" s="2371"/>
      <c r="AK10" s="2371"/>
      <c r="AL10" s="2371"/>
      <c r="AM10" s="2371"/>
    </row>
    <row r="11" spans="1:40" ht="12.95" customHeight="1">
      <c r="B11" s="2357" t="s">
        <v>375</v>
      </c>
      <c r="C11" s="2358"/>
      <c r="D11" s="2358"/>
      <c r="E11" s="2358"/>
      <c r="F11" s="2358"/>
      <c r="G11" s="2358"/>
      <c r="H11" s="2358"/>
      <c r="I11" s="2358"/>
      <c r="J11" s="2358"/>
      <c r="K11" s="2358"/>
      <c r="L11" s="2358"/>
      <c r="M11" s="2358"/>
      <c r="N11" s="2358"/>
      <c r="O11" s="2358"/>
      <c r="P11" s="2358"/>
      <c r="Q11" s="2358"/>
      <c r="R11" s="2358"/>
      <c r="S11" s="2359"/>
      <c r="T11" s="2393">
        <f>IF('Sources and Basis Breakdown'!F107=0,'Sources and Basis Breakdown'!E107,'Sources and Basis Breakdown'!F107)</f>
        <v>49855828</v>
      </c>
      <c r="U11" s="2394"/>
      <c r="V11" s="2394"/>
      <c r="W11" s="2394"/>
      <c r="X11" s="2394"/>
      <c r="Y11" s="2393">
        <f>IF(Y7="",0,IF('Sources and Basis Breakdown'!G107+'Sources and Basis Breakdown'!F107='Sources and Basis Breakdown'!E107,'Sources and Basis Breakdown'!G107,0))</f>
        <v>0</v>
      </c>
      <c r="Z11" s="2394"/>
      <c r="AA11" s="2394"/>
      <c r="AB11" s="2394"/>
      <c r="AC11" s="2394"/>
      <c r="AD11" s="2394">
        <f>IF('Sources and Basis Breakdown'!I107=0,'Sources and Basis Breakdown'!H107,'Sources and Basis Breakdown'!I107)</f>
        <v>0</v>
      </c>
      <c r="AE11" s="2394"/>
      <c r="AF11" s="2394"/>
      <c r="AG11" s="2394"/>
      <c r="AH11" s="2394"/>
      <c r="AI11" s="2394">
        <f>IF(Y7="",0,IF('Sources and Basis Breakdown'!I107+'Sources and Basis Breakdown'!J107='Sources and Basis Breakdown'!H107,'Sources and Basis Breakdown'!J107,0))</f>
        <v>0</v>
      </c>
      <c r="AJ11" s="2394"/>
      <c r="AK11" s="2394"/>
      <c r="AL11" s="2394"/>
      <c r="AM11" s="2394"/>
    </row>
    <row r="12" spans="1:40" ht="12.95" customHeight="1">
      <c r="B12" s="2395" t="s">
        <v>497</v>
      </c>
      <c r="C12" s="1855"/>
      <c r="D12" s="1855"/>
      <c r="E12" s="1855"/>
      <c r="F12" s="1855"/>
      <c r="G12" s="1855"/>
      <c r="H12" s="1855"/>
      <c r="I12" s="1855"/>
      <c r="J12" s="1855"/>
      <c r="K12" s="1855"/>
      <c r="L12" s="1855"/>
      <c r="M12" s="1855"/>
      <c r="N12" s="1855"/>
      <c r="O12" s="1855"/>
      <c r="P12" s="1855"/>
      <c r="Q12" s="1855"/>
      <c r="R12" s="1855"/>
      <c r="S12" s="2396"/>
      <c r="T12" s="2386"/>
      <c r="U12" s="2387"/>
      <c r="V12" s="2387"/>
      <c r="W12" s="2387"/>
      <c r="X12" s="2388"/>
      <c r="Y12" s="2386"/>
      <c r="Z12" s="2387"/>
      <c r="AA12" s="2387"/>
      <c r="AB12" s="2387"/>
      <c r="AC12" s="2388"/>
      <c r="AD12" s="2386"/>
      <c r="AE12" s="2387"/>
      <c r="AF12" s="2387"/>
      <c r="AG12" s="2387"/>
      <c r="AH12" s="2388"/>
      <c r="AI12" s="2386"/>
      <c r="AJ12" s="2387"/>
      <c r="AK12" s="2387"/>
      <c r="AL12" s="2387"/>
      <c r="AM12" s="2388"/>
    </row>
    <row r="13" spans="1:40" ht="12.95" customHeight="1">
      <c r="B13" s="431"/>
      <c r="C13" s="2397" t="s">
        <v>498</v>
      </c>
      <c r="D13" s="2397"/>
      <c r="E13" s="2397"/>
      <c r="F13" s="2397"/>
      <c r="G13" s="2397"/>
      <c r="H13" s="2397"/>
      <c r="I13" s="2397"/>
      <c r="J13" s="2397"/>
      <c r="K13" s="2397"/>
      <c r="L13" s="2397"/>
      <c r="M13" s="2397"/>
      <c r="N13" s="2397"/>
      <c r="O13" s="2397"/>
      <c r="P13" s="2397"/>
      <c r="Q13" s="2397"/>
      <c r="R13" s="2397"/>
      <c r="S13" s="2398"/>
      <c r="T13" s="2389"/>
      <c r="U13" s="2390"/>
      <c r="V13" s="2390"/>
      <c r="W13" s="2390"/>
      <c r="X13" s="2390"/>
      <c r="Y13" s="2389"/>
      <c r="Z13" s="2390"/>
      <c r="AA13" s="2390"/>
      <c r="AB13" s="2390"/>
      <c r="AC13" s="2390"/>
      <c r="AD13" s="2390"/>
      <c r="AE13" s="2390"/>
      <c r="AF13" s="2390"/>
      <c r="AG13" s="2390"/>
      <c r="AH13" s="2390"/>
      <c r="AI13" s="2390"/>
      <c r="AJ13" s="2390"/>
      <c r="AK13" s="2390"/>
      <c r="AL13" s="2390"/>
      <c r="AM13" s="2390"/>
    </row>
    <row r="14" spans="1:40" ht="12.95" customHeight="1">
      <c r="B14" s="431"/>
      <c r="C14" s="2397" t="s">
        <v>499</v>
      </c>
      <c r="D14" s="2397"/>
      <c r="E14" s="2397"/>
      <c r="F14" s="2397"/>
      <c r="G14" s="2397"/>
      <c r="H14" s="2397"/>
      <c r="I14" s="2397"/>
      <c r="J14" s="2397"/>
      <c r="K14" s="2397"/>
      <c r="L14" s="2397"/>
      <c r="M14" s="2397"/>
      <c r="N14" s="2397"/>
      <c r="O14" s="2397"/>
      <c r="P14" s="2397"/>
      <c r="Q14" s="2397"/>
      <c r="R14" s="2397"/>
      <c r="S14" s="2398"/>
      <c r="T14" s="2379"/>
      <c r="U14" s="2380"/>
      <c r="V14" s="2380"/>
      <c r="W14" s="2380"/>
      <c r="X14" s="2380"/>
      <c r="Y14" s="2379"/>
      <c r="Z14" s="2380"/>
      <c r="AA14" s="2380"/>
      <c r="AB14" s="2380"/>
      <c r="AC14" s="2380"/>
      <c r="AD14" s="2380"/>
      <c r="AE14" s="2380"/>
      <c r="AF14" s="2380"/>
      <c r="AG14" s="2380"/>
      <c r="AH14" s="2380"/>
      <c r="AI14" s="2380"/>
      <c r="AJ14" s="2380"/>
      <c r="AK14" s="2380"/>
      <c r="AL14" s="2380"/>
      <c r="AM14" s="2380"/>
    </row>
    <row r="15" spans="1:40" ht="12.95" customHeight="1">
      <c r="B15" s="431"/>
      <c r="C15" s="2397" t="s">
        <v>500</v>
      </c>
      <c r="D15" s="2397"/>
      <c r="E15" s="2397"/>
      <c r="F15" s="2397"/>
      <c r="G15" s="2397"/>
      <c r="H15" s="2397"/>
      <c r="I15" s="2397"/>
      <c r="J15" s="2397"/>
      <c r="K15" s="2397"/>
      <c r="L15" s="2397"/>
      <c r="M15" s="2397"/>
      <c r="N15" s="2397"/>
      <c r="O15" s="2397"/>
      <c r="P15" s="2397"/>
      <c r="Q15" s="2397"/>
      <c r="R15" s="2397"/>
      <c r="S15" s="2398"/>
      <c r="T15" s="2379"/>
      <c r="U15" s="2380"/>
      <c r="V15" s="2380"/>
      <c r="W15" s="2380"/>
      <c r="X15" s="2380"/>
      <c r="Y15" s="2379"/>
      <c r="Z15" s="2380"/>
      <c r="AA15" s="2380"/>
      <c r="AB15" s="2380"/>
      <c r="AC15" s="2380"/>
      <c r="AD15" s="2380"/>
      <c r="AE15" s="2380"/>
      <c r="AF15" s="2380"/>
      <c r="AG15" s="2380"/>
      <c r="AH15" s="2380"/>
      <c r="AI15" s="2380"/>
      <c r="AJ15" s="2380"/>
      <c r="AK15" s="2380"/>
      <c r="AL15" s="2380"/>
      <c r="AM15" s="2380"/>
    </row>
    <row r="16" spans="1:40" ht="12.95" customHeight="1">
      <c r="B16" s="431"/>
      <c r="C16" s="2397" t="s">
        <v>805</v>
      </c>
      <c r="D16" s="2397"/>
      <c r="E16" s="2397"/>
      <c r="F16" s="2397"/>
      <c r="G16" s="2397"/>
      <c r="H16" s="2397"/>
      <c r="I16" s="2397"/>
      <c r="J16" s="2397"/>
      <c r="K16" s="2397"/>
      <c r="L16" s="2397"/>
      <c r="M16" s="2397"/>
      <c r="N16" s="2397"/>
      <c r="O16" s="2397"/>
      <c r="P16" s="2397"/>
      <c r="Q16" s="2397"/>
      <c r="R16" s="2397"/>
      <c r="S16" s="2398"/>
      <c r="T16" s="2379"/>
      <c r="U16" s="2380"/>
      <c r="V16" s="2380"/>
      <c r="W16" s="2380"/>
      <c r="X16" s="2380"/>
      <c r="Y16" s="2379"/>
      <c r="Z16" s="2380"/>
      <c r="AA16" s="2380"/>
      <c r="AB16" s="2380"/>
      <c r="AC16" s="2380"/>
      <c r="AD16" s="2380"/>
      <c r="AE16" s="2380"/>
      <c r="AF16" s="2380"/>
      <c r="AG16" s="2380"/>
      <c r="AH16" s="2380"/>
      <c r="AI16" s="2380"/>
      <c r="AJ16" s="2380"/>
      <c r="AK16" s="2380"/>
      <c r="AL16" s="2380"/>
      <c r="AM16" s="2380"/>
    </row>
    <row r="17" spans="1:40" ht="12.95" customHeight="1">
      <c r="B17" s="431"/>
      <c r="C17" s="2397" t="s">
        <v>501</v>
      </c>
      <c r="D17" s="2397"/>
      <c r="E17" s="2397"/>
      <c r="F17" s="2397"/>
      <c r="G17" s="2397"/>
      <c r="H17" s="2397"/>
      <c r="I17" s="2397"/>
      <c r="J17" s="2397"/>
      <c r="K17" s="2397"/>
      <c r="L17" s="2397"/>
      <c r="M17" s="2397"/>
      <c r="N17" s="2397"/>
      <c r="O17" s="2397"/>
      <c r="P17" s="2397"/>
      <c r="Q17" s="2397"/>
      <c r="R17" s="2397"/>
      <c r="S17" s="2398"/>
      <c r="T17" s="2379"/>
      <c r="U17" s="2380"/>
      <c r="V17" s="2380"/>
      <c r="W17" s="2380"/>
      <c r="X17" s="2380"/>
      <c r="Y17" s="2379"/>
      <c r="Z17" s="2380"/>
      <c r="AA17" s="2380"/>
      <c r="AB17" s="2380"/>
      <c r="AC17" s="2380"/>
      <c r="AD17" s="2380"/>
      <c r="AE17" s="2380"/>
      <c r="AF17" s="2380"/>
      <c r="AG17" s="2380"/>
      <c r="AH17" s="2380"/>
      <c r="AI17" s="2380"/>
      <c r="AJ17" s="2380"/>
      <c r="AK17" s="2380"/>
      <c r="AL17" s="2380"/>
      <c r="AM17" s="2380"/>
    </row>
    <row r="18" spans="1:40" ht="12.95" customHeight="1">
      <c r="A18"/>
      <c r="B18" s="1139"/>
      <c r="C18" s="1543" t="s">
        <v>960</v>
      </c>
      <c r="D18" s="1543"/>
      <c r="E18" s="1543"/>
      <c r="F18" s="1543"/>
      <c r="G18" s="1543"/>
      <c r="H18" s="1543"/>
      <c r="I18" s="1543"/>
      <c r="J18" s="1543"/>
      <c r="K18" s="1543"/>
      <c r="L18" s="1543"/>
      <c r="M18" s="1543"/>
      <c r="N18" s="1543"/>
      <c r="O18" s="1543"/>
      <c r="P18" s="1543"/>
      <c r="Q18" s="1543"/>
      <c r="R18" s="1543"/>
      <c r="S18" s="1544"/>
      <c r="T18" s="2379"/>
      <c r="U18" s="2380"/>
      <c r="V18" s="2380"/>
      <c r="W18" s="2380"/>
      <c r="X18" s="2380"/>
      <c r="Y18" s="2379"/>
      <c r="Z18" s="2380"/>
      <c r="AA18" s="2380"/>
      <c r="AB18" s="2380"/>
      <c r="AC18" s="2380"/>
      <c r="AD18" s="2380"/>
      <c r="AE18" s="2380"/>
      <c r="AF18" s="2380"/>
      <c r="AG18" s="2380"/>
      <c r="AH18" s="2380"/>
      <c r="AI18" s="2380"/>
      <c r="AJ18" s="2380"/>
      <c r="AK18" s="2380"/>
      <c r="AL18" s="2380"/>
      <c r="AM18" s="2380"/>
    </row>
    <row r="19" spans="1:40" ht="12.95" customHeight="1">
      <c r="B19" s="1139"/>
      <c r="C19" s="1543" t="s">
        <v>960</v>
      </c>
      <c r="D19" s="1543"/>
      <c r="E19" s="1543"/>
      <c r="F19" s="1543"/>
      <c r="G19" s="1543"/>
      <c r="H19" s="1543"/>
      <c r="I19" s="1543"/>
      <c r="J19" s="1543"/>
      <c r="K19" s="1543"/>
      <c r="L19" s="1543"/>
      <c r="M19" s="1543"/>
      <c r="N19" s="1543"/>
      <c r="O19" s="1543"/>
      <c r="P19" s="1543"/>
      <c r="Q19" s="1543"/>
      <c r="R19" s="1543"/>
      <c r="S19" s="1544"/>
      <c r="T19" s="2379"/>
      <c r="U19" s="2380"/>
      <c r="V19" s="2380"/>
      <c r="W19" s="2380"/>
      <c r="X19" s="2380"/>
      <c r="Y19" s="2379"/>
      <c r="Z19" s="2380"/>
      <c r="AA19" s="2380"/>
      <c r="AB19" s="2380"/>
      <c r="AC19" s="2380"/>
      <c r="AD19" s="2380"/>
      <c r="AE19" s="2380"/>
      <c r="AF19" s="2380"/>
      <c r="AG19" s="2380"/>
      <c r="AH19" s="2380"/>
      <c r="AI19" s="2380"/>
      <c r="AJ19" s="2380"/>
      <c r="AK19" s="2380"/>
      <c r="AL19" s="2380"/>
      <c r="AM19" s="2380"/>
    </row>
    <row r="20" spans="1:40" ht="12.95" customHeight="1">
      <c r="B20" s="2357" t="s">
        <v>502</v>
      </c>
      <c r="C20" s="2358"/>
      <c r="D20" s="2358"/>
      <c r="E20" s="2358"/>
      <c r="F20" s="2358"/>
      <c r="G20" s="2358"/>
      <c r="H20" s="2358"/>
      <c r="I20" s="2358"/>
      <c r="J20" s="2358"/>
      <c r="K20" s="2358"/>
      <c r="L20" s="2358"/>
      <c r="M20" s="2358"/>
      <c r="N20" s="2358"/>
      <c r="O20" s="2358"/>
      <c r="P20" s="2358"/>
      <c r="Q20" s="2358"/>
      <c r="R20" s="2358"/>
      <c r="S20" s="2359"/>
      <c r="T20" s="2370">
        <f>SUM(T13:X19)</f>
        <v>0</v>
      </c>
      <c r="U20" s="2351"/>
      <c r="V20" s="2351"/>
      <c r="W20" s="2351"/>
      <c r="X20" s="2351"/>
      <c r="Y20" s="2370">
        <f>SUM(Y13:AC19)</f>
        <v>0</v>
      </c>
      <c r="Z20" s="2351"/>
      <c r="AA20" s="2351"/>
      <c r="AB20" s="2351"/>
      <c r="AC20" s="2351"/>
      <c r="AD20" s="2361">
        <f>SUM(AD13:AH19)</f>
        <v>0</v>
      </c>
      <c r="AE20" s="2369"/>
      <c r="AF20" s="2369"/>
      <c r="AG20" s="2369"/>
      <c r="AH20" s="2370"/>
      <c r="AI20" s="2361">
        <f>SUM(AI13:AM19)</f>
        <v>0</v>
      </c>
      <c r="AJ20" s="2369"/>
      <c r="AK20" s="2369"/>
      <c r="AL20" s="2369"/>
      <c r="AM20" s="2370"/>
    </row>
    <row r="21" spans="1:40" ht="12.95" customHeight="1">
      <c r="B21" s="2357" t="s">
        <v>1262</v>
      </c>
      <c r="C21" s="2358"/>
      <c r="D21" s="2358"/>
      <c r="E21" s="2358"/>
      <c r="F21" s="2358"/>
      <c r="G21" s="2358"/>
      <c r="H21" s="2358"/>
      <c r="I21" s="2358"/>
      <c r="J21" s="2358"/>
      <c r="K21" s="2358"/>
      <c r="L21" s="2358"/>
      <c r="M21" s="2358"/>
      <c r="N21" s="2358"/>
      <c r="O21" s="2358"/>
      <c r="P21" s="2358"/>
      <c r="Q21" s="2358"/>
      <c r="R21" s="2358"/>
      <c r="S21" s="2359"/>
      <c r="T21" s="2379"/>
      <c r="U21" s="2380"/>
      <c r="V21" s="2380"/>
      <c r="W21" s="2380"/>
      <c r="X21" s="2380"/>
      <c r="Y21" s="2379"/>
      <c r="Z21" s="2380"/>
      <c r="AA21" s="2380"/>
      <c r="AB21" s="2380"/>
      <c r="AC21" s="2380"/>
      <c r="AD21" s="2386"/>
      <c r="AE21" s="2387"/>
      <c r="AF21" s="2387"/>
      <c r="AG21" s="2387"/>
      <c r="AH21" s="2388"/>
      <c r="AI21" s="2386"/>
      <c r="AJ21" s="2387"/>
      <c r="AK21" s="2387"/>
      <c r="AL21" s="2387"/>
      <c r="AM21" s="2388"/>
    </row>
    <row r="22" spans="1:40" ht="12.95" customHeight="1">
      <c r="B22" s="2357" t="s">
        <v>503</v>
      </c>
      <c r="C22" s="2358"/>
      <c r="D22" s="2358"/>
      <c r="E22" s="2358"/>
      <c r="F22" s="2358"/>
      <c r="G22" s="2358"/>
      <c r="H22" s="2358"/>
      <c r="I22" s="2358"/>
      <c r="J22" s="2358"/>
      <c r="K22" s="2358"/>
      <c r="L22" s="2358"/>
      <c r="M22" s="2358"/>
      <c r="N22" s="2358"/>
      <c r="O22" s="2358"/>
      <c r="P22" s="2358"/>
      <c r="Q22" s="2358"/>
      <c r="R22" s="2358"/>
      <c r="S22" s="2359"/>
      <c r="T22" s="2375">
        <f>(ABS(T20)+ABS(T21))*-1</f>
        <v>0</v>
      </c>
      <c r="U22" s="2376"/>
      <c r="V22" s="2376"/>
      <c r="W22" s="2376"/>
      <c r="X22" s="2376"/>
      <c r="Y22" s="2375">
        <f>(Y20+Y21)*-1</f>
        <v>0</v>
      </c>
      <c r="Z22" s="2376"/>
      <c r="AA22" s="2376"/>
      <c r="AB22" s="2376"/>
      <c r="AC22" s="2376"/>
      <c r="AD22" s="2377">
        <f>(AD20)*-1</f>
        <v>0</v>
      </c>
      <c r="AE22" s="2378"/>
      <c r="AF22" s="2378"/>
      <c r="AG22" s="2378"/>
      <c r="AH22" s="2375"/>
      <c r="AI22" s="2377">
        <f>(AI20)*-1</f>
        <v>0</v>
      </c>
      <c r="AJ22" s="2378"/>
      <c r="AK22" s="2378"/>
      <c r="AL22" s="2378"/>
      <c r="AM22" s="2375"/>
    </row>
    <row r="23" spans="1:40" ht="12.95" customHeight="1">
      <c r="B23" s="2357" t="s">
        <v>504</v>
      </c>
      <c r="C23" s="2358"/>
      <c r="D23" s="2358"/>
      <c r="E23" s="2358"/>
      <c r="F23" s="2358"/>
      <c r="G23" s="2358"/>
      <c r="H23" s="2358"/>
      <c r="I23" s="2358"/>
      <c r="J23" s="2358"/>
      <c r="K23" s="2358"/>
      <c r="L23" s="2358"/>
      <c r="M23" s="2358"/>
      <c r="N23" s="2358"/>
      <c r="O23" s="2358"/>
      <c r="P23" s="2358"/>
      <c r="Q23" s="2358"/>
      <c r="R23" s="2358"/>
      <c r="S23" s="2359"/>
      <c r="T23" s="2370">
        <f>T11+T22</f>
        <v>49855828</v>
      </c>
      <c r="U23" s="2351"/>
      <c r="V23" s="2351"/>
      <c r="W23" s="2351"/>
      <c r="X23" s="2351"/>
      <c r="Y23" s="2370">
        <f>Y11+Y22</f>
        <v>0</v>
      </c>
      <c r="Z23" s="2351"/>
      <c r="AA23" s="2351"/>
      <c r="AB23" s="2351"/>
      <c r="AC23" s="2351"/>
      <c r="AD23" s="2370">
        <f>AD11+AD22</f>
        <v>0</v>
      </c>
      <c r="AE23" s="2351"/>
      <c r="AF23" s="2351"/>
      <c r="AG23" s="2351"/>
      <c r="AH23" s="2351"/>
      <c r="AI23" s="2370">
        <f>AI11+AI22</f>
        <v>0</v>
      </c>
      <c r="AJ23" s="2351"/>
      <c r="AK23" s="2351"/>
      <c r="AL23" s="2351"/>
      <c r="AM23" s="2351"/>
    </row>
    <row r="24" spans="1:40" ht="12.95" customHeight="1">
      <c r="B24" s="2357" t="s">
        <v>961</v>
      </c>
      <c r="C24" s="2358"/>
      <c r="D24" s="2358"/>
      <c r="E24" s="2358"/>
      <c r="F24" s="2358"/>
      <c r="G24" s="2358"/>
      <c r="H24" s="2358"/>
      <c r="I24" s="2358"/>
      <c r="J24" s="2358"/>
      <c r="K24" s="2358"/>
      <c r="L24" s="2358"/>
      <c r="M24" s="2358"/>
      <c r="N24" s="2358"/>
      <c r="O24" s="2358"/>
      <c r="P24" s="2358"/>
      <c r="Q24" s="2358"/>
      <c r="R24" s="2358"/>
      <c r="S24" s="2359"/>
      <c r="T24" s="2361">
        <f>Application!AJ1062</f>
        <v>78608551.400000006</v>
      </c>
      <c r="U24" s="2369"/>
      <c r="V24" s="2369"/>
      <c r="W24" s="2369"/>
      <c r="X24" s="2369"/>
      <c r="Y24" s="2369"/>
      <c r="Z24" s="2369"/>
      <c r="AA24" s="2369"/>
      <c r="AB24" s="2369"/>
      <c r="AC24" s="2369"/>
      <c r="AD24" s="2369"/>
      <c r="AE24" s="2369"/>
      <c r="AF24" s="2369"/>
      <c r="AG24" s="2369"/>
      <c r="AH24" s="2369"/>
      <c r="AI24" s="2369"/>
      <c r="AJ24" s="2369"/>
      <c r="AK24" s="2369"/>
      <c r="AL24" s="2369"/>
      <c r="AM24" s="2370"/>
    </row>
    <row r="25" spans="1:40" ht="12.95" customHeight="1">
      <c r="B25" s="2401" t="s">
        <v>1263</v>
      </c>
      <c r="C25" s="2402"/>
      <c r="D25" s="2402"/>
      <c r="E25" s="2402"/>
      <c r="F25" s="2402"/>
      <c r="G25" s="2402"/>
      <c r="H25" s="2402"/>
      <c r="I25" s="2402"/>
      <c r="J25" s="2402"/>
      <c r="K25" s="2402"/>
      <c r="L25" s="2402"/>
      <c r="M25" s="2402"/>
      <c r="N25" s="2402"/>
      <c r="O25" s="2402"/>
      <c r="P25" s="2402"/>
      <c r="Q25" s="2402"/>
      <c r="R25" s="2402"/>
      <c r="S25" s="2403"/>
      <c r="T25" s="2383">
        <f>IF(OR(Application!T196="yes",Application!T195="yes"),1.3,1)</f>
        <v>1.3</v>
      </c>
      <c r="U25" s="2384"/>
      <c r="V25" s="2384"/>
      <c r="W25" s="2384"/>
      <c r="X25" s="2384"/>
      <c r="Y25" s="2383">
        <v>1</v>
      </c>
      <c r="Z25" s="2384"/>
      <c r="AA25" s="2384"/>
      <c r="AB25" s="2384"/>
      <c r="AC25" s="2384"/>
      <c r="AD25" s="2383">
        <v>1</v>
      </c>
      <c r="AE25" s="2384"/>
      <c r="AF25" s="2384"/>
      <c r="AG25" s="2384"/>
      <c r="AH25" s="2385"/>
      <c r="AI25" s="2383">
        <v>1</v>
      </c>
      <c r="AJ25" s="2384"/>
      <c r="AK25" s="2384"/>
      <c r="AL25" s="2384"/>
      <c r="AM25" s="2385"/>
    </row>
    <row r="26" spans="1:40" ht="12.95" customHeight="1">
      <c r="B26" s="2357" t="s">
        <v>505</v>
      </c>
      <c r="C26" s="2358"/>
      <c r="D26" s="2358"/>
      <c r="E26" s="2358"/>
      <c r="F26" s="2358"/>
      <c r="G26" s="2358"/>
      <c r="H26" s="2358"/>
      <c r="I26" s="2358"/>
      <c r="J26" s="2358"/>
      <c r="K26" s="2358"/>
      <c r="L26" s="2358"/>
      <c r="M26" s="2358"/>
      <c r="N26" s="2358"/>
      <c r="O26" s="2358"/>
      <c r="P26" s="2358"/>
      <c r="Q26" s="2358"/>
      <c r="R26" s="2358"/>
      <c r="S26" s="2359"/>
      <c r="T26" s="2370">
        <f>T23*T25</f>
        <v>64812576.399999999</v>
      </c>
      <c r="U26" s="2351"/>
      <c r="V26" s="2351"/>
      <c r="W26" s="2351"/>
      <c r="X26" s="2351"/>
      <c r="Y26" s="2370">
        <f>Y23*Y25</f>
        <v>0</v>
      </c>
      <c r="Z26" s="2351"/>
      <c r="AA26" s="2351"/>
      <c r="AB26" s="2351"/>
      <c r="AC26" s="2351"/>
      <c r="AD26" s="2370">
        <f>AD23*AD25</f>
        <v>0</v>
      </c>
      <c r="AE26" s="2351"/>
      <c r="AF26" s="2351"/>
      <c r="AG26" s="2351"/>
      <c r="AH26" s="2351"/>
      <c r="AI26" s="2370">
        <f>AI23*AI25</f>
        <v>0</v>
      </c>
      <c r="AJ26" s="2351"/>
      <c r="AK26" s="2351"/>
      <c r="AL26" s="2351"/>
      <c r="AM26" s="2351"/>
    </row>
    <row r="27" spans="1:40" ht="12.95" customHeight="1">
      <c r="A27" s="406"/>
      <c r="B27" s="2404" t="s">
        <v>426</v>
      </c>
      <c r="C27" s="2405"/>
      <c r="D27" s="2405"/>
      <c r="E27" s="2405"/>
      <c r="F27" s="2405"/>
      <c r="G27" s="2405"/>
      <c r="H27" s="2405"/>
      <c r="I27" s="2405"/>
      <c r="J27" s="2405"/>
      <c r="K27" s="2405"/>
      <c r="L27" s="2405"/>
      <c r="M27" s="2405"/>
      <c r="N27" s="2405"/>
      <c r="O27" s="2405"/>
      <c r="P27" s="2405"/>
      <c r="Q27" s="2405"/>
      <c r="R27" s="2405"/>
      <c r="S27" s="2406"/>
      <c r="T27" s="2381">
        <f>Application!$AG$454</f>
        <v>1</v>
      </c>
      <c r="U27" s="2382"/>
      <c r="V27" s="2382"/>
      <c r="W27" s="2382"/>
      <c r="X27" s="2382"/>
      <c r="Y27" s="2381">
        <f>Application!$AG$454</f>
        <v>1</v>
      </c>
      <c r="Z27" s="2382"/>
      <c r="AA27" s="2382"/>
      <c r="AB27" s="2382"/>
      <c r="AC27" s="2382"/>
      <c r="AD27" s="2381">
        <f>Application!$AG$454</f>
        <v>1</v>
      </c>
      <c r="AE27" s="2382"/>
      <c r="AF27" s="2382"/>
      <c r="AG27" s="2382"/>
      <c r="AH27" s="2382"/>
      <c r="AI27" s="2381">
        <f>Application!$AG$454</f>
        <v>1</v>
      </c>
      <c r="AJ27" s="2382"/>
      <c r="AK27" s="2382"/>
      <c r="AL27" s="2382"/>
      <c r="AM27" s="2382"/>
    </row>
    <row r="28" spans="1:40" ht="12.95" customHeight="1">
      <c r="A28" s="400"/>
      <c r="B28" s="2357" t="s">
        <v>506</v>
      </c>
      <c r="C28" s="2358"/>
      <c r="D28" s="2358"/>
      <c r="E28" s="2358"/>
      <c r="F28" s="2358"/>
      <c r="G28" s="2358"/>
      <c r="H28" s="2358"/>
      <c r="I28" s="2358"/>
      <c r="J28" s="2358"/>
      <c r="K28" s="2358"/>
      <c r="L28" s="2358"/>
      <c r="M28" s="2358"/>
      <c r="N28" s="2358"/>
      <c r="O28" s="2358"/>
      <c r="P28" s="2358"/>
      <c r="Q28" s="2358"/>
      <c r="R28" s="2358"/>
      <c r="S28" s="2359"/>
      <c r="T28" s="2370">
        <f>IF(ISERROR((T26*T27)),0,(T26*T27))</f>
        <v>64812576.399999999</v>
      </c>
      <c r="U28" s="2351"/>
      <c r="V28" s="2351"/>
      <c r="W28" s="2351"/>
      <c r="X28" s="2351"/>
      <c r="Y28" s="2370">
        <f>IF(ISERROR((Y26*Y27)),0,(Y26*Y27))</f>
        <v>0</v>
      </c>
      <c r="Z28" s="2351"/>
      <c r="AA28" s="2351"/>
      <c r="AB28" s="2351"/>
      <c r="AC28" s="2351"/>
      <c r="AD28" s="2370">
        <f>IF(ISERROR((AD26*AD27)),0,(AD26*AD27))</f>
        <v>0</v>
      </c>
      <c r="AE28" s="2351"/>
      <c r="AF28" s="2351"/>
      <c r="AG28" s="2351"/>
      <c r="AH28" s="2351"/>
      <c r="AI28" s="2370">
        <f>IF(ISERROR((AI26*AI27)),0,(AI26*AI27))</f>
        <v>0</v>
      </c>
      <c r="AJ28" s="2351"/>
      <c r="AK28" s="2351"/>
      <c r="AL28" s="2351"/>
      <c r="AM28" s="2351"/>
    </row>
    <row r="29" spans="1:40" ht="12.95" customHeight="1">
      <c r="B29" s="2357" t="s">
        <v>523</v>
      </c>
      <c r="C29" s="2358"/>
      <c r="D29" s="2358"/>
      <c r="E29" s="2358"/>
      <c r="F29" s="2358"/>
      <c r="G29" s="2358"/>
      <c r="H29" s="2358"/>
      <c r="I29" s="2358"/>
      <c r="J29" s="2358"/>
      <c r="K29" s="2358"/>
      <c r="L29" s="2358"/>
      <c r="M29" s="2358"/>
      <c r="N29" s="2358"/>
      <c r="O29" s="2358"/>
      <c r="P29" s="2358"/>
      <c r="Q29" s="2358"/>
      <c r="R29" s="2358"/>
      <c r="S29" s="2359"/>
      <c r="T29" s="2361">
        <f>T28+Y28+AD28+AI28</f>
        <v>64812576.399999999</v>
      </c>
      <c r="U29" s="2369"/>
      <c r="V29" s="2369"/>
      <c r="W29" s="2369"/>
      <c r="X29" s="2369"/>
      <c r="Y29" s="2369"/>
      <c r="Z29" s="2369"/>
      <c r="AA29" s="2369"/>
      <c r="AB29" s="2369"/>
      <c r="AC29" s="2369"/>
      <c r="AD29" s="2369"/>
      <c r="AE29" s="2369"/>
      <c r="AF29" s="2369"/>
      <c r="AG29" s="2369"/>
      <c r="AH29" s="2369"/>
      <c r="AI29" s="2369"/>
      <c r="AJ29" s="2369"/>
      <c r="AK29" s="2369"/>
      <c r="AL29" s="2369"/>
      <c r="AM29" s="2370"/>
    </row>
    <row r="30" spans="1:40" ht="12.95" customHeight="1">
      <c r="B30" s="2374" t="s">
        <v>1265</v>
      </c>
      <c r="C30" s="2374"/>
      <c r="D30" s="2374"/>
      <c r="E30" s="2374"/>
      <c r="F30" s="2374"/>
      <c r="G30" s="2374"/>
      <c r="H30" s="2374"/>
      <c r="I30" s="2374"/>
      <c r="J30" s="2374"/>
      <c r="K30" s="2374"/>
      <c r="L30" s="2374"/>
      <c r="M30" s="2374"/>
      <c r="N30" s="2374"/>
      <c r="O30" s="2374"/>
      <c r="P30" s="2374"/>
      <c r="Q30" s="2374"/>
      <c r="R30" s="2374"/>
      <c r="S30" s="2374"/>
      <c r="T30" s="2374"/>
      <c r="U30" s="2374"/>
      <c r="V30" s="2374"/>
      <c r="W30" s="2374"/>
      <c r="X30" s="2374"/>
      <c r="Y30" s="2374"/>
      <c r="Z30" s="2374"/>
      <c r="AA30" s="2374"/>
      <c r="AB30" s="2374"/>
      <c r="AC30" s="2374"/>
      <c r="AD30" s="2374"/>
      <c r="AE30" s="2374"/>
      <c r="AF30" s="2374"/>
      <c r="AG30" s="2374"/>
      <c r="AH30" s="2374"/>
      <c r="AI30" s="2374"/>
      <c r="AJ30" s="2374"/>
      <c r="AK30" s="2374"/>
      <c r="AL30" s="2374"/>
      <c r="AM30" s="2374"/>
    </row>
    <row r="31" spans="1:40" ht="12.95" customHeight="1">
      <c r="B31" s="2374" t="s">
        <v>1264</v>
      </c>
      <c r="C31" s="2374"/>
      <c r="D31" s="2374"/>
      <c r="E31" s="2374"/>
      <c r="F31" s="2374"/>
      <c r="G31" s="2374"/>
      <c r="H31" s="2374"/>
      <c r="I31" s="2374"/>
      <c r="J31" s="2374"/>
      <c r="K31" s="2374"/>
      <c r="L31" s="2374"/>
      <c r="M31" s="2374"/>
      <c r="N31" s="2374"/>
      <c r="O31" s="2374"/>
      <c r="P31" s="2374"/>
      <c r="Q31" s="2374"/>
      <c r="R31" s="2374"/>
      <c r="S31" s="2374"/>
      <c r="T31" s="2374"/>
      <c r="U31" s="2374"/>
      <c r="V31" s="2374"/>
      <c r="W31" s="2374"/>
      <c r="X31" s="2374"/>
      <c r="Y31" s="2374"/>
      <c r="Z31" s="2374"/>
      <c r="AA31" s="2374"/>
      <c r="AB31" s="2374"/>
      <c r="AC31" s="2374"/>
      <c r="AD31" s="2374"/>
      <c r="AE31" s="2374"/>
      <c r="AF31" s="2374"/>
      <c r="AG31" s="2374"/>
      <c r="AH31" s="2374"/>
      <c r="AI31" s="2374"/>
      <c r="AJ31" s="2374"/>
      <c r="AK31" s="2374"/>
      <c r="AL31" s="2374"/>
      <c r="AM31" s="2374"/>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1" t="s">
        <v>1153</v>
      </c>
      <c r="Z35" s="2371"/>
      <c r="AA35" s="2371"/>
      <c r="AB35" s="2371"/>
      <c r="AC35" s="2371"/>
      <c r="AD35" s="2372" t="s">
        <v>369</v>
      </c>
      <c r="AE35" s="2372"/>
      <c r="AF35" s="2372"/>
      <c r="AG35" s="2372"/>
      <c r="AH35" s="2372"/>
    </row>
    <row r="36" spans="1:76" ht="12.95" customHeight="1">
      <c r="B36" s="403"/>
      <c r="X36" s="408"/>
      <c r="Y36" s="2371"/>
      <c r="Z36" s="2371"/>
      <c r="AA36" s="2371"/>
      <c r="AB36" s="2371"/>
      <c r="AC36" s="2371"/>
      <c r="AD36" s="2372"/>
      <c r="AE36" s="2372"/>
      <c r="AF36" s="2372"/>
      <c r="AG36" s="2372"/>
      <c r="AH36" s="2372"/>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1"/>
      <c r="Z37" s="2371"/>
      <c r="AA37" s="2371"/>
      <c r="AB37" s="2371"/>
      <c r="AC37" s="2371"/>
      <c r="AD37" s="2372"/>
      <c r="AE37" s="2372"/>
      <c r="AF37" s="2372"/>
      <c r="AG37" s="2372"/>
      <c r="AH37" s="2372"/>
    </row>
    <row r="38" spans="1:76" ht="12.95" customHeight="1">
      <c r="A38" s="400"/>
      <c r="B38" s="2357" t="s">
        <v>506</v>
      </c>
      <c r="C38" s="2358"/>
      <c r="D38" s="2358"/>
      <c r="E38" s="2358"/>
      <c r="F38" s="2358"/>
      <c r="G38" s="2358"/>
      <c r="H38" s="2358"/>
      <c r="I38" s="2358"/>
      <c r="J38" s="2358"/>
      <c r="K38" s="2358"/>
      <c r="L38" s="2358"/>
      <c r="M38" s="2358"/>
      <c r="N38" s="2358"/>
      <c r="O38" s="2358"/>
      <c r="P38" s="2358"/>
      <c r="Q38" s="2358"/>
      <c r="R38" s="2358"/>
      <c r="S38" s="2358"/>
      <c r="T38" s="2358"/>
      <c r="U38" s="2358"/>
      <c r="V38" s="2358"/>
      <c r="W38" s="2358"/>
      <c r="X38" s="2359"/>
      <c r="Y38" s="2351">
        <f>IF(T24&gt;=(T23+Y23+AD23+AI23),T28+Y28,0)</f>
        <v>64812576.399999999</v>
      </c>
      <c r="Z38" s="2351"/>
      <c r="AA38" s="2351"/>
      <c r="AB38" s="2351"/>
      <c r="AC38" s="2351"/>
      <c r="AD38" s="2351">
        <f>IF(T24&gt;=(T23+Y23+AD23+AI23),AD28+AI28,0)</f>
        <v>0</v>
      </c>
      <c r="AE38" s="2351"/>
      <c r="AF38" s="2351"/>
      <c r="AG38" s="2351"/>
      <c r="AH38" s="2351"/>
    </row>
    <row r="39" spans="1:76" ht="12.95" customHeight="1">
      <c r="B39" s="2357" t="s">
        <v>1679</v>
      </c>
      <c r="C39" s="2358"/>
      <c r="D39" s="2358"/>
      <c r="E39" s="2358"/>
      <c r="F39" s="2358"/>
      <c r="G39" s="2358"/>
      <c r="H39" s="2358"/>
      <c r="I39" s="2358"/>
      <c r="J39" s="2358"/>
      <c r="K39" s="2358"/>
      <c r="L39" s="2358"/>
      <c r="M39" s="2358"/>
      <c r="N39" s="2358"/>
      <c r="O39" s="2358"/>
      <c r="P39" s="2358"/>
      <c r="Q39" s="2358"/>
      <c r="R39" s="2358"/>
      <c r="S39" s="2358"/>
      <c r="T39" s="2358"/>
      <c r="U39" s="2358"/>
      <c r="V39" s="2358"/>
      <c r="W39" s="2358"/>
      <c r="X39" s="2359"/>
      <c r="Y39" s="2373">
        <v>0.04</v>
      </c>
      <c r="Z39" s="2373"/>
      <c r="AA39" s="2373"/>
      <c r="AB39" s="2373"/>
      <c r="AC39" s="2373"/>
      <c r="AD39" s="2373">
        <v>0.04</v>
      </c>
      <c r="AE39" s="2373"/>
      <c r="AF39" s="2373"/>
      <c r="AG39" s="2373"/>
      <c r="AH39" s="2373"/>
    </row>
    <row r="40" spans="1:76" ht="12.95" customHeight="1">
      <c r="A40" s="400"/>
      <c r="B40" s="2357" t="s">
        <v>642</v>
      </c>
      <c r="C40" s="2358"/>
      <c r="D40" s="2358"/>
      <c r="E40" s="2358"/>
      <c r="F40" s="2358"/>
      <c r="G40" s="2358"/>
      <c r="H40" s="2358"/>
      <c r="I40" s="2358"/>
      <c r="J40" s="2358"/>
      <c r="K40" s="2358"/>
      <c r="L40" s="2358"/>
      <c r="M40" s="2358"/>
      <c r="N40" s="2358"/>
      <c r="O40" s="2358"/>
      <c r="P40" s="2358"/>
      <c r="Q40" s="2358"/>
      <c r="R40" s="2358"/>
      <c r="S40" s="2358"/>
      <c r="T40" s="2358"/>
      <c r="U40" s="2358"/>
      <c r="V40" s="2358"/>
      <c r="W40" s="2358"/>
      <c r="X40" s="2359"/>
      <c r="Y40" s="2351">
        <f>ROUND(Y38*Y39,0)</f>
        <v>2592503</v>
      </c>
      <c r="Z40" s="2351"/>
      <c r="AA40" s="2351"/>
      <c r="AB40" s="2351"/>
      <c r="AC40" s="2351"/>
      <c r="AD40" s="2370">
        <f>ROUND(AD38*AD39,0)</f>
        <v>0</v>
      </c>
      <c r="AE40" s="2351"/>
      <c r="AF40" s="2351"/>
      <c r="AG40" s="2351"/>
      <c r="AH40" s="2351"/>
    </row>
    <row r="41" spans="1:76" ht="12.95" customHeight="1">
      <c r="B41" s="2357" t="s">
        <v>643</v>
      </c>
      <c r="C41" s="2358"/>
      <c r="D41" s="2358"/>
      <c r="E41" s="2358"/>
      <c r="F41" s="2358"/>
      <c r="G41" s="2358"/>
      <c r="H41" s="2358"/>
      <c r="I41" s="2358"/>
      <c r="J41" s="2358"/>
      <c r="K41" s="2358"/>
      <c r="L41" s="2358"/>
      <c r="M41" s="2358"/>
      <c r="N41" s="2358"/>
      <c r="O41" s="2358"/>
      <c r="P41" s="2358"/>
      <c r="Q41" s="2358"/>
      <c r="R41" s="2358"/>
      <c r="S41" s="2358"/>
      <c r="T41" s="2358"/>
      <c r="U41" s="2358"/>
      <c r="V41" s="2358"/>
      <c r="W41" s="2358"/>
      <c r="X41" s="2359"/>
      <c r="Y41" s="2361">
        <f>Y40+AD40</f>
        <v>2592503</v>
      </c>
      <c r="Z41" s="2369"/>
      <c r="AA41" s="2369"/>
      <c r="AB41" s="2369"/>
      <c r="AC41" s="2369"/>
      <c r="AD41" s="2369"/>
      <c r="AE41" s="2369"/>
      <c r="AF41" s="2369"/>
      <c r="AG41" s="2369"/>
      <c r="AH41" s="2370"/>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68" t="s">
        <v>1275</v>
      </c>
      <c r="B44" s="2368"/>
      <c r="C44" s="2368"/>
      <c r="D44" s="2368"/>
      <c r="E44" s="2368"/>
      <c r="F44" s="2368"/>
      <c r="G44" s="2368"/>
      <c r="H44" s="2368"/>
      <c r="I44" s="2368"/>
      <c r="J44" s="2368"/>
      <c r="K44" s="2368"/>
      <c r="L44" s="2368"/>
      <c r="M44" s="2368"/>
      <c r="N44" s="2368"/>
      <c r="O44" s="2368"/>
      <c r="P44" s="2368"/>
      <c r="Q44" s="2368"/>
      <c r="R44" s="2368"/>
      <c r="S44" s="2368"/>
      <c r="T44" s="2368"/>
      <c r="U44" s="2368"/>
      <c r="V44" s="2368"/>
      <c r="W44" s="2368"/>
      <c r="X44" s="2368"/>
      <c r="Y44" s="2368"/>
      <c r="Z44" s="2368"/>
      <c r="AA44" s="2368"/>
      <c r="AB44" s="2368"/>
      <c r="AC44" s="2368"/>
      <c r="AD44" s="2368"/>
      <c r="AE44" s="2368"/>
      <c r="AF44" s="2368"/>
      <c r="AG44" s="2368"/>
      <c r="AH44" s="2368"/>
      <c r="AI44" s="2368"/>
      <c r="AJ44" s="2368"/>
      <c r="AK44" s="2368"/>
      <c r="AL44" s="2368"/>
      <c r="AM44" s="2368"/>
      <c r="AN44" s="2368"/>
      <c r="AO44" s="2368"/>
      <c r="AP44" s="2368"/>
      <c r="AQ44" s="2368"/>
      <c r="AR44" s="2368"/>
      <c r="AS44" s="2368"/>
      <c r="AT44" s="2368"/>
      <c r="AU44" s="2368"/>
      <c r="AV44" s="2368"/>
      <c r="AW44" s="2368"/>
      <c r="AX44" s="2368"/>
      <c r="AY44" s="2368"/>
      <c r="AZ44" s="2368"/>
      <c r="BA44" s="2368"/>
      <c r="BB44" s="2368"/>
      <c r="BC44" s="2368"/>
      <c r="BD44" s="2368"/>
      <c r="BE44" s="2368"/>
      <c r="BF44" s="2368"/>
      <c r="BG44" s="2368"/>
      <c r="BH44" s="2368"/>
      <c r="BI44" s="2368"/>
      <c r="BJ44" s="2368"/>
      <c r="BK44" s="2368"/>
      <c r="BL44" s="2368"/>
      <c r="BM44" s="2368"/>
      <c r="BN44" s="2368"/>
      <c r="BO44" s="2368"/>
      <c r="BP44" s="2368"/>
      <c r="BQ44" s="2368"/>
      <c r="BR44" s="2368"/>
      <c r="BS44" s="2368"/>
      <c r="BT44" s="2368"/>
      <c r="BU44" s="2368"/>
      <c r="BV44" s="2368"/>
      <c r="BW44" s="2368"/>
      <c r="BX44" s="2368"/>
    </row>
    <row r="45" spans="1:76" s="204" customFormat="1" ht="12.95" customHeight="1" thickTop="1"/>
    <row r="46" spans="1:76" ht="12.95" customHeight="1">
      <c r="A46" s="400" t="s">
        <v>586</v>
      </c>
      <c r="C46" s="400" t="s">
        <v>282</v>
      </c>
    </row>
    <row r="47" spans="1:76" ht="12.95" customHeight="1">
      <c r="D47" s="400" t="s">
        <v>283</v>
      </c>
      <c r="AB47" s="2365">
        <f>'Sources and Uses Budget'!B105-MAX(IF('Sources and Uses Budget'!B15="",0,'Sources and Uses Budget'!B15),IF(Application!AG403="",0,Application!AG403))</f>
        <v>55906573</v>
      </c>
      <c r="AC47" s="2366"/>
      <c r="AD47" s="2366"/>
      <c r="AE47" s="2366"/>
      <c r="AF47" s="2367"/>
    </row>
    <row r="48" spans="1:76" ht="12.95" customHeight="1">
      <c r="D48" s="400" t="s">
        <v>21</v>
      </c>
      <c r="AB48" s="2365">
        <f>Application!AO647-MAX(IF('Sources and Uses Budget'!B15="",0,'Sources and Uses Budget'!B15),IF(Application!AG403="",0,Application!AG403))</f>
        <v>35168623</v>
      </c>
      <c r="AC48" s="2366"/>
      <c r="AD48" s="2366"/>
      <c r="AE48" s="2366"/>
      <c r="AF48" s="2367"/>
    </row>
    <row r="49" spans="1:76" ht="12.95" customHeight="1">
      <c r="D49" s="400" t="s">
        <v>91</v>
      </c>
      <c r="AB49" s="2365">
        <f>AB47-AB48</f>
        <v>20737950</v>
      </c>
      <c r="AC49" s="2366"/>
      <c r="AD49" s="2366"/>
      <c r="AE49" s="2366"/>
      <c r="AF49" s="2367"/>
    </row>
    <row r="50" spans="1:76" ht="12.95" customHeight="1">
      <c r="D50" s="400" t="s">
        <v>681</v>
      </c>
      <c r="AA50" s="411"/>
      <c r="AB50" s="2353">
        <v>0.79991999999999996</v>
      </c>
      <c r="AC50" s="2354"/>
      <c r="AD50" s="2354"/>
      <c r="AE50" s="2354"/>
      <c r="AF50" s="2355"/>
    </row>
    <row r="51" spans="1:76" s="413" customFormat="1" ht="12.95" customHeight="1">
      <c r="A51" s="398"/>
      <c r="B51" s="398"/>
      <c r="C51" s="398"/>
      <c r="D51" s="398"/>
      <c r="E51" s="2364" t="s">
        <v>2527</v>
      </c>
      <c r="F51" s="2364"/>
      <c r="G51" s="2364"/>
      <c r="H51" s="2364"/>
      <c r="I51" s="2364"/>
      <c r="J51" s="2364"/>
      <c r="K51" s="2364"/>
      <c r="L51" s="2364"/>
      <c r="M51" s="2364"/>
      <c r="N51" s="2364"/>
      <c r="O51" s="2364"/>
      <c r="P51" s="2364"/>
      <c r="Q51" s="2364"/>
      <c r="R51" s="2364"/>
      <c r="S51" s="2364"/>
      <c r="T51" s="2364"/>
      <c r="U51" s="2364"/>
      <c r="V51" s="2364"/>
      <c r="W51" s="2364"/>
      <c r="X51" s="2364"/>
      <c r="Y51" s="2364"/>
      <c r="Z51" s="2364"/>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64"/>
      <c r="F52" s="2364"/>
      <c r="G52" s="2364"/>
      <c r="H52" s="2364"/>
      <c r="I52" s="2364"/>
      <c r="J52" s="2364"/>
      <c r="K52" s="2364"/>
      <c r="L52" s="2364"/>
      <c r="M52" s="2364"/>
      <c r="N52" s="2364"/>
      <c r="O52" s="2364"/>
      <c r="P52" s="2364"/>
      <c r="Q52" s="2364"/>
      <c r="R52" s="2364"/>
      <c r="S52" s="2364"/>
      <c r="T52" s="2364"/>
      <c r="U52" s="2364"/>
      <c r="V52" s="2364"/>
      <c r="W52" s="2364"/>
      <c r="X52" s="2364"/>
      <c r="Y52" s="2364"/>
      <c r="Z52" s="2364"/>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5">
        <f>ROUND(IF(ISERROR((AB49/AB50)),0,(AB49/AB50)),0)</f>
        <v>25925030</v>
      </c>
      <c r="AC54" s="2366"/>
      <c r="AD54" s="2366"/>
      <c r="AE54" s="2366"/>
      <c r="AF54" s="2367"/>
    </row>
    <row r="55" spans="1:76" ht="12.95" customHeight="1">
      <c r="D55" s="400" t="s">
        <v>333</v>
      </c>
      <c r="AB55" s="2365">
        <f>(AB54/10)</f>
        <v>2592503</v>
      </c>
      <c r="AC55" s="2366"/>
      <c r="AD55" s="2366"/>
      <c r="AE55" s="2366"/>
      <c r="AF55" s="2367"/>
    </row>
    <row r="56" spans="1:76" ht="12.95" customHeight="1">
      <c r="D56" s="400" t="s">
        <v>756</v>
      </c>
      <c r="AB56" s="2365">
        <f>ROUND((IF((Y41&lt;AB55),Y41,AB55)),0)</f>
        <v>2592503</v>
      </c>
      <c r="AC56" s="2366"/>
      <c r="AD56" s="2366"/>
      <c r="AE56" s="2366"/>
      <c r="AF56" s="2367"/>
    </row>
    <row r="57" spans="1:76" ht="12.95" customHeight="1">
      <c r="D57" s="400" t="s">
        <v>755</v>
      </c>
      <c r="AB57" s="2365">
        <f>ROUND((10*AB56*AB50),0)</f>
        <v>20737950</v>
      </c>
      <c r="AC57" s="2366"/>
      <c r="AD57" s="2366"/>
      <c r="AE57" s="2366"/>
      <c r="AF57" s="2367"/>
    </row>
    <row r="58" spans="1:76" ht="12.95" customHeight="1">
      <c r="D58" s="400"/>
      <c r="AB58" s="419"/>
      <c r="AC58" s="419"/>
      <c r="AD58" s="419"/>
      <c r="AE58" s="419"/>
      <c r="AF58" s="419"/>
    </row>
    <row r="59" spans="1:76" ht="12.95" customHeight="1">
      <c r="D59" s="400" t="s">
        <v>754</v>
      </c>
      <c r="AB59" s="2349">
        <f>AB49-AB57</f>
        <v>0</v>
      </c>
      <c r="AC59" s="2349"/>
      <c r="AD59" s="2349"/>
      <c r="AE59" s="2349"/>
      <c r="AF59" s="2349"/>
    </row>
    <row r="60" spans="1:76" ht="12.95" customHeight="1">
      <c r="D60" s="400"/>
      <c r="AB60" s="419"/>
      <c r="AC60" s="419"/>
      <c r="AD60" s="419"/>
      <c r="AE60" s="419"/>
      <c r="AF60" s="419"/>
    </row>
    <row r="61" spans="1:76" s="204" customFormat="1" ht="12.95" customHeight="1" thickBot="1">
      <c r="A61" s="2368" t="str">
        <f>IF(Application!AP205="yes","Farmworker State Credit", "State Credit" )</f>
        <v>State Credit</v>
      </c>
      <c r="B61" s="2368"/>
      <c r="C61" s="2368"/>
      <c r="D61" s="2368"/>
      <c r="E61" s="2368"/>
      <c r="F61" s="2368"/>
      <c r="G61" s="2368"/>
      <c r="H61" s="2368"/>
      <c r="I61" s="2368"/>
      <c r="J61" s="2368"/>
      <c r="K61" s="2368"/>
      <c r="L61" s="2368"/>
      <c r="M61" s="2368"/>
      <c r="N61" s="2368"/>
      <c r="O61" s="2368"/>
      <c r="P61" s="2368"/>
      <c r="Q61" s="2368"/>
      <c r="R61" s="2368"/>
      <c r="S61" s="2368"/>
      <c r="T61" s="2368"/>
      <c r="U61" s="2368"/>
      <c r="V61" s="2368"/>
      <c r="W61" s="2368"/>
      <c r="X61" s="2368"/>
      <c r="Y61" s="2368"/>
      <c r="Z61" s="2368"/>
      <c r="AA61" s="2368"/>
      <c r="AB61" s="2368"/>
      <c r="AC61" s="2368"/>
      <c r="AD61" s="2368"/>
      <c r="AE61" s="2368"/>
      <c r="AF61" s="2368"/>
      <c r="AG61" s="2368"/>
      <c r="AH61" s="2368"/>
      <c r="AI61" s="2368"/>
      <c r="AJ61" s="2368"/>
      <c r="AK61" s="2368"/>
      <c r="AL61" s="2368"/>
      <c r="AM61" s="2368"/>
      <c r="AN61" s="2368"/>
      <c r="AO61" s="2368"/>
      <c r="AP61" s="2368"/>
      <c r="AQ61" s="2368"/>
      <c r="AR61" s="2368"/>
      <c r="AS61" s="2368"/>
      <c r="AT61" s="2368"/>
      <c r="AU61" s="2368"/>
      <c r="AV61" s="2368"/>
      <c r="AW61" s="2368"/>
      <c r="AX61" s="2368"/>
      <c r="AY61" s="2368"/>
      <c r="AZ61" s="2368"/>
      <c r="BA61" s="2368"/>
      <c r="BB61" s="2368"/>
      <c r="BC61" s="2368"/>
      <c r="BD61" s="2368"/>
      <c r="BE61" s="2368"/>
      <c r="BF61" s="2368"/>
      <c r="BG61" s="2368"/>
      <c r="BH61" s="2368"/>
      <c r="BI61" s="2368"/>
      <c r="BJ61" s="2368"/>
      <c r="BK61" s="2368"/>
      <c r="BL61" s="2368"/>
      <c r="BM61" s="2368"/>
      <c r="BN61" s="2368"/>
      <c r="BO61" s="2368"/>
      <c r="BP61" s="2368"/>
      <c r="BQ61" s="2368"/>
      <c r="BR61" s="2368"/>
      <c r="BS61" s="2368"/>
      <c r="BT61" s="2368"/>
      <c r="BU61" s="2368"/>
      <c r="BV61" s="2368"/>
      <c r="BW61" s="2368"/>
      <c r="BX61" s="2368"/>
    </row>
    <row r="62" spans="1:76" s="204" customFormat="1" ht="12.95" customHeight="1" thickTop="1"/>
    <row r="63" spans="1:76" ht="12.95" customHeight="1">
      <c r="A63" s="400" t="s">
        <v>589</v>
      </c>
      <c r="C63" s="205" t="s">
        <v>1247</v>
      </c>
      <c r="Y63" s="2360" t="s">
        <v>984</v>
      </c>
      <c r="Z63" s="2360"/>
      <c r="AA63" s="2360"/>
      <c r="AB63" s="2360"/>
      <c r="AC63" s="2360"/>
      <c r="AD63" s="2360" t="s">
        <v>369</v>
      </c>
      <c r="AE63" s="2360"/>
      <c r="AF63" s="2360"/>
      <c r="AG63" s="2360"/>
      <c r="AH63" s="2360"/>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61">
        <f>IF(Application!$Z$205="(select)",0,((T23*T27)+Y28))</f>
        <v>0</v>
      </c>
      <c r="Z64" s="2362"/>
      <c r="AA64" s="2362"/>
      <c r="AB64" s="2362"/>
      <c r="AC64" s="2363"/>
      <c r="AD64" s="2361">
        <f>IF(AND(OR(Application!D211="At-Risk",Application!D211="At-Risk and Special Needs"),Application!M367="yes"),AD28+AI28,0)</f>
        <v>0</v>
      </c>
      <c r="AE64" s="2362"/>
      <c r="AF64" s="2362"/>
      <c r="AG64" s="2362"/>
      <c r="AH64" s="2363"/>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50">
        <f>IF(OR(Application!Z205="State Farmworker Credit",Application!Z205="$500M (Farmworker Housing)"),0.75,IF(Application!Z205="15% set-aside",0.13,IF(Application!Z205="15% set-aside with qualifying low value rehab",0.95,IF(Application!Z205="$500M",0.3,0))))</f>
        <v>0</v>
      </c>
      <c r="Z67" s="2350"/>
      <c r="AA67" s="2350"/>
      <c r="AB67" s="2350"/>
      <c r="AC67" s="2350"/>
      <c r="AD67" s="2350">
        <f>IF(Application!Z205="15% set-aside with qualifying low value rehab", 0.95,IF(OR(Application!D211="At-Risk",'Points System'!B26="Yes"),0.13,0))</f>
        <v>0</v>
      </c>
      <c r="AE67" s="2350"/>
      <c r="AF67" s="2350"/>
      <c r="AG67" s="2350"/>
      <c r="AH67" s="2350"/>
    </row>
    <row r="68" spans="1:37" ht="12.95" customHeight="1">
      <c r="C68" s="400"/>
      <c r="D68" s="205" t="s">
        <v>2173</v>
      </c>
      <c r="Y68" s="2351">
        <f>IF(AND(T25=1.3,OR(Y67=0.13,Y67=0.95),NOT(Application!T212&gt;=50%)),0,ROUND(Y64*Y67,0))</f>
        <v>0</v>
      </c>
      <c r="Z68" s="2352"/>
      <c r="AA68" s="2352"/>
      <c r="AB68" s="2352"/>
      <c r="AC68" s="2352"/>
      <c r="AD68" s="2351">
        <f>IF(AND(T25=1.3,AD67&gt;0,NOT(Application!T212&gt;=50%)),0,ROUND(AD64*AD67,0))</f>
        <v>0</v>
      </c>
      <c r="AE68" s="2352"/>
      <c r="AF68" s="2352"/>
      <c r="AG68" s="2352"/>
      <c r="AH68" s="2352"/>
      <c r="AK68" s="1187"/>
    </row>
    <row r="69" spans="1:37" ht="12.95" customHeight="1">
      <c r="C69" s="400"/>
      <c r="D69" s="205" t="s">
        <v>2174</v>
      </c>
      <c r="Y69" s="2351">
        <f>IF(OR(Application!Z205="State Farmworker Credit",Application!Z205="$500M (Farmworker Housing)"),Y68+AD68,MIN(Y68+AD68,200000*(Application!G761+Application!O785)))</f>
        <v>0</v>
      </c>
      <c r="Z69" s="2351"/>
      <c r="AA69" s="2351"/>
      <c r="AB69" s="2351"/>
      <c r="AC69" s="2351"/>
      <c r="AD69" s="2351"/>
      <c r="AE69" s="2351"/>
      <c r="AF69" s="2351"/>
      <c r="AG69" s="2351"/>
      <c r="AH69" s="2351"/>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53"/>
      <c r="AC72" s="2354"/>
      <c r="AD72" s="2354"/>
      <c r="AE72" s="2354"/>
      <c r="AF72" s="2355"/>
    </row>
    <row r="73" spans="1:37" ht="12.95" customHeight="1">
      <c r="A73" s="400"/>
      <c r="C73" s="400"/>
      <c r="D73" s="400"/>
      <c r="E73" s="2356" t="s">
        <v>1250</v>
      </c>
      <c r="F73" s="2356"/>
      <c r="G73" s="2356"/>
      <c r="H73" s="2356"/>
      <c r="I73" s="2356"/>
      <c r="J73" s="2356"/>
      <c r="K73" s="2356"/>
      <c r="L73" s="2356"/>
      <c r="M73" s="2356"/>
      <c r="N73" s="2356"/>
      <c r="O73" s="2356"/>
      <c r="P73" s="2356"/>
      <c r="Q73" s="2356"/>
      <c r="R73" s="2356"/>
      <c r="S73" s="2356"/>
      <c r="T73" s="2356"/>
      <c r="U73" s="2356"/>
      <c r="V73" s="2356"/>
      <c r="W73" s="2356"/>
      <c r="X73" s="2356"/>
      <c r="Y73" s="2356"/>
      <c r="Z73" s="2356"/>
      <c r="AA73" s="2356"/>
      <c r="AB73" s="434"/>
      <c r="AC73" s="434"/>
    </row>
    <row r="74" spans="1:37" ht="12.95" customHeight="1">
      <c r="A74" s="400"/>
      <c r="C74" s="400"/>
      <c r="D74" s="400"/>
      <c r="E74" s="2356"/>
      <c r="F74" s="2356"/>
      <c r="G74" s="2356"/>
      <c r="H74" s="2356"/>
      <c r="I74" s="2356"/>
      <c r="J74" s="2356"/>
      <c r="K74" s="2356"/>
      <c r="L74" s="2356"/>
      <c r="M74" s="2356"/>
      <c r="N74" s="2356"/>
      <c r="O74" s="2356"/>
      <c r="P74" s="2356"/>
      <c r="Q74" s="2356"/>
      <c r="R74" s="2356"/>
      <c r="S74" s="2356"/>
      <c r="T74" s="2356"/>
      <c r="U74" s="2356"/>
      <c r="V74" s="2356"/>
      <c r="W74" s="2356"/>
      <c r="X74" s="2356"/>
      <c r="Y74" s="2356"/>
      <c r="Z74" s="2356"/>
      <c r="AA74" s="2356"/>
      <c r="AB74" s="434"/>
      <c r="AC74" s="434"/>
    </row>
    <row r="75" spans="1:37" ht="12.95" customHeight="1">
      <c r="A75" s="400"/>
      <c r="C75" s="400"/>
      <c r="D75" s="400"/>
      <c r="E75" s="2356"/>
      <c r="F75" s="2356"/>
      <c r="G75" s="2356"/>
      <c r="H75" s="2356"/>
      <c r="I75" s="2356"/>
      <c r="J75" s="2356"/>
      <c r="K75" s="2356"/>
      <c r="L75" s="2356"/>
      <c r="M75" s="2356"/>
      <c r="N75" s="2356"/>
      <c r="O75" s="2356"/>
      <c r="P75" s="2356"/>
      <c r="Q75" s="2356"/>
      <c r="R75" s="2356"/>
      <c r="S75" s="2356"/>
      <c r="T75" s="2356"/>
      <c r="U75" s="2356"/>
      <c r="V75" s="2356"/>
      <c r="W75" s="2356"/>
      <c r="X75" s="2356"/>
      <c r="Y75" s="2356"/>
      <c r="Z75" s="2356"/>
      <c r="AA75" s="2356"/>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344">
        <f>ROUND(IF(ISERROR((AB59/AB72)),0,(AB59/AB72)),0)</f>
        <v>0</v>
      </c>
      <c r="AC77" s="2344"/>
      <c r="AD77" s="2344"/>
      <c r="AE77" s="2344"/>
      <c r="AF77" s="2344"/>
    </row>
    <row r="78" spans="1:37" ht="12.95" customHeight="1">
      <c r="C78" s="400"/>
      <c r="D78" s="205" t="s">
        <v>1252</v>
      </c>
      <c r="AB78" s="2345">
        <f>ROUNDUP(MIN(Y69,AB77),0)</f>
        <v>0</v>
      </c>
      <c r="AC78" s="2346"/>
      <c r="AD78" s="2346"/>
      <c r="AE78" s="2346"/>
      <c r="AF78" s="2347"/>
    </row>
    <row r="79" spans="1:37" ht="12.95" customHeight="1">
      <c r="C79" s="400"/>
      <c r="D79" s="205" t="s">
        <v>1253</v>
      </c>
      <c r="AB79" s="2348">
        <f>AB78*AB72</f>
        <v>0</v>
      </c>
      <c r="AC79" s="2348"/>
      <c r="AD79" s="2348"/>
      <c r="AE79" s="2348"/>
      <c r="AF79" s="2348"/>
    </row>
    <row r="80" spans="1:37" ht="12.95" customHeight="1">
      <c r="C80" s="400"/>
      <c r="D80" s="400"/>
      <c r="AB80" s="421"/>
      <c r="AC80" s="421"/>
      <c r="AD80" s="421"/>
      <c r="AE80" s="421"/>
      <c r="AF80" s="421"/>
    </row>
    <row r="81" spans="1:78" ht="12.95" customHeight="1">
      <c r="D81" s="400" t="s">
        <v>754</v>
      </c>
      <c r="AB81" s="2349">
        <f>AB49-(AB57+AB79)</f>
        <v>0</v>
      </c>
      <c r="AC81" s="2349"/>
      <c r="AD81" s="2349"/>
      <c r="AE81" s="2349"/>
      <c r="AF81" s="2349"/>
    </row>
    <row r="82" spans="1:78" ht="12.95" customHeight="1">
      <c r="F82" s="518"/>
      <c r="J82" s="518" t="str">
        <f>IF(AB81&gt;0,"FUNDING GAP MUST NOT EXCEED ZERO","")</f>
        <v/>
      </c>
    </row>
    <row r="83" spans="1:78" ht="12.95" customHeight="1">
      <c r="D83" s="519"/>
    </row>
    <row r="84" spans="1:78" ht="12.95" customHeight="1" thickBot="1">
      <c r="A84" s="2368"/>
      <c r="B84" s="2368"/>
      <c r="C84" s="2368"/>
      <c r="D84" s="2368"/>
      <c r="E84" s="2368"/>
      <c r="F84" s="2368"/>
      <c r="G84" s="2368"/>
      <c r="H84" s="2368"/>
      <c r="I84" s="2368"/>
      <c r="J84" s="2368"/>
      <c r="K84" s="2368"/>
      <c r="L84" s="2368"/>
      <c r="M84" s="2368"/>
      <c r="N84" s="2368"/>
      <c r="O84" s="2368"/>
      <c r="P84" s="2368"/>
      <c r="Q84" s="2368"/>
      <c r="R84" s="2368"/>
      <c r="S84" s="2368"/>
      <c r="T84" s="2368"/>
      <c r="U84" s="2368"/>
      <c r="V84" s="2368"/>
      <c r="W84" s="2368"/>
      <c r="X84" s="2368"/>
      <c r="Y84" s="2368"/>
      <c r="Z84" s="2368"/>
      <c r="AA84" s="2368"/>
      <c r="AB84" s="2368"/>
      <c r="AC84" s="2368"/>
      <c r="AD84" s="2368"/>
      <c r="AE84" s="2368"/>
      <c r="AF84" s="2368"/>
      <c r="AG84" s="2368"/>
      <c r="AH84" s="2368"/>
      <c r="AI84" s="2368"/>
      <c r="AJ84" s="2368"/>
      <c r="AK84" s="2368"/>
      <c r="AL84" s="2368"/>
      <c r="AM84" s="2368"/>
      <c r="AN84" s="2368"/>
      <c r="AO84" s="2368"/>
      <c r="AP84" s="2368"/>
      <c r="AQ84" s="2368"/>
      <c r="AR84" s="2368"/>
      <c r="AS84" s="2368"/>
      <c r="AT84" s="2368"/>
      <c r="AU84" s="2368"/>
      <c r="AV84" s="2368"/>
      <c r="AW84" s="2368"/>
      <c r="AX84" s="2368"/>
      <c r="AY84" s="2368"/>
      <c r="AZ84" s="2368"/>
      <c r="BA84" s="2368"/>
      <c r="BB84" s="2368"/>
      <c r="BC84" s="2368"/>
      <c r="BD84" s="2368"/>
      <c r="BE84" s="2368"/>
      <c r="BF84" s="2368"/>
      <c r="BG84" s="2368"/>
      <c r="BH84" s="2368"/>
      <c r="BI84" s="2368"/>
      <c r="BJ84" s="2368"/>
      <c r="BK84" s="2368"/>
      <c r="BL84" s="2368"/>
      <c r="BM84" s="2368"/>
      <c r="BN84" s="2368"/>
      <c r="BO84" s="2368"/>
      <c r="BP84" s="2368"/>
      <c r="BQ84" s="2368"/>
      <c r="BR84" s="2368"/>
      <c r="BS84" s="2368"/>
      <c r="BT84" s="2368"/>
      <c r="BU84" s="2368"/>
      <c r="BV84" s="2368"/>
      <c r="BW84" s="2368"/>
      <c r="BX84" s="2368"/>
    </row>
    <row r="85" spans="1:78" ht="12.95" customHeight="1" thickTop="1"/>
    <row r="86" spans="1:78" ht="12.95" hidden="1" customHeight="1">
      <c r="A86" s="400"/>
      <c r="C86" s="205"/>
    </row>
    <row r="87" spans="1:78" ht="12.95" hidden="1" customHeight="1">
      <c r="D87" s="205"/>
      <c r="AB87" s="2400"/>
      <c r="AC87" s="2400"/>
      <c r="AD87" s="2400"/>
      <c r="AE87" s="2400"/>
      <c r="AF87" s="2400"/>
    </row>
    <row r="88" spans="1:78" ht="12.95" hidden="1" customHeight="1" thickBot="1">
      <c r="D88" s="205"/>
      <c r="AB88" s="2399"/>
      <c r="AC88" s="2399"/>
      <c r="AD88" s="2399"/>
      <c r="AE88" s="2399"/>
      <c r="AF88" s="239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583" workbookViewId="0">
      <selection activeCell="O127" sqref="O127"/>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444" t="s">
        <v>1298</v>
      </c>
      <c r="B1" s="2444"/>
      <c r="C1" s="2444"/>
      <c r="D1" s="2444"/>
      <c r="E1" s="2444"/>
      <c r="F1" s="2444"/>
      <c r="G1" s="2444"/>
      <c r="H1" s="2444"/>
      <c r="I1" s="2444"/>
      <c r="J1" s="2444"/>
      <c r="K1" s="2444"/>
      <c r="L1" s="2444"/>
      <c r="M1" s="2444"/>
      <c r="N1" s="2444"/>
      <c r="O1" s="2444"/>
      <c r="P1" s="2444"/>
      <c r="Q1" s="2444"/>
      <c r="R1" s="2444"/>
      <c r="S1" s="2444"/>
      <c r="T1" s="2444"/>
      <c r="U1" s="2444"/>
      <c r="V1" s="2444"/>
      <c r="W1" s="2444"/>
      <c r="X1" s="2444"/>
      <c r="Y1" s="2444"/>
      <c r="Z1" s="2444"/>
      <c r="AA1" s="2444"/>
      <c r="AB1" s="2444"/>
      <c r="AC1" s="2444"/>
      <c r="AD1" s="2444"/>
      <c r="AE1" s="2444"/>
      <c r="AF1" s="2444"/>
      <c r="AG1" s="2444"/>
      <c r="AH1" s="2444"/>
      <c r="AI1" s="2444"/>
      <c r="AJ1" s="2444"/>
      <c r="AK1" s="2444"/>
      <c r="AL1" s="2444"/>
      <c r="AM1" s="2444"/>
    </row>
    <row r="2" spans="1:41" s="532" customFormat="1" ht="12.75" customHeight="1" thickBot="1">
      <c r="A2" s="2445"/>
      <c r="B2" s="2445"/>
      <c r="C2" s="2445"/>
      <c r="D2" s="2445"/>
      <c r="E2" s="2445"/>
      <c r="F2" s="2445"/>
      <c r="G2" s="2445"/>
      <c r="H2" s="2445"/>
      <c r="I2" s="2445"/>
      <c r="J2" s="2445"/>
      <c r="K2" s="2445"/>
      <c r="L2" s="2445"/>
      <c r="M2" s="2445"/>
      <c r="N2" s="2445"/>
      <c r="O2" s="2445"/>
      <c r="P2" s="2445"/>
      <c r="Q2" s="2445"/>
      <c r="R2" s="2445"/>
      <c r="S2" s="2445"/>
      <c r="T2" s="2445"/>
      <c r="U2" s="2445"/>
      <c r="V2" s="2445"/>
      <c r="W2" s="2445"/>
      <c r="X2" s="2445"/>
      <c r="Y2" s="2445"/>
      <c r="Z2" s="2445"/>
      <c r="AA2" s="2445"/>
      <c r="AB2" s="2445"/>
      <c r="AC2" s="2445"/>
      <c r="AD2" s="2445"/>
      <c r="AE2" s="2445"/>
      <c r="AF2" s="2445"/>
      <c r="AG2" s="2445"/>
      <c r="AH2" s="2445"/>
      <c r="AI2" s="2445"/>
      <c r="AJ2" s="2445"/>
      <c r="AK2" s="2445"/>
      <c r="AL2" s="2445"/>
      <c r="AM2" s="2445"/>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7" t="s">
        <v>1302</v>
      </c>
      <c r="AF7" s="2437"/>
      <c r="AG7" s="2437"/>
      <c r="AH7" s="2437"/>
      <c r="AI7" s="2437"/>
      <c r="AJ7" s="2437"/>
      <c r="AK7" s="2437"/>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9" t="s">
        <v>591</v>
      </c>
      <c r="C11" s="2409"/>
      <c r="D11" s="536"/>
      <c r="E11" s="2425" t="s">
        <v>2541</v>
      </c>
      <c r="F11" s="2426"/>
      <c r="G11" s="2426"/>
      <c r="H11" s="2426"/>
      <c r="I11" s="2426"/>
      <c r="J11" s="2426"/>
      <c r="K11" s="2426"/>
      <c r="L11" s="2426"/>
      <c r="M11" s="2426"/>
      <c r="N11" s="2426"/>
      <c r="O11" s="2426"/>
      <c r="P11" s="2426"/>
      <c r="Q11" s="2426"/>
      <c r="R11" s="2426"/>
      <c r="S11" s="2426"/>
      <c r="T11" s="2426"/>
      <c r="U11" s="2426"/>
      <c r="V11" s="2426"/>
      <c r="W11" s="2426"/>
      <c r="X11" s="2426"/>
      <c r="Y11" s="2426"/>
      <c r="Z11" s="2426"/>
      <c r="AA11" s="2426"/>
      <c r="AB11" s="2426"/>
      <c r="AC11" s="2426"/>
      <c r="AD11" s="2426"/>
      <c r="AE11" s="2426"/>
      <c r="AF11" s="2426"/>
      <c r="AG11" s="2426"/>
      <c r="AH11" s="2426"/>
      <c r="AI11" s="2426"/>
      <c r="AJ11" s="2427"/>
      <c r="AK11" s="536"/>
      <c r="AL11" s="536"/>
      <c r="AM11" s="536"/>
      <c r="AN11" s="531"/>
      <c r="AO11" s="552"/>
    </row>
    <row r="12" spans="1:41" s="532" customFormat="1" ht="12.75" customHeight="1">
      <c r="A12" s="536"/>
      <c r="D12" s="541"/>
      <c r="E12" s="2454"/>
      <c r="F12" s="2455"/>
      <c r="G12" s="2455"/>
      <c r="H12" s="2455"/>
      <c r="I12" s="2455"/>
      <c r="J12" s="2455"/>
      <c r="K12" s="2455"/>
      <c r="L12" s="2455"/>
      <c r="M12" s="2455"/>
      <c r="N12" s="2455"/>
      <c r="O12" s="2455"/>
      <c r="P12" s="2455"/>
      <c r="Q12" s="2455"/>
      <c r="R12" s="2455"/>
      <c r="S12" s="2455"/>
      <c r="T12" s="2455"/>
      <c r="U12" s="2455"/>
      <c r="V12" s="2455"/>
      <c r="W12" s="2455"/>
      <c r="X12" s="2455"/>
      <c r="Y12" s="2455"/>
      <c r="Z12" s="2455"/>
      <c r="AA12" s="2455"/>
      <c r="AB12" s="2455"/>
      <c r="AC12" s="2455"/>
      <c r="AD12" s="2455"/>
      <c r="AE12" s="2455"/>
      <c r="AF12" s="2455"/>
      <c r="AG12" s="2455"/>
      <c r="AH12" s="2455"/>
      <c r="AI12" s="2455"/>
      <c r="AJ12" s="2456"/>
      <c r="AK12" s="536"/>
      <c r="AL12" s="536"/>
      <c r="AM12" s="536"/>
      <c r="AN12" s="531"/>
      <c r="AO12" s="552"/>
    </row>
    <row r="13" spans="1:41" s="532" customFormat="1" ht="12.75" customHeight="1">
      <c r="A13" s="536"/>
      <c r="D13" s="536"/>
      <c r="E13" s="2428"/>
      <c r="F13" s="2429"/>
      <c r="G13" s="2429"/>
      <c r="H13" s="2429"/>
      <c r="I13" s="2429"/>
      <c r="J13" s="2429"/>
      <c r="K13" s="2429"/>
      <c r="L13" s="2429"/>
      <c r="M13" s="2429"/>
      <c r="N13" s="2429"/>
      <c r="O13" s="2429"/>
      <c r="P13" s="2429"/>
      <c r="Q13" s="2429"/>
      <c r="R13" s="2429"/>
      <c r="S13" s="2429"/>
      <c r="T13" s="2429"/>
      <c r="U13" s="2429"/>
      <c r="V13" s="2429"/>
      <c r="W13" s="2429"/>
      <c r="X13" s="2429"/>
      <c r="Y13" s="2429"/>
      <c r="Z13" s="2429"/>
      <c r="AA13" s="2429"/>
      <c r="AB13" s="2429"/>
      <c r="AC13" s="2429"/>
      <c r="AD13" s="2429"/>
      <c r="AE13" s="2429"/>
      <c r="AF13" s="2429"/>
      <c r="AG13" s="2429"/>
      <c r="AH13" s="2429"/>
      <c r="AI13" s="2429"/>
      <c r="AJ13" s="243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9" t="s">
        <v>591</v>
      </c>
      <c r="C15" s="2409"/>
      <c r="D15" s="536"/>
      <c r="E15" s="2425" t="s">
        <v>2542</v>
      </c>
      <c r="F15" s="2426"/>
      <c r="G15" s="2426"/>
      <c r="H15" s="2426"/>
      <c r="I15" s="2426"/>
      <c r="J15" s="2426"/>
      <c r="K15" s="2426"/>
      <c r="L15" s="2426"/>
      <c r="M15" s="2426"/>
      <c r="N15" s="2426"/>
      <c r="O15" s="2426"/>
      <c r="P15" s="2426"/>
      <c r="Q15" s="2426"/>
      <c r="R15" s="2426"/>
      <c r="S15" s="2426"/>
      <c r="T15" s="2426"/>
      <c r="U15" s="2426"/>
      <c r="V15" s="2426"/>
      <c r="W15" s="2426"/>
      <c r="X15" s="2426"/>
      <c r="Y15" s="2426"/>
      <c r="Z15" s="2426"/>
      <c r="AA15" s="2426"/>
      <c r="AB15" s="2426"/>
      <c r="AC15" s="2426"/>
      <c r="AD15" s="2426"/>
      <c r="AE15" s="2426"/>
      <c r="AF15" s="2426"/>
      <c r="AG15" s="2426"/>
      <c r="AH15" s="2426"/>
      <c r="AI15" s="2426"/>
      <c r="AJ15" s="2427"/>
      <c r="AK15" s="536"/>
      <c r="AL15" s="536"/>
      <c r="AM15" s="536"/>
      <c r="AN15" s="531"/>
    </row>
    <row r="16" spans="1:41" s="532" customFormat="1" ht="12.75" customHeight="1">
      <c r="A16" s="536"/>
      <c r="B16" s="536"/>
      <c r="C16" s="536"/>
      <c r="D16" s="536"/>
      <c r="E16" s="2454"/>
      <c r="F16" s="2455"/>
      <c r="G16" s="2455"/>
      <c r="H16" s="2455"/>
      <c r="I16" s="2455"/>
      <c r="J16" s="2455"/>
      <c r="K16" s="2455"/>
      <c r="L16" s="2455"/>
      <c r="M16" s="2455"/>
      <c r="N16" s="2455"/>
      <c r="O16" s="2455"/>
      <c r="P16" s="2455"/>
      <c r="Q16" s="2455"/>
      <c r="R16" s="2455"/>
      <c r="S16" s="2455"/>
      <c r="T16" s="2455"/>
      <c r="U16" s="2455"/>
      <c r="V16" s="2455"/>
      <c r="W16" s="2455"/>
      <c r="X16" s="2455"/>
      <c r="Y16" s="2455"/>
      <c r="Z16" s="2455"/>
      <c r="AA16" s="2455"/>
      <c r="AB16" s="2455"/>
      <c r="AC16" s="2455"/>
      <c r="AD16" s="2455"/>
      <c r="AE16" s="2455"/>
      <c r="AF16" s="2455"/>
      <c r="AG16" s="2455"/>
      <c r="AH16" s="2455"/>
      <c r="AI16" s="2455"/>
      <c r="AJ16" s="2456"/>
      <c r="AK16" s="536"/>
      <c r="AL16" s="536"/>
      <c r="AM16" s="536"/>
      <c r="AN16" s="531"/>
    </row>
    <row r="17" spans="1:50" s="532" customFormat="1" ht="12.75" customHeight="1">
      <c r="A17" s="536"/>
      <c r="B17" s="536"/>
      <c r="C17" s="1130"/>
      <c r="D17" s="536"/>
      <c r="E17" s="2428"/>
      <c r="F17" s="2429"/>
      <c r="G17" s="2429"/>
      <c r="H17" s="2429"/>
      <c r="I17" s="2429"/>
      <c r="J17" s="2429"/>
      <c r="K17" s="2429"/>
      <c r="L17" s="2429"/>
      <c r="M17" s="2429"/>
      <c r="N17" s="2429"/>
      <c r="O17" s="2429"/>
      <c r="P17" s="2429"/>
      <c r="Q17" s="2429"/>
      <c r="R17" s="2429"/>
      <c r="S17" s="2429"/>
      <c r="T17" s="2429"/>
      <c r="U17" s="2429"/>
      <c r="V17" s="2429"/>
      <c r="W17" s="2429"/>
      <c r="X17" s="2429"/>
      <c r="Y17" s="2429"/>
      <c r="Z17" s="2429"/>
      <c r="AA17" s="2429"/>
      <c r="AB17" s="2429"/>
      <c r="AC17" s="2429"/>
      <c r="AD17" s="2429"/>
      <c r="AE17" s="2429"/>
      <c r="AF17" s="2429"/>
      <c r="AG17" s="2429"/>
      <c r="AH17" s="2429"/>
      <c r="AI17" s="2429"/>
      <c r="AJ17" s="243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9" t="s">
        <v>591</v>
      </c>
      <c r="C19" s="2409"/>
      <c r="D19" s="536"/>
      <c r="E19" s="2425" t="s">
        <v>1974</v>
      </c>
      <c r="F19" s="2426"/>
      <c r="G19" s="2426"/>
      <c r="H19" s="2426"/>
      <c r="I19" s="2426"/>
      <c r="J19" s="2426"/>
      <c r="K19" s="2426"/>
      <c r="L19" s="2426"/>
      <c r="M19" s="2426"/>
      <c r="N19" s="2426"/>
      <c r="O19" s="2426"/>
      <c r="P19" s="2426"/>
      <c r="Q19" s="2426"/>
      <c r="R19" s="2426"/>
      <c r="S19" s="2426"/>
      <c r="T19" s="2426"/>
      <c r="U19" s="2426"/>
      <c r="V19" s="2426"/>
      <c r="W19" s="2426"/>
      <c r="X19" s="2426"/>
      <c r="Y19" s="2426"/>
      <c r="Z19" s="2426"/>
      <c r="AA19" s="2426"/>
      <c r="AB19" s="2426"/>
      <c r="AC19" s="2426"/>
      <c r="AD19" s="2426"/>
      <c r="AE19" s="2426"/>
      <c r="AF19" s="2426"/>
      <c r="AG19" s="2426"/>
      <c r="AH19" s="2426"/>
      <c r="AI19" s="2426"/>
      <c r="AJ19" s="2427"/>
      <c r="AK19" s="536"/>
      <c r="AL19" s="536"/>
      <c r="AM19" s="536"/>
      <c r="AN19" s="531"/>
    </row>
    <row r="20" spans="1:50" s="532" customFormat="1" ht="12.75" customHeight="1">
      <c r="A20" s="536"/>
      <c r="B20" s="541"/>
      <c r="C20" s="541"/>
      <c r="D20" s="541"/>
      <c r="E20" s="2428"/>
      <c r="F20" s="2429"/>
      <c r="G20" s="2429"/>
      <c r="H20" s="2429"/>
      <c r="I20" s="2429"/>
      <c r="J20" s="2429"/>
      <c r="K20" s="2429"/>
      <c r="L20" s="2429"/>
      <c r="M20" s="2429"/>
      <c r="N20" s="2429"/>
      <c r="O20" s="2429"/>
      <c r="P20" s="2429"/>
      <c r="Q20" s="2429"/>
      <c r="R20" s="2429"/>
      <c r="S20" s="2429"/>
      <c r="T20" s="2429"/>
      <c r="U20" s="2429"/>
      <c r="V20" s="2429"/>
      <c r="W20" s="2429"/>
      <c r="X20" s="2429"/>
      <c r="Y20" s="2429"/>
      <c r="Z20" s="2429"/>
      <c r="AA20" s="2429"/>
      <c r="AB20" s="2429"/>
      <c r="AC20" s="2429"/>
      <c r="AD20" s="2429"/>
      <c r="AE20" s="2429"/>
      <c r="AF20" s="2429"/>
      <c r="AG20" s="2429"/>
      <c r="AH20" s="2429"/>
      <c r="AI20" s="2429"/>
      <c r="AJ20" s="2430"/>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9" t="s">
        <v>591</v>
      </c>
      <c r="C26" s="2409"/>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6"/>
      <c r="AH26" s="2446"/>
      <c r="AI26" s="2446"/>
      <c r="AJ26" s="2447"/>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9" t="s">
        <v>591</v>
      </c>
      <c r="C30" s="2409"/>
      <c r="D30" s="541"/>
      <c r="E30" s="2410" t="s">
        <v>2548</v>
      </c>
      <c r="F30" s="2411"/>
      <c r="G30" s="2411"/>
      <c r="H30" s="2411"/>
      <c r="I30" s="2411"/>
      <c r="J30" s="2411"/>
      <c r="K30" s="2411"/>
      <c r="L30" s="2411"/>
      <c r="M30" s="2411"/>
      <c r="N30" s="2411"/>
      <c r="O30" s="2411"/>
      <c r="P30" s="2411"/>
      <c r="Q30" s="2411"/>
      <c r="R30" s="2411"/>
      <c r="S30" s="2411"/>
      <c r="T30" s="2411"/>
      <c r="U30" s="2411"/>
      <c r="V30" s="2411"/>
      <c r="W30" s="2411"/>
      <c r="X30" s="2411"/>
      <c r="Y30" s="2411"/>
      <c r="Z30" s="2411"/>
      <c r="AA30" s="2411"/>
      <c r="AB30" s="2411"/>
      <c r="AC30" s="2411"/>
      <c r="AD30" s="2411"/>
      <c r="AE30" s="2411"/>
      <c r="AF30" s="2411"/>
      <c r="AG30" s="2411"/>
      <c r="AH30" s="2411"/>
      <c r="AI30" s="2411"/>
      <c r="AJ30" s="2412"/>
      <c r="AK30" s="536"/>
      <c r="AL30" s="536"/>
      <c r="AM30" s="536"/>
      <c r="AN30" s="531"/>
      <c r="AO30" s="544">
        <f>IF($B30="yes",9,0)</f>
        <v>0</v>
      </c>
    </row>
    <row r="31" spans="1:50" s="532" customFormat="1" ht="12.75" customHeight="1">
      <c r="A31" s="536"/>
      <c r="B31" s="536"/>
      <c r="C31" s="536"/>
      <c r="E31" s="2413"/>
      <c r="F31" s="2414"/>
      <c r="G31" s="2414"/>
      <c r="H31" s="2414"/>
      <c r="I31" s="2414"/>
      <c r="J31" s="2414"/>
      <c r="K31" s="2414"/>
      <c r="L31" s="2414"/>
      <c r="M31" s="2414"/>
      <c r="N31" s="2414"/>
      <c r="O31" s="2414"/>
      <c r="P31" s="2414"/>
      <c r="Q31" s="2414"/>
      <c r="R31" s="2414"/>
      <c r="S31" s="2414"/>
      <c r="T31" s="2414"/>
      <c r="U31" s="2414"/>
      <c r="V31" s="2414"/>
      <c r="W31" s="2414"/>
      <c r="X31" s="2414"/>
      <c r="Y31" s="2414"/>
      <c r="Z31" s="2414"/>
      <c r="AA31" s="2414"/>
      <c r="AB31" s="2414"/>
      <c r="AC31" s="2414"/>
      <c r="AD31" s="2414"/>
      <c r="AE31" s="2414"/>
      <c r="AF31" s="2414"/>
      <c r="AG31" s="2414"/>
      <c r="AH31" s="2414"/>
      <c r="AI31" s="2414"/>
      <c r="AJ31" s="2415"/>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9" t="s">
        <v>591</v>
      </c>
      <c r="C33" s="2409"/>
      <c r="D33" s="541"/>
      <c r="E33" s="2410" t="s">
        <v>2549</v>
      </c>
      <c r="F33" s="2411"/>
      <c r="G33" s="2411"/>
      <c r="H33" s="2411"/>
      <c r="I33" s="2411"/>
      <c r="J33" s="2411"/>
      <c r="K33" s="2411"/>
      <c r="L33" s="2411"/>
      <c r="M33" s="2411"/>
      <c r="N33" s="2411"/>
      <c r="O33" s="2411"/>
      <c r="P33" s="2411"/>
      <c r="Q33" s="2411"/>
      <c r="R33" s="2411"/>
      <c r="S33" s="2411"/>
      <c r="T33" s="2411"/>
      <c r="U33" s="2411"/>
      <c r="V33" s="2411"/>
      <c r="W33" s="2411"/>
      <c r="X33" s="2411"/>
      <c r="Y33" s="2411"/>
      <c r="Z33" s="2411"/>
      <c r="AA33" s="2411"/>
      <c r="AB33" s="2411"/>
      <c r="AC33" s="2411"/>
      <c r="AD33" s="2411"/>
      <c r="AE33" s="2411"/>
      <c r="AF33" s="2411"/>
      <c r="AG33" s="2411"/>
      <c r="AH33" s="2411"/>
      <c r="AI33" s="2411"/>
      <c r="AJ33" s="2412"/>
      <c r="AK33" s="536"/>
      <c r="AL33" s="536"/>
      <c r="AM33" s="536"/>
      <c r="AN33" s="531"/>
      <c r="AO33" s="544">
        <f>IF($B39="yes",9,0)</f>
        <v>0</v>
      </c>
    </row>
    <row r="34" spans="1:43" s="532" customFormat="1" ht="12.75" customHeight="1">
      <c r="A34" s="536"/>
      <c r="B34" s="536"/>
      <c r="C34" s="536"/>
      <c r="D34" s="541"/>
      <c r="E34" s="2451"/>
      <c r="F34" s="2452"/>
      <c r="G34" s="2452"/>
      <c r="H34" s="2452"/>
      <c r="I34" s="2452"/>
      <c r="J34" s="2452"/>
      <c r="K34" s="2452"/>
      <c r="L34" s="2452"/>
      <c r="M34" s="2452"/>
      <c r="N34" s="2452"/>
      <c r="O34" s="2452"/>
      <c r="P34" s="2452"/>
      <c r="Q34" s="2452"/>
      <c r="R34" s="2452"/>
      <c r="S34" s="2452"/>
      <c r="T34" s="2452"/>
      <c r="U34" s="2452"/>
      <c r="V34" s="2452"/>
      <c r="W34" s="2452"/>
      <c r="X34" s="2452"/>
      <c r="Y34" s="2452"/>
      <c r="Z34" s="2452"/>
      <c r="AA34" s="2452"/>
      <c r="AB34" s="2452"/>
      <c r="AC34" s="2452"/>
      <c r="AD34" s="2452"/>
      <c r="AE34" s="2452"/>
      <c r="AF34" s="2452"/>
      <c r="AG34" s="2452"/>
      <c r="AH34" s="2452"/>
      <c r="AI34" s="2452"/>
      <c r="AJ34" s="2453"/>
      <c r="AK34" s="536"/>
      <c r="AL34" s="536"/>
      <c r="AM34" s="536"/>
      <c r="AN34" s="531"/>
      <c r="AO34" s="532">
        <f>MAX(AO30,AO31,AO32,AO33)</f>
        <v>0</v>
      </c>
      <c r="AP34" s="532" t="s">
        <v>1304</v>
      </c>
    </row>
    <row r="35" spans="1:43" s="532" customFormat="1" ht="12.75" customHeight="1">
      <c r="A35" s="536"/>
      <c r="B35" s="536"/>
      <c r="C35" s="536"/>
      <c r="E35" s="2413"/>
      <c r="F35" s="2414"/>
      <c r="G35" s="2414"/>
      <c r="H35" s="2414"/>
      <c r="I35" s="2414"/>
      <c r="J35" s="2414"/>
      <c r="K35" s="2414"/>
      <c r="L35" s="2414"/>
      <c r="M35" s="2414"/>
      <c r="N35" s="2414"/>
      <c r="O35" s="2414"/>
      <c r="P35" s="2414"/>
      <c r="Q35" s="2414"/>
      <c r="R35" s="2414"/>
      <c r="S35" s="2414"/>
      <c r="T35" s="2414"/>
      <c r="U35" s="2414"/>
      <c r="V35" s="2414"/>
      <c r="W35" s="2414"/>
      <c r="X35" s="2414"/>
      <c r="Y35" s="2414"/>
      <c r="Z35" s="2414"/>
      <c r="AA35" s="2414"/>
      <c r="AB35" s="2414"/>
      <c r="AC35" s="2414"/>
      <c r="AD35" s="2414"/>
      <c r="AE35" s="2414"/>
      <c r="AF35" s="2414"/>
      <c r="AG35" s="2414"/>
      <c r="AH35" s="2414"/>
      <c r="AI35" s="2414"/>
      <c r="AJ35" s="2415"/>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9" t="s">
        <v>591</v>
      </c>
      <c r="C37" s="2409"/>
      <c r="D37" s="1131"/>
      <c r="E37" s="2416" t="s">
        <v>2553</v>
      </c>
      <c r="F37" s="2417"/>
      <c r="G37" s="2417"/>
      <c r="H37" s="2417"/>
      <c r="I37" s="2417"/>
      <c r="J37" s="2417"/>
      <c r="K37" s="2417"/>
      <c r="L37" s="2417"/>
      <c r="M37" s="2417"/>
      <c r="N37" s="2417"/>
      <c r="O37" s="2417"/>
      <c r="P37" s="2417"/>
      <c r="Q37" s="2417"/>
      <c r="R37" s="2417"/>
      <c r="S37" s="2417"/>
      <c r="T37" s="2417"/>
      <c r="U37" s="2417"/>
      <c r="V37" s="2417"/>
      <c r="W37" s="2417"/>
      <c r="X37" s="2417"/>
      <c r="Y37" s="2417"/>
      <c r="Z37" s="2417"/>
      <c r="AA37" s="2417"/>
      <c r="AB37" s="2417"/>
      <c r="AC37" s="2417"/>
      <c r="AD37" s="2417"/>
      <c r="AE37" s="2417"/>
      <c r="AF37" s="2417"/>
      <c r="AG37" s="2417"/>
      <c r="AH37" s="2417"/>
      <c r="AI37" s="2417"/>
      <c r="AJ37" s="2418"/>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9" t="s">
        <v>591</v>
      </c>
      <c r="C39" s="2409"/>
      <c r="D39" s="1131"/>
      <c r="E39" s="2416" t="s">
        <v>2550</v>
      </c>
      <c r="F39" s="2417"/>
      <c r="G39" s="2417"/>
      <c r="H39" s="2417"/>
      <c r="I39" s="2417"/>
      <c r="J39" s="2417"/>
      <c r="K39" s="2417"/>
      <c r="L39" s="2417"/>
      <c r="M39" s="2417"/>
      <c r="N39" s="2417"/>
      <c r="O39" s="2417"/>
      <c r="P39" s="2417"/>
      <c r="Q39" s="2417"/>
      <c r="R39" s="2417"/>
      <c r="S39" s="2417"/>
      <c r="T39" s="2417"/>
      <c r="U39" s="2417"/>
      <c r="V39" s="2417"/>
      <c r="W39" s="2417"/>
      <c r="X39" s="2417"/>
      <c r="Y39" s="2417"/>
      <c r="Z39" s="2417"/>
      <c r="AA39" s="2417"/>
      <c r="AB39" s="2417"/>
      <c r="AC39" s="2417"/>
      <c r="AD39" s="2417"/>
      <c r="AE39" s="2417"/>
      <c r="AF39" s="2417"/>
      <c r="AG39" s="2417"/>
      <c r="AH39" s="2417"/>
      <c r="AI39" s="2417"/>
      <c r="AJ39" s="2418"/>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9" t="s">
        <v>591</v>
      </c>
      <c r="C43" s="2409"/>
      <c r="D43" s="541"/>
      <c r="E43" s="2419" t="s">
        <v>2552</v>
      </c>
      <c r="F43" s="2420"/>
      <c r="G43" s="2420"/>
      <c r="H43" s="2420"/>
      <c r="I43" s="2420"/>
      <c r="J43" s="2420"/>
      <c r="K43" s="2420"/>
      <c r="L43" s="2420"/>
      <c r="M43" s="2420"/>
      <c r="N43" s="2420"/>
      <c r="O43" s="2420"/>
      <c r="P43" s="2420"/>
      <c r="Q43" s="2420"/>
      <c r="R43" s="2420"/>
      <c r="S43" s="2420"/>
      <c r="T43" s="2420"/>
      <c r="U43" s="2420"/>
      <c r="V43" s="2420"/>
      <c r="W43" s="2420"/>
      <c r="X43" s="2420"/>
      <c r="Y43" s="2420"/>
      <c r="Z43" s="2420"/>
      <c r="AA43" s="2420"/>
      <c r="AB43" s="2420"/>
      <c r="AC43" s="2420"/>
      <c r="AD43" s="2420"/>
      <c r="AE43" s="2420"/>
      <c r="AF43" s="2420"/>
      <c r="AG43" s="2420"/>
      <c r="AH43" s="2420"/>
      <c r="AI43" s="2420"/>
      <c r="AJ43" s="2421"/>
      <c r="AK43" s="536"/>
      <c r="AL43" s="536"/>
      <c r="AM43" s="536"/>
      <c r="AN43" s="531"/>
      <c r="AO43" s="544">
        <f>IF($B43="yes",8,0)</f>
        <v>0</v>
      </c>
      <c r="AP43" s="14"/>
    </row>
    <row r="44" spans="1:43" s="532" customFormat="1" ht="12.75" customHeight="1">
      <c r="A44" s="536"/>
      <c r="B44" s="536"/>
      <c r="C44" s="536"/>
      <c r="D44" s="545"/>
      <c r="E44" s="2422"/>
      <c r="F44" s="2423"/>
      <c r="G44" s="2423"/>
      <c r="H44" s="2423"/>
      <c r="I44" s="2423"/>
      <c r="J44" s="2423"/>
      <c r="K44" s="2423"/>
      <c r="L44" s="2423"/>
      <c r="M44" s="2423"/>
      <c r="N44" s="2423"/>
      <c r="O44" s="2423"/>
      <c r="P44" s="2423"/>
      <c r="Q44" s="2423"/>
      <c r="R44" s="2423"/>
      <c r="S44" s="2423"/>
      <c r="T44" s="2423"/>
      <c r="U44" s="2423"/>
      <c r="V44" s="2423"/>
      <c r="W44" s="2423"/>
      <c r="X44" s="2423"/>
      <c r="Y44" s="2423"/>
      <c r="Z44" s="2423"/>
      <c r="AA44" s="2423"/>
      <c r="AB44" s="2423"/>
      <c r="AC44" s="2423"/>
      <c r="AD44" s="2423"/>
      <c r="AE44" s="2423"/>
      <c r="AF44" s="2423"/>
      <c r="AG44" s="2423"/>
      <c r="AH44" s="2423"/>
      <c r="AI44" s="2423"/>
      <c r="AJ44" s="2424"/>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9" t="s">
        <v>591</v>
      </c>
      <c r="C46" s="2409"/>
      <c r="D46" s="541"/>
      <c r="E46" s="2410" t="s">
        <v>2551</v>
      </c>
      <c r="F46" s="2411"/>
      <c r="G46" s="2411"/>
      <c r="H46" s="2411"/>
      <c r="I46" s="2411"/>
      <c r="J46" s="2411"/>
      <c r="K46" s="2411"/>
      <c r="L46" s="2411"/>
      <c r="M46" s="2411"/>
      <c r="N46" s="2411"/>
      <c r="O46" s="2411"/>
      <c r="P46" s="2411"/>
      <c r="Q46" s="2411"/>
      <c r="R46" s="2411"/>
      <c r="S46" s="2411"/>
      <c r="T46" s="2411"/>
      <c r="U46" s="2411"/>
      <c r="V46" s="2411"/>
      <c r="W46" s="2411"/>
      <c r="X46" s="2411"/>
      <c r="Y46" s="2411"/>
      <c r="Z46" s="2411"/>
      <c r="AA46" s="2411"/>
      <c r="AB46" s="2411"/>
      <c r="AC46" s="2411"/>
      <c r="AD46" s="2411"/>
      <c r="AE46" s="2411"/>
      <c r="AF46" s="2411"/>
      <c r="AG46" s="2411"/>
      <c r="AH46" s="2411"/>
      <c r="AI46" s="2411"/>
      <c r="AJ46" s="2412"/>
      <c r="AK46" s="536"/>
      <c r="AL46" s="536"/>
      <c r="AM46" s="536"/>
      <c r="AN46" s="531"/>
      <c r="AO46" s="544">
        <f>IF($B52="yes",8,0)</f>
        <v>0</v>
      </c>
    </row>
    <row r="47" spans="1:43" s="532" customFormat="1" ht="12.75" customHeight="1">
      <c r="A47" s="536"/>
      <c r="B47" s="536"/>
      <c r="C47" s="536"/>
      <c r="D47" s="544"/>
      <c r="E47" s="2413"/>
      <c r="F47" s="2414"/>
      <c r="G47" s="2414"/>
      <c r="H47" s="2414"/>
      <c r="I47" s="2414"/>
      <c r="J47" s="2414"/>
      <c r="K47" s="2414"/>
      <c r="L47" s="2414"/>
      <c r="M47" s="2414"/>
      <c r="N47" s="2414"/>
      <c r="O47" s="2414"/>
      <c r="P47" s="2414"/>
      <c r="Q47" s="2414"/>
      <c r="R47" s="2414"/>
      <c r="S47" s="2414"/>
      <c r="T47" s="2414"/>
      <c r="U47" s="2414"/>
      <c r="V47" s="2414"/>
      <c r="W47" s="2414"/>
      <c r="X47" s="2414"/>
      <c r="Y47" s="2414"/>
      <c r="Z47" s="2414"/>
      <c r="AA47" s="2414"/>
      <c r="AB47" s="2414"/>
      <c r="AC47" s="2414"/>
      <c r="AD47" s="2414"/>
      <c r="AE47" s="2414"/>
      <c r="AF47" s="2414"/>
      <c r="AG47" s="2414"/>
      <c r="AH47" s="2414"/>
      <c r="AI47" s="2414"/>
      <c r="AJ47" s="2415"/>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9" t="s">
        <v>591</v>
      </c>
      <c r="C49" s="2409"/>
      <c r="D49" s="541"/>
      <c r="E49" s="2425" t="s">
        <v>2630</v>
      </c>
      <c r="F49" s="2426"/>
      <c r="G49" s="2426"/>
      <c r="H49" s="2426"/>
      <c r="I49" s="2426"/>
      <c r="J49" s="2426"/>
      <c r="K49" s="2426"/>
      <c r="L49" s="2426"/>
      <c r="M49" s="2426"/>
      <c r="N49" s="2426"/>
      <c r="O49" s="2426"/>
      <c r="P49" s="2426"/>
      <c r="Q49" s="2426"/>
      <c r="R49" s="2426"/>
      <c r="S49" s="2426"/>
      <c r="T49" s="2426"/>
      <c r="U49" s="2426"/>
      <c r="V49" s="2426"/>
      <c r="W49" s="2426"/>
      <c r="X49" s="2426"/>
      <c r="Y49" s="2426"/>
      <c r="Z49" s="2426"/>
      <c r="AA49" s="2426"/>
      <c r="AB49" s="2426"/>
      <c r="AC49" s="2426"/>
      <c r="AD49" s="2426"/>
      <c r="AE49" s="2426"/>
      <c r="AF49" s="2426"/>
      <c r="AG49" s="2426"/>
      <c r="AH49" s="2426"/>
      <c r="AI49" s="2426"/>
      <c r="AJ49" s="2427"/>
      <c r="AK49" s="536"/>
      <c r="AL49" s="536"/>
      <c r="AM49" s="536"/>
      <c r="AN49" s="531"/>
      <c r="AO49" s="544"/>
    </row>
    <row r="50" spans="1:42" s="532" customFormat="1" ht="12.75" hidden="1" customHeight="1">
      <c r="A50" s="536"/>
      <c r="B50" s="536"/>
      <c r="C50" s="536"/>
      <c r="D50" s="544"/>
      <c r="E50" s="2428"/>
      <c r="F50" s="2429"/>
      <c r="G50" s="2429"/>
      <c r="H50" s="2429"/>
      <c r="I50" s="2429"/>
      <c r="J50" s="2429"/>
      <c r="K50" s="2429"/>
      <c r="L50" s="2429"/>
      <c r="M50" s="2429"/>
      <c r="N50" s="2429"/>
      <c r="O50" s="2429"/>
      <c r="P50" s="2429"/>
      <c r="Q50" s="2429"/>
      <c r="R50" s="2429"/>
      <c r="S50" s="2429"/>
      <c r="T50" s="2429"/>
      <c r="U50" s="2429"/>
      <c r="V50" s="2429"/>
      <c r="W50" s="2429"/>
      <c r="X50" s="2429"/>
      <c r="Y50" s="2429"/>
      <c r="Z50" s="2429"/>
      <c r="AA50" s="2429"/>
      <c r="AB50" s="2429"/>
      <c r="AC50" s="2429"/>
      <c r="AD50" s="2429"/>
      <c r="AE50" s="2429"/>
      <c r="AF50" s="2429"/>
      <c r="AG50" s="2429"/>
      <c r="AH50" s="2429"/>
      <c r="AI50" s="2429"/>
      <c r="AJ50" s="243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9" t="s">
        <v>591</v>
      </c>
      <c r="C52" s="2409"/>
      <c r="D52" s="541"/>
      <c r="E52" s="2416" t="s">
        <v>2631</v>
      </c>
      <c r="F52" s="2417"/>
      <c r="G52" s="2417"/>
      <c r="H52" s="2417"/>
      <c r="I52" s="2417"/>
      <c r="J52" s="2417"/>
      <c r="K52" s="2417"/>
      <c r="L52" s="2417"/>
      <c r="M52" s="2417"/>
      <c r="N52" s="2417"/>
      <c r="O52" s="2417"/>
      <c r="P52" s="2417"/>
      <c r="Q52" s="2417"/>
      <c r="R52" s="2417"/>
      <c r="S52" s="2417"/>
      <c r="T52" s="2417"/>
      <c r="U52" s="2417"/>
      <c r="V52" s="2417"/>
      <c r="W52" s="2417"/>
      <c r="X52" s="2417"/>
      <c r="Y52" s="2417"/>
      <c r="Z52" s="2417"/>
      <c r="AA52" s="2417"/>
      <c r="AB52" s="2417"/>
      <c r="AC52" s="2417"/>
      <c r="AD52" s="2417"/>
      <c r="AE52" s="2417"/>
      <c r="AF52" s="2417"/>
      <c r="AG52" s="2417"/>
      <c r="AH52" s="2417"/>
      <c r="AI52" s="2417"/>
      <c r="AJ52" s="2418"/>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9" t="s">
        <v>591</v>
      </c>
      <c r="C56" s="2409"/>
      <c r="D56" s="541"/>
      <c r="E56" s="2425" t="s">
        <v>2554</v>
      </c>
      <c r="F56" s="2426"/>
      <c r="G56" s="2426"/>
      <c r="H56" s="2426"/>
      <c r="I56" s="2426"/>
      <c r="J56" s="2426"/>
      <c r="K56" s="2426"/>
      <c r="L56" s="2426"/>
      <c r="M56" s="2426"/>
      <c r="N56" s="2426"/>
      <c r="O56" s="2426"/>
      <c r="P56" s="2426"/>
      <c r="Q56" s="2426"/>
      <c r="R56" s="2426"/>
      <c r="S56" s="2426"/>
      <c r="T56" s="2426"/>
      <c r="U56" s="2426"/>
      <c r="V56" s="2426"/>
      <c r="W56" s="2426"/>
      <c r="X56" s="2426"/>
      <c r="Y56" s="2426"/>
      <c r="Z56" s="2426"/>
      <c r="AA56" s="2426"/>
      <c r="AB56" s="2426"/>
      <c r="AC56" s="2426"/>
      <c r="AD56" s="2426"/>
      <c r="AE56" s="2426"/>
      <c r="AF56" s="2426"/>
      <c r="AG56" s="2426"/>
      <c r="AH56" s="2426"/>
      <c r="AI56" s="2426"/>
      <c r="AJ56" s="2427"/>
      <c r="AK56" s="536"/>
      <c r="AL56" s="536"/>
      <c r="AM56" s="536"/>
      <c r="AN56" s="531"/>
      <c r="AO56" s="544">
        <f>IF($B59="yes",7,0)</f>
        <v>0</v>
      </c>
    </row>
    <row r="57" spans="1:42" s="532" customFormat="1" ht="12.75" customHeight="1">
      <c r="A57" s="536"/>
      <c r="B57" s="536"/>
      <c r="C57" s="536"/>
      <c r="D57" s="544"/>
      <c r="E57" s="2428"/>
      <c r="F57" s="2429"/>
      <c r="G57" s="2429"/>
      <c r="H57" s="2429"/>
      <c r="I57" s="2429"/>
      <c r="J57" s="2429"/>
      <c r="K57" s="2429"/>
      <c r="L57" s="2429"/>
      <c r="M57" s="2429"/>
      <c r="N57" s="2429"/>
      <c r="O57" s="2429"/>
      <c r="P57" s="2429"/>
      <c r="Q57" s="2429"/>
      <c r="R57" s="2429"/>
      <c r="S57" s="2429"/>
      <c r="T57" s="2429"/>
      <c r="U57" s="2429"/>
      <c r="V57" s="2429"/>
      <c r="W57" s="2429"/>
      <c r="X57" s="2429"/>
      <c r="Y57" s="2429"/>
      <c r="Z57" s="2429"/>
      <c r="AA57" s="2429"/>
      <c r="AB57" s="2429"/>
      <c r="AC57" s="2429"/>
      <c r="AD57" s="2429"/>
      <c r="AE57" s="2429"/>
      <c r="AF57" s="2429"/>
      <c r="AG57" s="2429"/>
      <c r="AH57" s="2429"/>
      <c r="AI57" s="2429"/>
      <c r="AJ57" s="2430"/>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9" t="s">
        <v>591</v>
      </c>
      <c r="C59" s="2409"/>
      <c r="D59" s="541"/>
      <c r="E59" s="2416" t="s">
        <v>2555</v>
      </c>
      <c r="F59" s="2417"/>
      <c r="G59" s="2417"/>
      <c r="H59" s="2417"/>
      <c r="I59" s="2417"/>
      <c r="J59" s="2417"/>
      <c r="K59" s="2417"/>
      <c r="L59" s="2417"/>
      <c r="M59" s="2417"/>
      <c r="N59" s="2417"/>
      <c r="O59" s="2417"/>
      <c r="P59" s="2417"/>
      <c r="Q59" s="2417"/>
      <c r="R59" s="2417"/>
      <c r="S59" s="2417"/>
      <c r="T59" s="2417"/>
      <c r="U59" s="2417"/>
      <c r="V59" s="2417"/>
      <c r="W59" s="2417"/>
      <c r="X59" s="2417"/>
      <c r="Y59" s="2417"/>
      <c r="Z59" s="2417"/>
      <c r="AA59" s="2417"/>
      <c r="AB59" s="2417"/>
      <c r="AC59" s="2417"/>
      <c r="AD59" s="2417"/>
      <c r="AE59" s="2417"/>
      <c r="AF59" s="2417"/>
      <c r="AG59" s="2417"/>
      <c r="AH59" s="2417"/>
      <c r="AI59" s="2417"/>
      <c r="AJ59" s="2418"/>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448">
        <f>AO60</f>
        <v>0</v>
      </c>
      <c r="AL61" s="2449"/>
      <c r="AM61" s="2450"/>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7" t="s">
        <v>1307</v>
      </c>
      <c r="AF64" s="2437"/>
      <c r="AG64" s="2437"/>
      <c r="AH64" s="2437"/>
      <c r="AI64" s="2437"/>
      <c r="AJ64" s="2437"/>
      <c r="AK64" s="2437"/>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9" t="s">
        <v>545</v>
      </c>
      <c r="C67" s="2409"/>
      <c r="D67" s="541" t="s">
        <v>1308</v>
      </c>
      <c r="E67" s="2419" t="s">
        <v>1975</v>
      </c>
      <c r="F67" s="2420"/>
      <c r="G67" s="2420"/>
      <c r="H67" s="2420"/>
      <c r="I67" s="2420"/>
      <c r="J67" s="2420"/>
      <c r="K67" s="2420"/>
      <c r="L67" s="2420"/>
      <c r="M67" s="2420"/>
      <c r="N67" s="2420"/>
      <c r="O67" s="2420"/>
      <c r="P67" s="2420"/>
      <c r="Q67" s="2420"/>
      <c r="R67" s="2420"/>
      <c r="S67" s="2420"/>
      <c r="T67" s="2420"/>
      <c r="U67" s="2420"/>
      <c r="V67" s="2420"/>
      <c r="W67" s="2420"/>
      <c r="X67" s="2420"/>
      <c r="Y67" s="2420"/>
      <c r="Z67" s="2420"/>
      <c r="AA67" s="2420"/>
      <c r="AB67" s="2420"/>
      <c r="AC67" s="2420"/>
      <c r="AD67" s="2420"/>
      <c r="AE67" s="2420"/>
      <c r="AF67" s="2420"/>
      <c r="AG67" s="2420"/>
      <c r="AH67" s="2420"/>
      <c r="AI67" s="2420"/>
      <c r="AJ67" s="2421"/>
      <c r="AK67" s="539"/>
      <c r="AL67" s="536"/>
      <c r="AM67" s="536"/>
      <c r="AN67" s="531"/>
      <c r="AO67" s="544">
        <f>IF($B67="yes",10,0)</f>
        <v>10</v>
      </c>
    </row>
    <row r="68" spans="1:42" s="532" customFormat="1" ht="12.75" customHeight="1">
      <c r="A68" s="534"/>
      <c r="B68" s="536"/>
      <c r="C68" s="536"/>
      <c r="D68" s="545"/>
      <c r="E68" s="2438"/>
      <c r="F68" s="2439"/>
      <c r="G68" s="2439"/>
      <c r="H68" s="2439"/>
      <c r="I68" s="2439"/>
      <c r="J68" s="2439"/>
      <c r="K68" s="2439"/>
      <c r="L68" s="2439"/>
      <c r="M68" s="2439"/>
      <c r="N68" s="2439"/>
      <c r="O68" s="2439"/>
      <c r="P68" s="2439"/>
      <c r="Q68" s="2439"/>
      <c r="R68" s="2439"/>
      <c r="S68" s="2439"/>
      <c r="T68" s="2439"/>
      <c r="U68" s="2439"/>
      <c r="V68" s="2439"/>
      <c r="W68" s="2439"/>
      <c r="X68" s="2439"/>
      <c r="Y68" s="2439"/>
      <c r="Z68" s="2439"/>
      <c r="AA68" s="2439"/>
      <c r="AB68" s="2439"/>
      <c r="AC68" s="2439"/>
      <c r="AD68" s="2439"/>
      <c r="AE68" s="2439"/>
      <c r="AF68" s="2439"/>
      <c r="AG68" s="2439"/>
      <c r="AH68" s="2439"/>
      <c r="AI68" s="2439"/>
      <c r="AJ68" s="2440"/>
      <c r="AK68" s="539"/>
      <c r="AL68" s="536"/>
      <c r="AM68" s="536"/>
      <c r="AN68" s="531"/>
      <c r="AO68" s="544">
        <f>IF(AND($B73="yes",OR(E74="Yes",E75="Yes",E76="Yes")),10,0)</f>
        <v>0</v>
      </c>
    </row>
    <row r="69" spans="1:42" s="532" customFormat="1" ht="12.75" customHeight="1">
      <c r="A69" s="534"/>
      <c r="B69" s="536"/>
      <c r="C69" s="536"/>
      <c r="D69" s="545"/>
      <c r="E69" s="2438"/>
      <c r="F69" s="2439"/>
      <c r="G69" s="2439"/>
      <c r="H69" s="2439"/>
      <c r="I69" s="2439"/>
      <c r="J69" s="2439"/>
      <c r="K69" s="2439"/>
      <c r="L69" s="2439"/>
      <c r="M69" s="2439"/>
      <c r="N69" s="2439"/>
      <c r="O69" s="2439"/>
      <c r="P69" s="2439"/>
      <c r="Q69" s="2439"/>
      <c r="R69" s="2439"/>
      <c r="S69" s="2439"/>
      <c r="T69" s="2439"/>
      <c r="U69" s="2439"/>
      <c r="V69" s="2439"/>
      <c r="W69" s="2439"/>
      <c r="X69" s="2439"/>
      <c r="Y69" s="2439"/>
      <c r="Z69" s="2439"/>
      <c r="AA69" s="2439"/>
      <c r="AB69" s="2439"/>
      <c r="AC69" s="2439"/>
      <c r="AD69" s="2439"/>
      <c r="AE69" s="2439"/>
      <c r="AF69" s="2439"/>
      <c r="AG69" s="2439"/>
      <c r="AH69" s="2439"/>
      <c r="AI69" s="2439"/>
      <c r="AJ69" s="2440"/>
      <c r="AK69" s="539"/>
      <c r="AL69" s="536"/>
      <c r="AM69" s="536"/>
      <c r="AN69" s="531"/>
      <c r="AO69" s="544">
        <f>IF($B78="yes",10,0)</f>
        <v>0</v>
      </c>
    </row>
    <row r="70" spans="1:42" s="532" customFormat="1" ht="12.75" customHeight="1">
      <c r="A70" s="534"/>
      <c r="B70" s="536"/>
      <c r="C70" s="536"/>
      <c r="D70" s="545"/>
      <c r="E70" s="2438"/>
      <c r="F70" s="2439"/>
      <c r="G70" s="2439"/>
      <c r="H70" s="2439"/>
      <c r="I70" s="2439"/>
      <c r="J70" s="2439"/>
      <c r="K70" s="2439"/>
      <c r="L70" s="2439"/>
      <c r="M70" s="2439"/>
      <c r="N70" s="2439"/>
      <c r="O70" s="2439"/>
      <c r="P70" s="2439"/>
      <c r="Q70" s="2439"/>
      <c r="R70" s="2439"/>
      <c r="S70" s="2439"/>
      <c r="T70" s="2439"/>
      <c r="U70" s="2439"/>
      <c r="V70" s="2439"/>
      <c r="W70" s="2439"/>
      <c r="X70" s="2439"/>
      <c r="Y70" s="2439"/>
      <c r="Z70" s="2439"/>
      <c r="AA70" s="2439"/>
      <c r="AB70" s="2439"/>
      <c r="AC70" s="2439"/>
      <c r="AD70" s="2439"/>
      <c r="AE70" s="2439"/>
      <c r="AF70" s="2439"/>
      <c r="AG70" s="2439"/>
      <c r="AH70" s="2439"/>
      <c r="AI70" s="2439"/>
      <c r="AJ70" s="2440"/>
      <c r="AK70" s="539"/>
      <c r="AL70" s="536"/>
      <c r="AM70" s="536"/>
      <c r="AN70" s="531"/>
      <c r="AO70" s="544">
        <f>IF($B81="yes",10,0)</f>
        <v>0</v>
      </c>
    </row>
    <row r="71" spans="1:42" s="532" customFormat="1" ht="12.75" customHeight="1">
      <c r="A71" s="534"/>
      <c r="B71" s="536"/>
      <c r="C71" s="536"/>
      <c r="D71" s="545"/>
      <c r="E71" s="2422"/>
      <c r="F71" s="2423"/>
      <c r="G71" s="2423"/>
      <c r="H71" s="2423"/>
      <c r="I71" s="2423"/>
      <c r="J71" s="2423"/>
      <c r="K71" s="2423"/>
      <c r="L71" s="2423"/>
      <c r="M71" s="2423"/>
      <c r="N71" s="2423"/>
      <c r="O71" s="2423"/>
      <c r="P71" s="2423"/>
      <c r="Q71" s="2423"/>
      <c r="R71" s="2423"/>
      <c r="S71" s="2423"/>
      <c r="T71" s="2423"/>
      <c r="U71" s="2423"/>
      <c r="V71" s="2423"/>
      <c r="W71" s="2423"/>
      <c r="X71" s="2423"/>
      <c r="Y71" s="2423"/>
      <c r="Z71" s="2423"/>
      <c r="AA71" s="2423"/>
      <c r="AB71" s="2423"/>
      <c r="AC71" s="2423"/>
      <c r="AD71" s="2423"/>
      <c r="AE71" s="2423"/>
      <c r="AF71" s="2423"/>
      <c r="AG71" s="2423"/>
      <c r="AH71" s="2423"/>
      <c r="AI71" s="2423"/>
      <c r="AJ71" s="2424"/>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9" t="s">
        <v>591</v>
      </c>
      <c r="C73" s="2409"/>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1" t="s">
        <v>591</v>
      </c>
      <c r="F74" s="2409"/>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5" t="s">
        <v>591</v>
      </c>
      <c r="F75" s="2436"/>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5" t="s">
        <v>591</v>
      </c>
      <c r="F76" s="2436"/>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9" t="s">
        <v>591</v>
      </c>
      <c r="C78" s="2409"/>
      <c r="D78" s="541" t="s">
        <v>1313</v>
      </c>
      <c r="E78" s="2425" t="s">
        <v>1727</v>
      </c>
      <c r="F78" s="2426"/>
      <c r="G78" s="2426"/>
      <c r="H78" s="2426"/>
      <c r="I78" s="2426"/>
      <c r="J78" s="2426"/>
      <c r="K78" s="2426"/>
      <c r="L78" s="2426"/>
      <c r="M78" s="2426"/>
      <c r="N78" s="2426"/>
      <c r="O78" s="2426"/>
      <c r="P78" s="2426"/>
      <c r="Q78" s="2426"/>
      <c r="R78" s="2426"/>
      <c r="S78" s="2426"/>
      <c r="T78" s="2426"/>
      <c r="U78" s="2426"/>
      <c r="V78" s="2426"/>
      <c r="W78" s="2426"/>
      <c r="X78" s="2426"/>
      <c r="Y78" s="2426"/>
      <c r="Z78" s="2426"/>
      <c r="AA78" s="2426"/>
      <c r="AB78" s="2426"/>
      <c r="AC78" s="2426"/>
      <c r="AD78" s="2426"/>
      <c r="AE78" s="2426"/>
      <c r="AF78" s="2426"/>
      <c r="AG78" s="2426"/>
      <c r="AH78" s="2426"/>
      <c r="AI78" s="2426"/>
      <c r="AJ78" s="2427"/>
      <c r="AK78" s="539"/>
      <c r="AL78" s="536"/>
      <c r="AM78" s="536"/>
      <c r="AN78" s="531"/>
    </row>
    <row r="79" spans="1:42" s="532" customFormat="1" ht="12.75" customHeight="1">
      <c r="A79" s="534"/>
      <c r="B79" s="536"/>
      <c r="C79" s="536"/>
      <c r="E79" s="2428"/>
      <c r="F79" s="2429"/>
      <c r="G79" s="2429"/>
      <c r="H79" s="2429"/>
      <c r="I79" s="2429"/>
      <c r="J79" s="2429"/>
      <c r="K79" s="2429"/>
      <c r="L79" s="2429"/>
      <c r="M79" s="2429"/>
      <c r="N79" s="2429"/>
      <c r="O79" s="2429"/>
      <c r="P79" s="2429"/>
      <c r="Q79" s="2429"/>
      <c r="R79" s="2429"/>
      <c r="S79" s="2429"/>
      <c r="T79" s="2429"/>
      <c r="U79" s="2429"/>
      <c r="V79" s="2429"/>
      <c r="W79" s="2429"/>
      <c r="X79" s="2429"/>
      <c r="Y79" s="2429"/>
      <c r="Z79" s="2429"/>
      <c r="AA79" s="2429"/>
      <c r="AB79" s="2429"/>
      <c r="AC79" s="2429"/>
      <c r="AD79" s="2429"/>
      <c r="AE79" s="2429"/>
      <c r="AF79" s="2429"/>
      <c r="AG79" s="2429"/>
      <c r="AH79" s="2429"/>
      <c r="AI79" s="2429"/>
      <c r="AJ79" s="243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9" t="s">
        <v>591</v>
      </c>
      <c r="C81" s="2409"/>
      <c r="D81" s="541" t="s">
        <v>1460</v>
      </c>
      <c r="E81" s="2416" t="s">
        <v>1725</v>
      </c>
      <c r="F81" s="2417"/>
      <c r="G81" s="2417"/>
      <c r="H81" s="2417"/>
      <c r="I81" s="2417"/>
      <c r="J81" s="2417"/>
      <c r="K81" s="2417"/>
      <c r="L81" s="2417"/>
      <c r="M81" s="2417"/>
      <c r="N81" s="2417"/>
      <c r="O81" s="2417"/>
      <c r="P81" s="2417"/>
      <c r="Q81" s="2417"/>
      <c r="R81" s="2417"/>
      <c r="S81" s="2417"/>
      <c r="T81" s="2417"/>
      <c r="U81" s="2417"/>
      <c r="V81" s="2417"/>
      <c r="W81" s="2417"/>
      <c r="X81" s="2417"/>
      <c r="Y81" s="2417"/>
      <c r="Z81" s="2417"/>
      <c r="AA81" s="2417"/>
      <c r="AB81" s="2417"/>
      <c r="AC81" s="2417"/>
      <c r="AD81" s="2417"/>
      <c r="AE81" s="2417"/>
      <c r="AF81" s="2417"/>
      <c r="AG81" s="2417"/>
      <c r="AH81" s="2417"/>
      <c r="AI81" s="2417"/>
      <c r="AJ81" s="2418"/>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448">
        <f>IF(AK61&gt;0,0,AO71)</f>
        <v>10</v>
      </c>
      <c r="AL83" s="2449"/>
      <c r="AM83" s="2450"/>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7" t="s">
        <v>1302</v>
      </c>
      <c r="AF86" s="2437"/>
      <c r="AG86" s="2437"/>
      <c r="AH86" s="2437"/>
      <c r="AI86" s="2437"/>
      <c r="AJ86" s="2437"/>
      <c r="AK86" s="2437"/>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9" t="s">
        <v>591</v>
      </c>
      <c r="C89" s="2409"/>
      <c r="D89" s="541" t="s">
        <v>1308</v>
      </c>
      <c r="E89" s="2419" t="s">
        <v>1318</v>
      </c>
      <c r="F89" s="2420"/>
      <c r="G89" s="2420"/>
      <c r="H89" s="2420"/>
      <c r="I89" s="2420"/>
      <c r="J89" s="2420"/>
      <c r="K89" s="2420"/>
      <c r="L89" s="2420"/>
      <c r="M89" s="2420"/>
      <c r="N89" s="2420"/>
      <c r="O89" s="2420"/>
      <c r="P89" s="2420"/>
      <c r="Q89" s="2420"/>
      <c r="R89" s="2420"/>
      <c r="S89" s="2420"/>
      <c r="T89" s="2420"/>
      <c r="U89" s="2420"/>
      <c r="V89" s="2420"/>
      <c r="W89" s="2420"/>
      <c r="X89" s="2420"/>
      <c r="Y89" s="2420"/>
      <c r="Z89" s="2420"/>
      <c r="AA89" s="2420"/>
      <c r="AB89" s="2420"/>
      <c r="AC89" s="2420"/>
      <c r="AD89" s="2420"/>
      <c r="AE89" s="2420"/>
      <c r="AF89" s="2420"/>
      <c r="AG89" s="2420"/>
      <c r="AH89" s="2420"/>
      <c r="AI89" s="2420"/>
      <c r="AJ89" s="2421"/>
      <c r="AK89" s="539"/>
      <c r="AL89" s="536"/>
      <c r="AM89" s="536"/>
      <c r="AN89" s="531"/>
    </row>
    <row r="90" spans="1:43" s="532" customFormat="1" ht="12.75" customHeight="1">
      <c r="A90" s="534"/>
      <c r="B90" s="535"/>
      <c r="C90" s="535"/>
      <c r="D90" s="535"/>
      <c r="E90" s="2438"/>
      <c r="F90" s="2439"/>
      <c r="G90" s="2439"/>
      <c r="H90" s="2439"/>
      <c r="I90" s="2439"/>
      <c r="J90" s="2439"/>
      <c r="K90" s="2439"/>
      <c r="L90" s="2439"/>
      <c r="M90" s="2439"/>
      <c r="N90" s="2439"/>
      <c r="O90" s="2439"/>
      <c r="P90" s="2439"/>
      <c r="Q90" s="2439"/>
      <c r="R90" s="2439"/>
      <c r="S90" s="2439"/>
      <c r="T90" s="2439"/>
      <c r="U90" s="2439"/>
      <c r="V90" s="2439"/>
      <c r="W90" s="2439"/>
      <c r="X90" s="2439"/>
      <c r="Y90" s="2439"/>
      <c r="Z90" s="2439"/>
      <c r="AA90" s="2439"/>
      <c r="AB90" s="2439"/>
      <c r="AC90" s="2439"/>
      <c r="AD90" s="2439"/>
      <c r="AE90" s="2439"/>
      <c r="AF90" s="2439"/>
      <c r="AG90" s="2439"/>
      <c r="AH90" s="2439"/>
      <c r="AI90" s="2439"/>
      <c r="AJ90" s="2440"/>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1">
        <f>Application!AC761</f>
        <v>0.59906542056074763</v>
      </c>
      <c r="F92" s="2432"/>
      <c r="G92" s="2432"/>
      <c r="H92" s="2432"/>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3">
        <f>0.6-ROUNDUP(E92,2)</f>
        <v>0</v>
      </c>
      <c r="F93" s="2434"/>
      <c r="G93" s="2434"/>
      <c r="H93" s="2434"/>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0">
        <f>IF(E93*200&gt;20,20,E93*200)</f>
        <v>0</v>
      </c>
      <c r="F94" s="2461"/>
      <c r="G94" s="2461"/>
      <c r="H94" s="2461"/>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9" t="s">
        <v>545</v>
      </c>
      <c r="C97" s="2409"/>
      <c r="D97" s="541" t="s">
        <v>1310</v>
      </c>
      <c r="E97" s="2419" t="s">
        <v>1713</v>
      </c>
      <c r="F97" s="2420"/>
      <c r="G97" s="2420"/>
      <c r="H97" s="2420"/>
      <c r="I97" s="2420"/>
      <c r="J97" s="2420"/>
      <c r="K97" s="2420"/>
      <c r="L97" s="2420"/>
      <c r="M97" s="2420"/>
      <c r="N97" s="2420"/>
      <c r="O97" s="2420"/>
      <c r="P97" s="2420"/>
      <c r="Q97" s="2420"/>
      <c r="R97" s="2420"/>
      <c r="S97" s="2420"/>
      <c r="T97" s="2420"/>
      <c r="U97" s="2420"/>
      <c r="V97" s="2420"/>
      <c r="W97" s="2420"/>
      <c r="X97" s="2420"/>
      <c r="Y97" s="2420"/>
      <c r="Z97" s="2420"/>
      <c r="AA97" s="2420"/>
      <c r="AB97" s="2420"/>
      <c r="AC97" s="2420"/>
      <c r="AD97" s="2420"/>
      <c r="AE97" s="2420"/>
      <c r="AF97" s="2420"/>
      <c r="AG97" s="2420"/>
      <c r="AH97" s="2420"/>
      <c r="AI97" s="2420"/>
      <c r="AJ97" s="2421"/>
      <c r="AK97" s="539"/>
      <c r="AL97" s="536"/>
      <c r="AM97" s="536"/>
      <c r="AN97" s="531"/>
    </row>
    <row r="98" spans="1:47" s="532" customFormat="1" ht="12.75" customHeight="1">
      <c r="A98" s="534"/>
      <c r="B98" s="535"/>
      <c r="C98" s="535"/>
      <c r="D98" s="535"/>
      <c r="E98" s="2438"/>
      <c r="F98" s="2439"/>
      <c r="G98" s="2439"/>
      <c r="H98" s="2439"/>
      <c r="I98" s="2439"/>
      <c r="J98" s="2439"/>
      <c r="K98" s="2439"/>
      <c r="L98" s="2439"/>
      <c r="M98" s="2439"/>
      <c r="N98" s="2439"/>
      <c r="O98" s="2439"/>
      <c r="P98" s="2439"/>
      <c r="Q98" s="2439"/>
      <c r="R98" s="2439"/>
      <c r="S98" s="2439"/>
      <c r="T98" s="2439"/>
      <c r="U98" s="2439"/>
      <c r="V98" s="2439"/>
      <c r="W98" s="2439"/>
      <c r="X98" s="2439"/>
      <c r="Y98" s="2439"/>
      <c r="Z98" s="2439"/>
      <c r="AA98" s="2439"/>
      <c r="AB98" s="2439"/>
      <c r="AC98" s="2439"/>
      <c r="AD98" s="2439"/>
      <c r="AE98" s="2439"/>
      <c r="AF98" s="2439"/>
      <c r="AG98" s="2439"/>
      <c r="AH98" s="2439"/>
      <c r="AI98" s="2439"/>
      <c r="AJ98" s="2440"/>
      <c r="AK98" s="539"/>
      <c r="AL98" s="536"/>
      <c r="AM98" s="536"/>
      <c r="AN98" s="531"/>
    </row>
    <row r="99" spans="1:47" s="532" customFormat="1" ht="12.75" customHeight="1">
      <c r="A99" s="534"/>
      <c r="B99" s="535"/>
      <c r="C99" s="535"/>
      <c r="D99" s="535"/>
      <c r="E99" s="2438"/>
      <c r="F99" s="2439"/>
      <c r="G99" s="2439"/>
      <c r="H99" s="2439"/>
      <c r="I99" s="2439"/>
      <c r="J99" s="2439"/>
      <c r="K99" s="2439"/>
      <c r="L99" s="2439"/>
      <c r="M99" s="2439"/>
      <c r="N99" s="2439"/>
      <c r="O99" s="2439"/>
      <c r="P99" s="2439"/>
      <c r="Q99" s="2439"/>
      <c r="R99" s="2439"/>
      <c r="S99" s="2439"/>
      <c r="T99" s="2439"/>
      <c r="U99" s="2439"/>
      <c r="V99" s="2439"/>
      <c r="W99" s="2439"/>
      <c r="X99" s="2439"/>
      <c r="Y99" s="2439"/>
      <c r="Z99" s="2439"/>
      <c r="AA99" s="2439"/>
      <c r="AB99" s="2439"/>
      <c r="AC99" s="2439"/>
      <c r="AD99" s="2439"/>
      <c r="AE99" s="2439"/>
      <c r="AF99" s="2439"/>
      <c r="AG99" s="2439"/>
      <c r="AH99" s="2439"/>
      <c r="AI99" s="2439"/>
      <c r="AJ99" s="2440"/>
      <c r="AK99" s="539"/>
      <c r="AL99" s="536"/>
      <c r="AM99" s="536"/>
      <c r="AN99" s="531"/>
    </row>
    <row r="100" spans="1:47" s="532" customFormat="1" ht="12.75" customHeight="1">
      <c r="A100" s="534"/>
      <c r="B100" s="535"/>
      <c r="C100" s="535"/>
      <c r="D100" s="535"/>
      <c r="E100" s="2438"/>
      <c r="F100" s="2439"/>
      <c r="G100" s="2439"/>
      <c r="H100" s="2439"/>
      <c r="I100" s="2439"/>
      <c r="J100" s="2439"/>
      <c r="K100" s="2439"/>
      <c r="L100" s="2439"/>
      <c r="M100" s="2439"/>
      <c r="N100" s="2439"/>
      <c r="O100" s="2439"/>
      <c r="P100" s="2439"/>
      <c r="Q100" s="2439"/>
      <c r="R100" s="2439"/>
      <c r="S100" s="2439"/>
      <c r="T100" s="2439"/>
      <c r="U100" s="2439"/>
      <c r="V100" s="2439"/>
      <c r="W100" s="2439"/>
      <c r="X100" s="2439"/>
      <c r="Y100" s="2439"/>
      <c r="Z100" s="2439"/>
      <c r="AA100" s="2439"/>
      <c r="AB100" s="2439"/>
      <c r="AC100" s="2439"/>
      <c r="AD100" s="2439"/>
      <c r="AE100" s="2439"/>
      <c r="AF100" s="2439"/>
      <c r="AG100" s="2439"/>
      <c r="AH100" s="2439"/>
      <c r="AI100" s="2439"/>
      <c r="AJ100" s="2440"/>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1">
        <f>Application!AC761</f>
        <v>0.59906542056074763</v>
      </c>
      <c r="F102" s="2432"/>
      <c r="G102" s="2432"/>
      <c r="H102" s="2432"/>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1">
        <f ca="1">SUMIF(Application!AC726:AG760,0.2,Application!G726:J760)/Application!G761+SUMIF(Application!AC726:AG760,0.25,Application!G726:J760)/Application!G761+SUMIF(Application!AC726:AG760,0.3,Application!G726:J760)/Application!G761</f>
        <v>0.10280373831775701</v>
      </c>
      <c r="F103" s="2432"/>
      <c r="G103" s="2432"/>
      <c r="H103" s="2432"/>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1">
        <f ca="1">SUMIF(Application!AC726:AG760,0.35,Application!G726:J760)/Application!G761+SUMIF(Application!AC726:AG760,0.4,Application!G726:J760)/Application!G761+SUMIF(Application!AC726:AG760,0.45,Application!G726:J760)/Application!G761+SUMIF(Application!AC726:AG760,0.5,Application!G726:J760)/Application!G761</f>
        <v>0.10280373831775701</v>
      </c>
      <c r="F104" s="2432"/>
      <c r="G104" s="2432"/>
      <c r="H104" s="2432"/>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6">
        <f ca="1">IF(AND(E102&lt;=0.6,OR(AND(E103&gt;=0.1,E104&gt;=0.1),AND(E103&gt;0.1,(E103+E104)&gt;=0.2))),20,0)</f>
        <v>20</v>
      </c>
      <c r="F105" s="2467"/>
      <c r="G105" s="2467"/>
      <c r="H105" s="2467"/>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448">
        <f ca="1">MAX(AP94,AP105)</f>
        <v>20</v>
      </c>
      <c r="AL108" s="2449"/>
      <c r="AM108" s="2450"/>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7" t="s">
        <v>1307</v>
      </c>
      <c r="AF111" s="2437"/>
      <c r="AG111" s="2437"/>
      <c r="AH111" s="2437"/>
      <c r="AI111" s="2437"/>
      <c r="AJ111" s="2437"/>
      <c r="AK111" s="2437"/>
      <c r="AL111" s="536"/>
      <c r="AM111" s="536"/>
      <c r="AN111" s="531"/>
      <c r="AO111" s="532" t="str">
        <f>Application!B726</f>
        <v>SRO/Studio</v>
      </c>
      <c r="AQ111" s="532">
        <f>Application!O726</f>
        <v>855</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1468</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1774</v>
      </c>
    </row>
    <row r="114" spans="1:52" s="532" customFormat="1" ht="12.75" customHeight="1">
      <c r="A114" s="536"/>
      <c r="B114" s="2409" t="s">
        <v>545</v>
      </c>
      <c r="C114" s="2409"/>
      <c r="D114" s="541" t="s">
        <v>1308</v>
      </c>
      <c r="E114" s="2419" t="s">
        <v>2557</v>
      </c>
      <c r="F114" s="2420"/>
      <c r="G114" s="2420"/>
      <c r="H114" s="2420"/>
      <c r="I114" s="2420"/>
      <c r="J114" s="2420"/>
      <c r="K114" s="2420"/>
      <c r="L114" s="2420"/>
      <c r="M114" s="2420"/>
      <c r="N114" s="2420"/>
      <c r="O114" s="2420"/>
      <c r="P114" s="2420"/>
      <c r="Q114" s="2420"/>
      <c r="R114" s="2420"/>
      <c r="S114" s="2420"/>
      <c r="T114" s="2420"/>
      <c r="U114" s="2420"/>
      <c r="V114" s="2420"/>
      <c r="W114" s="2420"/>
      <c r="X114" s="2420"/>
      <c r="Y114" s="2420"/>
      <c r="Z114" s="2420"/>
      <c r="AA114" s="2420"/>
      <c r="AB114" s="2420"/>
      <c r="AC114" s="2420"/>
      <c r="AD114" s="2420"/>
      <c r="AE114" s="2420"/>
      <c r="AF114" s="2420"/>
      <c r="AG114" s="2420"/>
      <c r="AH114" s="2420"/>
      <c r="AI114" s="2420"/>
      <c r="AJ114" s="2421"/>
      <c r="AK114" s="536"/>
      <c r="AL114" s="536"/>
      <c r="AM114" s="536"/>
      <c r="AN114" s="531"/>
      <c r="AO114" s="532" t="str">
        <f>Application!B729</f>
        <v>SRO/Studio</v>
      </c>
      <c r="AQ114" s="532">
        <f>Application!O729</f>
        <v>2080</v>
      </c>
      <c r="AU114" s="532" t="s">
        <v>1811</v>
      </c>
      <c r="AV114" s="588" t="s">
        <v>1812</v>
      </c>
      <c r="AW114" s="532" t="s">
        <v>1813</v>
      </c>
    </row>
    <row r="115" spans="1:52" s="532" customFormat="1" ht="12.75" customHeight="1">
      <c r="A115" s="536"/>
      <c r="B115" s="535"/>
      <c r="C115" s="535"/>
      <c r="D115" s="535"/>
      <c r="E115" s="2438"/>
      <c r="F115" s="2439"/>
      <c r="G115" s="2439"/>
      <c r="H115" s="2439"/>
      <c r="I115" s="2439"/>
      <c r="J115" s="2439"/>
      <c r="K115" s="2439"/>
      <c r="L115" s="2439"/>
      <c r="M115" s="2439"/>
      <c r="N115" s="2439"/>
      <c r="O115" s="2439"/>
      <c r="P115" s="2439"/>
      <c r="Q115" s="2439"/>
      <c r="R115" s="2439"/>
      <c r="S115" s="2439"/>
      <c r="T115" s="2439"/>
      <c r="U115" s="2439"/>
      <c r="V115" s="2439"/>
      <c r="W115" s="2439"/>
      <c r="X115" s="2439"/>
      <c r="Y115" s="2439"/>
      <c r="Z115" s="2439"/>
      <c r="AA115" s="2439"/>
      <c r="AB115" s="2439"/>
      <c r="AC115" s="2439"/>
      <c r="AD115" s="2439"/>
      <c r="AE115" s="2439"/>
      <c r="AF115" s="2439"/>
      <c r="AG115" s="2439"/>
      <c r="AH115" s="2439"/>
      <c r="AI115" s="2439"/>
      <c r="AJ115" s="2440"/>
      <c r="AK115" s="536"/>
      <c r="AL115" s="536"/>
      <c r="AM115" s="536"/>
      <c r="AN115" s="531"/>
      <c r="AO115" s="532" t="str">
        <f>Application!B730</f>
        <v>1 Bedroom</v>
      </c>
      <c r="AQ115" s="532">
        <f>Application!O730</f>
        <v>909</v>
      </c>
      <c r="AU115" s="847" t="str">
        <f>E123</f>
        <v>Studio/SRO</v>
      </c>
      <c r="AV115" s="532">
        <f t="array" ref="AV115">SUM(IF(Application!B726:F760="SRO/Studio",Application!G726:J760))</f>
        <v>13</v>
      </c>
      <c r="AW115" s="1001">
        <f>AV115/AV121</f>
        <v>0.12149532710280374</v>
      </c>
    </row>
    <row r="116" spans="1:52" s="532" customFormat="1" ht="12.75" customHeight="1">
      <c r="A116" s="536"/>
      <c r="B116" s="535"/>
      <c r="C116" s="535"/>
      <c r="D116" s="535"/>
      <c r="E116" s="2438"/>
      <c r="F116" s="2439"/>
      <c r="G116" s="2439"/>
      <c r="H116" s="2439"/>
      <c r="I116" s="2439"/>
      <c r="J116" s="2439"/>
      <c r="K116" s="2439"/>
      <c r="L116" s="2439"/>
      <c r="M116" s="2439"/>
      <c r="N116" s="2439"/>
      <c r="O116" s="2439"/>
      <c r="P116" s="2439"/>
      <c r="Q116" s="2439"/>
      <c r="R116" s="2439"/>
      <c r="S116" s="2439"/>
      <c r="T116" s="2439"/>
      <c r="U116" s="2439"/>
      <c r="V116" s="2439"/>
      <c r="W116" s="2439"/>
      <c r="X116" s="2439"/>
      <c r="Y116" s="2439"/>
      <c r="Z116" s="2439"/>
      <c r="AA116" s="2439"/>
      <c r="AB116" s="2439"/>
      <c r="AC116" s="2439"/>
      <c r="AD116" s="2439"/>
      <c r="AE116" s="2439"/>
      <c r="AF116" s="2439"/>
      <c r="AG116" s="2439"/>
      <c r="AH116" s="2439"/>
      <c r="AI116" s="2439"/>
      <c r="AJ116" s="2440"/>
      <c r="AK116" s="536"/>
      <c r="AL116" s="536"/>
      <c r="AM116" s="536"/>
      <c r="AN116" s="531"/>
      <c r="AO116" s="532" t="str">
        <f>Application!B731</f>
        <v>1 Bedroom</v>
      </c>
      <c r="AQ116" s="532">
        <f>Application!O731</f>
        <v>1565</v>
      </c>
      <c r="AU116" s="847" t="str">
        <f>J123</f>
        <v>1-bedroom</v>
      </c>
      <c r="AV116" s="532">
        <f t="array" ref="AV116">SUM(IF(Application!B726:F760="1 Bedroom",Application!G726:J760))</f>
        <v>65</v>
      </c>
      <c r="AW116" s="1001">
        <f>AV116/AV121</f>
        <v>0.60747663551401865</v>
      </c>
    </row>
    <row r="117" spans="1:52" s="532" customFormat="1" ht="12.75" customHeight="1">
      <c r="A117" s="536"/>
      <c r="B117" s="535"/>
      <c r="C117" s="535"/>
      <c r="D117" s="535"/>
      <c r="E117" s="2438"/>
      <c r="F117" s="2439"/>
      <c r="G117" s="2439"/>
      <c r="H117" s="2439"/>
      <c r="I117" s="2439"/>
      <c r="J117" s="2439"/>
      <c r="K117" s="2439"/>
      <c r="L117" s="2439"/>
      <c r="M117" s="2439"/>
      <c r="N117" s="2439"/>
      <c r="O117" s="2439"/>
      <c r="P117" s="2439"/>
      <c r="Q117" s="2439"/>
      <c r="R117" s="2439"/>
      <c r="S117" s="2439"/>
      <c r="T117" s="2439"/>
      <c r="U117" s="2439"/>
      <c r="V117" s="2439"/>
      <c r="W117" s="2439"/>
      <c r="X117" s="2439"/>
      <c r="Y117" s="2439"/>
      <c r="Z117" s="2439"/>
      <c r="AA117" s="2439"/>
      <c r="AB117" s="2439"/>
      <c r="AC117" s="2439"/>
      <c r="AD117" s="2439"/>
      <c r="AE117" s="2439"/>
      <c r="AF117" s="2439"/>
      <c r="AG117" s="2439"/>
      <c r="AH117" s="2439"/>
      <c r="AI117" s="2439"/>
      <c r="AJ117" s="2440"/>
      <c r="AK117" s="536"/>
      <c r="AL117" s="536"/>
      <c r="AM117" s="536"/>
      <c r="AN117" s="531"/>
      <c r="AO117" s="532" t="str">
        <f>Application!B732</f>
        <v>1 Bedroom</v>
      </c>
      <c r="AQ117" s="532">
        <f>Application!O732</f>
        <v>1893</v>
      </c>
      <c r="AU117" s="847" t="str">
        <f>O123</f>
        <v>2-bedroom</v>
      </c>
      <c r="AV117" s="532">
        <f t="array" ref="AV117">SUM(IF(Application!B726:F760="2 Bedrooms",Application!G726:J760))</f>
        <v>29</v>
      </c>
      <c r="AW117" s="1001">
        <f>AV117/AV121</f>
        <v>0.27102803738317754</v>
      </c>
    </row>
    <row r="118" spans="1:52" s="532" customFormat="1" ht="12.75" customHeight="1">
      <c r="A118" s="536"/>
      <c r="B118" s="535"/>
      <c r="C118" s="535"/>
      <c r="D118" s="535"/>
      <c r="E118" s="2438"/>
      <c r="F118" s="2439"/>
      <c r="G118" s="2439"/>
      <c r="H118" s="2439"/>
      <c r="I118" s="2439"/>
      <c r="J118" s="2439"/>
      <c r="K118" s="2439"/>
      <c r="L118" s="2439"/>
      <c r="M118" s="2439"/>
      <c r="N118" s="2439"/>
      <c r="O118" s="2439"/>
      <c r="P118" s="2439"/>
      <c r="Q118" s="2439"/>
      <c r="R118" s="2439"/>
      <c r="S118" s="2439"/>
      <c r="T118" s="2439"/>
      <c r="U118" s="2439"/>
      <c r="V118" s="2439"/>
      <c r="W118" s="2439"/>
      <c r="X118" s="2439"/>
      <c r="Y118" s="2439"/>
      <c r="Z118" s="2439"/>
      <c r="AA118" s="2439"/>
      <c r="AB118" s="2439"/>
      <c r="AC118" s="2439"/>
      <c r="AD118" s="2439"/>
      <c r="AE118" s="2439"/>
      <c r="AF118" s="2439"/>
      <c r="AG118" s="2439"/>
      <c r="AH118" s="2439"/>
      <c r="AI118" s="2439"/>
      <c r="AJ118" s="2440"/>
      <c r="AK118" s="536"/>
      <c r="AL118" s="536"/>
      <c r="AM118" s="536"/>
      <c r="AN118" s="531"/>
      <c r="AO118" s="532" t="str">
        <f>Application!B733</f>
        <v>1 Bedroom</v>
      </c>
      <c r="AQ118" s="532">
        <f>Application!O733</f>
        <v>2221</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38"/>
      <c r="F119" s="2439"/>
      <c r="G119" s="2439"/>
      <c r="H119" s="2439"/>
      <c r="I119" s="2439"/>
      <c r="J119" s="2439"/>
      <c r="K119" s="2439"/>
      <c r="L119" s="2439"/>
      <c r="M119" s="2439"/>
      <c r="N119" s="2439"/>
      <c r="O119" s="2439"/>
      <c r="P119" s="2439"/>
      <c r="Q119" s="2439"/>
      <c r="R119" s="2439"/>
      <c r="S119" s="2439"/>
      <c r="T119" s="2439"/>
      <c r="U119" s="2439"/>
      <c r="V119" s="2439"/>
      <c r="W119" s="2439"/>
      <c r="X119" s="2439"/>
      <c r="Y119" s="2439"/>
      <c r="Z119" s="2439"/>
      <c r="AA119" s="2439"/>
      <c r="AB119" s="2439"/>
      <c r="AC119" s="2439"/>
      <c r="AD119" s="2439"/>
      <c r="AE119" s="2439"/>
      <c r="AF119" s="2439"/>
      <c r="AG119" s="2439"/>
      <c r="AH119" s="2439"/>
      <c r="AI119" s="2439"/>
      <c r="AJ119" s="2440"/>
      <c r="AK119" s="536"/>
      <c r="AL119" s="536"/>
      <c r="AM119" s="536"/>
      <c r="AN119" s="531"/>
      <c r="AO119" s="532" t="str">
        <f>Application!B734</f>
        <v>2 Bedrooms</v>
      </c>
      <c r="AQ119" s="532">
        <f>Application!O734</f>
        <v>1078</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8"/>
      <c r="F120" s="2439"/>
      <c r="G120" s="2439"/>
      <c r="H120" s="2439"/>
      <c r="I120" s="2439"/>
      <c r="J120" s="2439"/>
      <c r="K120" s="2439"/>
      <c r="L120" s="2439"/>
      <c r="M120" s="2439"/>
      <c r="N120" s="2439"/>
      <c r="O120" s="2439"/>
      <c r="P120" s="2439"/>
      <c r="Q120" s="2439"/>
      <c r="R120" s="2439"/>
      <c r="S120" s="2439"/>
      <c r="T120" s="2439"/>
      <c r="U120" s="2439"/>
      <c r="V120" s="2439"/>
      <c r="W120" s="2439"/>
      <c r="X120" s="2439"/>
      <c r="Y120" s="2439"/>
      <c r="Z120" s="2439"/>
      <c r="AA120" s="2439"/>
      <c r="AB120" s="2439"/>
      <c r="AC120" s="2439"/>
      <c r="AD120" s="2439"/>
      <c r="AE120" s="2439"/>
      <c r="AF120" s="2439"/>
      <c r="AG120" s="2439"/>
      <c r="AH120" s="2439"/>
      <c r="AI120" s="2439"/>
      <c r="AJ120" s="2440"/>
      <c r="AK120" s="536"/>
      <c r="AL120" s="536"/>
      <c r="AM120" s="536"/>
      <c r="AN120" s="531"/>
      <c r="AO120" s="532" t="str">
        <f>Application!B735</f>
        <v>2 Bedrooms</v>
      </c>
      <c r="AQ120" s="532">
        <f>Application!O735</f>
        <v>1865</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8"/>
      <c r="F121" s="2439"/>
      <c r="G121" s="2439"/>
      <c r="H121" s="2439"/>
      <c r="I121" s="2439"/>
      <c r="J121" s="2439"/>
      <c r="K121" s="2439"/>
      <c r="L121" s="2439"/>
      <c r="M121" s="2439"/>
      <c r="N121" s="2439"/>
      <c r="O121" s="2439"/>
      <c r="P121" s="2439"/>
      <c r="Q121" s="2439"/>
      <c r="R121" s="2439"/>
      <c r="S121" s="2439"/>
      <c r="T121" s="2439"/>
      <c r="U121" s="2439"/>
      <c r="V121" s="2439"/>
      <c r="W121" s="2439"/>
      <c r="X121" s="2439"/>
      <c r="Y121" s="2439"/>
      <c r="Z121" s="2439"/>
      <c r="AA121" s="2439"/>
      <c r="AB121" s="2439"/>
      <c r="AC121" s="2439"/>
      <c r="AD121" s="2439"/>
      <c r="AE121" s="2439"/>
      <c r="AF121" s="2439"/>
      <c r="AG121" s="2439"/>
      <c r="AH121" s="2439"/>
      <c r="AI121" s="2439"/>
      <c r="AJ121" s="2440"/>
      <c r="AK121" s="536"/>
      <c r="AL121" s="536"/>
      <c r="AM121" s="536"/>
      <c r="AN121" s="531"/>
      <c r="AO121" s="532" t="str">
        <f>Application!B736</f>
        <v>2 Bedrooms</v>
      </c>
      <c r="AQ121" s="532">
        <f>Application!O736</f>
        <v>2259</v>
      </c>
      <c r="AV121" s="532">
        <f>SUM(AV115:AV120)</f>
        <v>107</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2653</v>
      </c>
    </row>
    <row r="123" spans="1:52" s="532" customFormat="1" ht="12.75" customHeight="1">
      <c r="A123" s="536"/>
      <c r="B123" s="535"/>
      <c r="C123" s="536"/>
      <c r="D123" s="536"/>
      <c r="E123" s="2431" t="s">
        <v>1576</v>
      </c>
      <c r="F123" s="2432"/>
      <c r="G123" s="2432"/>
      <c r="H123" s="2432"/>
      <c r="I123" s="570"/>
      <c r="J123" s="2432" t="s">
        <v>1619</v>
      </c>
      <c r="K123" s="2432"/>
      <c r="L123" s="2432"/>
      <c r="M123" s="2432"/>
      <c r="N123" s="570"/>
      <c r="O123" s="2432" t="s">
        <v>1620</v>
      </c>
      <c r="P123" s="2432"/>
      <c r="Q123" s="2432"/>
      <c r="R123" s="2432"/>
      <c r="S123" s="570"/>
      <c r="T123" s="2432" t="s">
        <v>1327</v>
      </c>
      <c r="U123" s="2432"/>
      <c r="V123" s="2432"/>
      <c r="W123" s="2432"/>
      <c r="X123" s="570"/>
      <c r="Y123" s="2432" t="s">
        <v>1621</v>
      </c>
      <c r="Z123" s="2432"/>
      <c r="AA123" s="2432"/>
      <c r="AB123" s="2432"/>
      <c r="AC123" s="570"/>
      <c r="AD123" s="2432" t="s">
        <v>1622</v>
      </c>
      <c r="AE123" s="2432"/>
      <c r="AF123" s="2432"/>
      <c r="AG123" s="2432"/>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8">
        <v>2335</v>
      </c>
      <c r="F126" s="2469"/>
      <c r="G126" s="2469"/>
      <c r="H126" s="2469"/>
      <c r="I126" s="855"/>
      <c r="J126" s="2469">
        <v>2472</v>
      </c>
      <c r="K126" s="2469"/>
      <c r="L126" s="2469"/>
      <c r="M126" s="2469"/>
      <c r="N126" s="855"/>
      <c r="O126" s="2469">
        <v>3022</v>
      </c>
      <c r="P126" s="2469"/>
      <c r="Q126" s="2469"/>
      <c r="R126" s="2469"/>
      <c r="S126" s="855"/>
      <c r="T126" s="2469"/>
      <c r="U126" s="2469"/>
      <c r="V126" s="2469"/>
      <c r="W126" s="2469"/>
      <c r="X126" s="855"/>
      <c r="Y126" s="2469"/>
      <c r="Z126" s="2469"/>
      <c r="AA126" s="2469"/>
      <c r="AB126" s="2469"/>
      <c r="AC126" s="855"/>
      <c r="AD126" s="2469"/>
      <c r="AE126" s="2469"/>
      <c r="AF126" s="2469"/>
      <c r="AG126" s="2469"/>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2">
        <f>Application!DX678</f>
        <v>1703.2307692307693</v>
      </c>
      <c r="F129" s="2443"/>
      <c r="G129" s="2443"/>
      <c r="H129" s="2443"/>
      <c r="I129" s="855"/>
      <c r="J129" s="2443">
        <f>Application!EC678</f>
        <v>1802.1692307692308</v>
      </c>
      <c r="K129" s="2443"/>
      <c r="L129" s="2443"/>
      <c r="M129" s="2443"/>
      <c r="N129" s="855"/>
      <c r="O129" s="2443">
        <f>Application!EH678</f>
        <v>2530.7586206896549</v>
      </c>
      <c r="P129" s="2443"/>
      <c r="Q129" s="2443"/>
      <c r="R129" s="2443"/>
      <c r="S129" s="859"/>
      <c r="T129" s="2443">
        <f>Application!EM678</f>
        <v>0</v>
      </c>
      <c r="U129" s="2443"/>
      <c r="V129" s="2443"/>
      <c r="W129" s="2443"/>
      <c r="X129" s="859"/>
      <c r="Y129" s="2443">
        <f>Application!ER678</f>
        <v>0</v>
      </c>
      <c r="Z129" s="2443"/>
      <c r="AA129" s="2443"/>
      <c r="AB129" s="2443"/>
      <c r="AC129" s="859"/>
      <c r="AD129" s="2443">
        <f>Application!EW678</f>
        <v>0</v>
      </c>
      <c r="AE129" s="2443"/>
      <c r="AF129" s="2443"/>
      <c r="AG129" s="2443"/>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1">
        <f>(E126-E129)/E126</f>
        <v>0.27056498105748639</v>
      </c>
      <c r="F132" s="2434"/>
      <c r="G132" s="2434"/>
      <c r="H132" s="2642"/>
      <c r="I132" s="570"/>
      <c r="J132" s="2641">
        <f>(J126-J129)/J126</f>
        <v>0.27096713965646002</v>
      </c>
      <c r="K132" s="2434"/>
      <c r="L132" s="2434"/>
      <c r="M132" s="2642"/>
      <c r="N132" s="570"/>
      <c r="O132" s="2641">
        <f>(O126-O129)/O126</f>
        <v>0.16255505602592493</v>
      </c>
      <c r="P132" s="2434"/>
      <c r="Q132" s="2434"/>
      <c r="R132" s="2642"/>
      <c r="S132" s="570"/>
      <c r="T132" s="2641" t="e">
        <f>(T126-T129)/T126</f>
        <v>#DIV/0!</v>
      </c>
      <c r="U132" s="2434"/>
      <c r="V132" s="2434"/>
      <c r="W132" s="2642"/>
      <c r="X132" s="570"/>
      <c r="Y132" s="2641" t="e">
        <f>(Y126-Y129)/Y126</f>
        <v>#DIV/0!</v>
      </c>
      <c r="Z132" s="2434"/>
      <c r="AA132" s="2434"/>
      <c r="AB132" s="2642"/>
      <c r="AC132" s="570"/>
      <c r="AD132" s="2641" t="e">
        <f>(AD126-AD129)/AD126</f>
        <v>#DIV/0!</v>
      </c>
      <c r="AE132" s="2434"/>
      <c r="AF132" s="2434"/>
      <c r="AG132" s="264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7">
        <f>IF(((E132-0.1)*AW115)&gt;0,((E132-0.1)*AW115),0)</f>
        <v>2.0722848165862832E-2</v>
      </c>
      <c r="F135" s="2458"/>
      <c r="G135" s="2458"/>
      <c r="H135" s="2459"/>
      <c r="I135" s="570"/>
      <c r="J135" s="2457">
        <f>IF(((J132-0.1)*AW116)&gt;0,((J132-0.1)*AW116),0)</f>
        <v>0.10385854278196169</v>
      </c>
      <c r="K135" s="2458"/>
      <c r="L135" s="2458"/>
      <c r="M135" s="2459"/>
      <c r="N135" s="570"/>
      <c r="O135" s="2457">
        <f>IF(((O132-0.1)*AW117)&gt;0,((O132-0.1)*AW117),0)</f>
        <v>1.6954174063101148E-2</v>
      </c>
      <c r="P135" s="2458"/>
      <c r="Q135" s="2458"/>
      <c r="R135" s="2459"/>
      <c r="S135" s="570"/>
      <c r="T135" s="2457" t="e">
        <f>IF(((T132-0.1)*AW118)&gt;0,((T132-0.1)*AW118),0)</f>
        <v>#DIV/0!</v>
      </c>
      <c r="U135" s="2458"/>
      <c r="V135" s="2458"/>
      <c r="W135" s="2459"/>
      <c r="X135" s="570"/>
      <c r="Y135" s="2457" t="e">
        <f>IF(((Y132-0.1)*AW119)&gt;0,((Y132-0.1)*AW119),0)</f>
        <v>#DIV/0!</v>
      </c>
      <c r="Z135" s="2458"/>
      <c r="AA135" s="2458"/>
      <c r="AB135" s="2459"/>
      <c r="AC135" s="570"/>
      <c r="AD135" s="2457" t="e">
        <f>IF(((AD132-0.1)*AW120)&gt;0,((AD132-0.1)*AW120),0)</f>
        <v>#DIV/0!</v>
      </c>
      <c r="AE135" s="2458"/>
      <c r="AF135" s="2458"/>
      <c r="AG135" s="2459"/>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1">
        <f>ROUNDDOWN(SUMIF(E135:AG135,"&gt;0"),2)</f>
        <v>0.14000000000000001</v>
      </c>
      <c r="F137" s="2434"/>
      <c r="G137" s="2434"/>
      <c r="H137" s="2642"/>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8">
        <f>IF((E137*100)&gt;10,10,E137*100)</f>
        <v>10</v>
      </c>
      <c r="F138" s="2449"/>
      <c r="G138" s="2449"/>
      <c r="H138" s="2450"/>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448">
        <f>E138</f>
        <v>10</v>
      </c>
      <c r="AL142" s="2449"/>
      <c r="AM142" s="2450"/>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37" t="s">
        <v>1307</v>
      </c>
      <c r="AF145" s="2437"/>
      <c r="AG145" s="2437"/>
      <c r="AH145" s="2437"/>
      <c r="AI145" s="2437"/>
      <c r="AJ145" s="2437"/>
      <c r="AK145" s="2437"/>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0" t="s">
        <v>1331</v>
      </c>
      <c r="AG147" s="2470"/>
      <c r="AH147" s="2470"/>
      <c r="AI147" s="2470"/>
      <c r="AJ147" s="2470"/>
      <c r="AK147" s="2470"/>
      <c r="AL147" s="2470"/>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0" t="s">
        <v>2767</v>
      </c>
      <c r="C149" s="2480"/>
      <c r="D149" s="2480"/>
      <c r="E149" s="2480"/>
      <c r="F149" s="2480"/>
      <c r="G149" s="2480"/>
      <c r="H149" s="2480"/>
      <c r="I149" s="2480"/>
      <c r="J149" s="2480"/>
      <c r="K149" s="2480"/>
      <c r="L149" s="2480"/>
      <c r="M149" s="2480"/>
      <c r="N149" s="2480"/>
      <c r="O149" s="2480"/>
      <c r="P149" s="2480"/>
      <c r="Q149" s="2480"/>
      <c r="R149" s="2480"/>
      <c r="S149" s="2480"/>
      <c r="T149" s="2480"/>
      <c r="U149" s="2480"/>
      <c r="V149" s="2480"/>
      <c r="W149" s="2480"/>
      <c r="X149" s="2480"/>
      <c r="Y149" s="2480"/>
      <c r="Z149" s="2480"/>
      <c r="AA149" s="2480"/>
      <c r="AB149" s="2480"/>
      <c r="AC149" s="2480"/>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481" t="s">
        <v>1334</v>
      </c>
      <c r="C152" s="2481"/>
      <c r="D152" s="2481"/>
      <c r="E152" s="2481"/>
      <c r="F152" s="2481"/>
      <c r="G152" s="2481"/>
      <c r="H152" s="2481"/>
      <c r="I152" s="2481"/>
      <c r="J152" s="2481"/>
      <c r="K152" s="2481"/>
      <c r="L152" s="2481"/>
      <c r="M152" s="2481"/>
      <c r="N152" s="2481"/>
      <c r="O152" s="2481"/>
      <c r="P152" s="2481"/>
      <c r="Q152" s="2481"/>
      <c r="R152" s="2481"/>
      <c r="S152" s="2481"/>
      <c r="T152" s="2481"/>
      <c r="U152" s="2481"/>
      <c r="V152" s="2481"/>
      <c r="W152" s="2481"/>
      <c r="X152" s="2481"/>
      <c r="Y152" s="2481"/>
      <c r="Z152" s="2481"/>
      <c r="AA152" s="2481"/>
      <c r="AB152" s="2481"/>
      <c r="AC152" s="2481"/>
      <c r="AD152" s="2481"/>
      <c r="AE152" s="2481"/>
      <c r="AF152" s="2481"/>
      <c r="AG152" s="2481"/>
      <c r="AH152" s="2481"/>
      <c r="AI152" s="2481"/>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82" t="s">
        <v>591</v>
      </c>
      <c r="AC154" s="2482"/>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481" t="s">
        <v>1336</v>
      </c>
      <c r="C157" s="2481"/>
      <c r="D157" s="2481"/>
      <c r="E157" s="2481"/>
      <c r="F157" s="2481"/>
      <c r="G157" s="2481"/>
      <c r="H157" s="2481"/>
      <c r="I157" s="2481"/>
      <c r="J157" s="2481"/>
      <c r="K157" s="2481"/>
      <c r="L157" s="2481"/>
      <c r="M157" s="2481"/>
      <c r="N157" s="2481"/>
      <c r="O157" s="2481"/>
      <c r="P157" s="2481"/>
      <c r="Q157" s="2481"/>
      <c r="R157" s="2481"/>
      <c r="S157" s="2481"/>
      <c r="T157" s="2481"/>
      <c r="U157" s="2481"/>
      <c r="V157" s="2481"/>
      <c r="W157" s="2481"/>
      <c r="X157" s="2481"/>
      <c r="Y157" s="2481"/>
      <c r="Z157" s="2481"/>
      <c r="AA157" s="2481"/>
      <c r="AB157" s="2481"/>
      <c r="AC157" s="2481"/>
      <c r="AD157" s="2481"/>
      <c r="AE157" s="2481"/>
      <c r="AF157" s="2481"/>
      <c r="AG157" s="2481"/>
      <c r="AH157" s="2481"/>
      <c r="AI157" s="2481"/>
      <c r="AJ157" s="2481"/>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6" t="s">
        <v>2400</v>
      </c>
      <c r="C160" s="2646"/>
      <c r="D160" s="2646"/>
      <c r="E160" s="2646"/>
      <c r="F160" s="2646"/>
      <c r="G160" s="2646"/>
      <c r="H160" s="2646"/>
      <c r="I160" s="2646"/>
      <c r="J160" s="2646"/>
      <c r="K160" s="2646"/>
      <c r="L160" s="2646"/>
      <c r="M160" s="2646"/>
      <c r="N160" s="2646"/>
      <c r="O160" s="2646"/>
      <c r="P160" s="2646"/>
      <c r="Q160" s="2646"/>
      <c r="R160" s="2646"/>
      <c r="S160" s="2646"/>
      <c r="T160" s="2646"/>
      <c r="U160" s="2646"/>
      <c r="V160" s="2646"/>
      <c r="W160" s="2646"/>
      <c r="X160" s="2646"/>
      <c r="Y160" s="2646"/>
      <c r="Z160" s="2646"/>
      <c r="AA160" s="2646"/>
      <c r="AB160" s="2646"/>
      <c r="AC160" s="2646"/>
      <c r="AD160" s="2646"/>
      <c r="AE160" s="2646"/>
      <c r="AF160" s="2646"/>
      <c r="AG160" s="2646"/>
      <c r="AH160" s="2646"/>
      <c r="AI160" s="2646"/>
      <c r="AJ160" s="2646"/>
      <c r="AK160" s="1168"/>
      <c r="AM160" s="535"/>
      <c r="AN160" s="531"/>
      <c r="AO160" s="472"/>
      <c r="AP160" s="485"/>
    </row>
    <row r="161" spans="1:42" s="532" customFormat="1" ht="12.75" customHeight="1">
      <c r="B161" s="2646"/>
      <c r="C161" s="2646"/>
      <c r="D161" s="2646"/>
      <c r="E161" s="2646"/>
      <c r="F161" s="2646"/>
      <c r="G161" s="2646"/>
      <c r="H161" s="2646"/>
      <c r="I161" s="2646"/>
      <c r="J161" s="2646"/>
      <c r="K161" s="2646"/>
      <c r="L161" s="2646"/>
      <c r="M161" s="2646"/>
      <c r="N161" s="2646"/>
      <c r="O161" s="2646"/>
      <c r="P161" s="2646"/>
      <c r="Q161" s="2646"/>
      <c r="R161" s="2646"/>
      <c r="S161" s="2646"/>
      <c r="T161" s="2646"/>
      <c r="U161" s="2646"/>
      <c r="V161" s="2646"/>
      <c r="W161" s="2646"/>
      <c r="X161" s="2646"/>
      <c r="Y161" s="2646"/>
      <c r="Z161" s="2646"/>
      <c r="AA161" s="2646"/>
      <c r="AB161" s="2646"/>
      <c r="AC161" s="2646"/>
      <c r="AD161" s="2646"/>
      <c r="AE161" s="2646"/>
      <c r="AF161" s="2646"/>
      <c r="AG161" s="2646"/>
      <c r="AH161" s="2646"/>
      <c r="AI161" s="2646"/>
      <c r="AJ161" s="2646"/>
      <c r="AK161" s="1168"/>
      <c r="AM161" s="535"/>
      <c r="AN161" s="531"/>
      <c r="AO161" s="472"/>
      <c r="AP161" s="485"/>
    </row>
    <row r="162" spans="1:42" s="532" customFormat="1" ht="12.75" customHeight="1">
      <c r="C162" s="2557" t="s">
        <v>2401</v>
      </c>
      <c r="D162" s="2557"/>
      <c r="E162" s="2557"/>
      <c r="F162" s="2557"/>
      <c r="G162" s="2557"/>
      <c r="H162" s="2557"/>
      <c r="I162" s="2557"/>
      <c r="J162" s="2557"/>
      <c r="K162" s="2557"/>
      <c r="L162" s="2557"/>
      <c r="M162" s="2557"/>
      <c r="N162" s="2557"/>
      <c r="O162" s="2557"/>
      <c r="P162" s="2557"/>
      <c r="Q162" s="2557"/>
      <c r="R162" s="2557"/>
      <c r="S162" s="2557"/>
      <c r="T162" s="2557"/>
      <c r="U162" s="2557"/>
      <c r="V162" s="2557"/>
      <c r="W162" s="2557"/>
      <c r="X162" s="2557"/>
      <c r="Y162" s="2557"/>
      <c r="Z162" s="2557"/>
      <c r="AA162" s="2557"/>
      <c r="AB162" s="2557"/>
      <c r="AC162" s="2557"/>
      <c r="AD162" s="2557"/>
      <c r="AE162" s="2557"/>
      <c r="AF162" s="2557"/>
      <c r="AG162" s="2557"/>
      <c r="AH162" s="2557"/>
      <c r="AI162" s="2557"/>
      <c r="AJ162" s="2557"/>
      <c r="AK162" s="1168"/>
      <c r="AM162" s="535"/>
      <c r="AN162" s="531"/>
      <c r="AO162" s="472"/>
      <c r="AP162" s="485"/>
    </row>
    <row r="163" spans="1:42" s="532" customFormat="1" ht="12.75" customHeight="1">
      <c r="B163" s="1168"/>
      <c r="C163" s="2479" t="s">
        <v>2399</v>
      </c>
      <c r="D163" s="2479"/>
      <c r="E163" s="2479"/>
      <c r="F163" s="2479"/>
      <c r="G163" s="2479"/>
      <c r="H163" s="2479"/>
      <c r="I163" s="2479"/>
      <c r="J163" s="2479"/>
      <c r="K163" s="2479"/>
      <c r="L163" s="2479"/>
      <c r="M163" s="2479"/>
      <c r="N163" s="2479"/>
      <c r="O163" s="2479"/>
      <c r="P163" s="2479"/>
      <c r="Q163" s="2479"/>
      <c r="R163" s="2479"/>
      <c r="S163" s="2479"/>
      <c r="T163" s="2479"/>
      <c r="U163" s="2479"/>
      <c r="V163" s="2479"/>
      <c r="W163" s="2479"/>
      <c r="X163" s="2479"/>
      <c r="Y163" s="2479"/>
      <c r="Z163" s="2479"/>
      <c r="AA163" s="1158"/>
      <c r="AB163" s="1158"/>
      <c r="AC163" s="1158"/>
      <c r="AD163" s="1158"/>
      <c r="AE163" s="1158"/>
      <c r="AF163" s="1158"/>
      <c r="AG163" s="1158"/>
      <c r="AH163" s="1158"/>
      <c r="AJ163" s="2482" t="s">
        <v>591</v>
      </c>
      <c r="AK163" s="2482"/>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485">
        <f>IF($AB$154="N/A",VLOOKUP($B$152,$AO$150:$AP$153,2,FALSE),VLOOKUP($B$157,$AO$155:$AP$157,2,FALSE))</f>
        <v>7</v>
      </c>
      <c r="AK165" s="2485"/>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0" t="s">
        <v>1345</v>
      </c>
      <c r="AG167" s="2470"/>
      <c r="AH167" s="2470"/>
      <c r="AI167" s="2470"/>
      <c r="AJ167" s="2470"/>
      <c r="AK167" s="2470"/>
      <c r="AL167" s="2470"/>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1" t="s">
        <v>1343</v>
      </c>
      <c r="D169" s="2481"/>
      <c r="E169" s="2481"/>
      <c r="F169" s="2481"/>
      <c r="G169" s="2481"/>
      <c r="H169" s="2481"/>
      <c r="I169" s="2481"/>
      <c r="J169" s="2481"/>
      <c r="K169" s="2481"/>
      <c r="L169" s="2481"/>
      <c r="M169" s="2481"/>
      <c r="N169" s="2481"/>
      <c r="O169" s="2481"/>
      <c r="P169" s="2481"/>
      <c r="Q169" s="2481"/>
      <c r="R169" s="2481"/>
      <c r="S169" s="2481"/>
      <c r="T169" s="2481"/>
      <c r="U169" s="2481"/>
      <c r="V169" s="2481"/>
      <c r="W169" s="2481"/>
      <c r="X169" s="2481"/>
      <c r="Y169" s="2481"/>
      <c r="Z169" s="2481"/>
      <c r="AA169" s="2481"/>
      <c r="AB169" s="2481"/>
      <c r="AC169" s="2481"/>
      <c r="AD169" s="2481"/>
      <c r="AE169" s="2481"/>
      <c r="AF169" s="2481"/>
      <c r="AG169" s="2481"/>
      <c r="AH169" s="2481"/>
      <c r="AI169" s="2481"/>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2" t="s">
        <v>591</v>
      </c>
      <c r="AG171" s="2482"/>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481" t="s">
        <v>1336</v>
      </c>
      <c r="D173" s="2481"/>
      <c r="E173" s="2481"/>
      <c r="F173" s="2481"/>
      <c r="G173" s="2481"/>
      <c r="H173" s="2481"/>
      <c r="I173" s="2481"/>
      <c r="J173" s="2481"/>
      <c r="K173" s="2481"/>
      <c r="L173" s="2481"/>
      <c r="M173" s="2481"/>
      <c r="N173" s="2481"/>
      <c r="O173" s="2481"/>
      <c r="P173" s="2481"/>
      <c r="Q173" s="2481"/>
      <c r="R173" s="2481"/>
      <c r="S173" s="2481"/>
      <c r="T173" s="2481"/>
      <c r="U173" s="2481"/>
      <c r="V173" s="2481"/>
      <c r="W173" s="2481"/>
      <c r="X173" s="2481"/>
      <c r="Y173" s="2481"/>
      <c r="Z173" s="2481"/>
      <c r="AA173" s="2481"/>
      <c r="AB173" s="2481"/>
      <c r="AC173" s="2481"/>
      <c r="AD173" s="2481"/>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483" t="str">
        <f>Application!AA344</f>
        <v xml:space="preserve">CONAM Management Corporation </v>
      </c>
      <c r="D177" s="2483"/>
      <c r="E177" s="2483"/>
      <c r="F177" s="2483"/>
      <c r="G177" s="2483"/>
      <c r="H177" s="2483"/>
      <c r="I177" s="2483"/>
      <c r="J177" s="2483"/>
      <c r="K177" s="2483"/>
      <c r="L177" s="2483"/>
      <c r="M177" s="2483"/>
      <c r="N177" s="2483"/>
      <c r="O177" s="2483"/>
      <c r="P177" s="2483"/>
      <c r="Q177" s="2483"/>
      <c r="R177" s="2483"/>
      <c r="S177" s="2483"/>
      <c r="T177" s="2483"/>
      <c r="U177" s="2483"/>
      <c r="V177" s="2483"/>
      <c r="W177" s="2483"/>
      <c r="X177" s="2483"/>
      <c r="Y177" s="2483"/>
      <c r="Z177" s="2483"/>
      <c r="AA177" s="2483"/>
      <c r="AB177" s="2483"/>
      <c r="AC177" s="2483"/>
      <c r="AD177" s="2483"/>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484">
        <f>IF($AF$171="N/A",VLOOKUP($C$169,$AO$169:$AP$172,2,FALSE),VLOOKUP($C$173,$AO$176:$AP$178,2,FALSE))</f>
        <v>3</v>
      </c>
      <c r="AK179" s="2484"/>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448">
        <f>$AJ$165+$AJ$179</f>
        <v>10</v>
      </c>
      <c r="AL182" s="2449"/>
      <c r="AM182" s="2450"/>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7" t="s">
        <v>1307</v>
      </c>
      <c r="AF185" s="2437"/>
      <c r="AG185" s="2437"/>
      <c r="AH185" s="2437"/>
      <c r="AI185" s="2437"/>
      <c r="AJ185" s="2437"/>
      <c r="AK185" s="2437"/>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478" t="s">
        <v>2616</v>
      </c>
      <c r="C187" s="2478"/>
      <c r="D187" s="2478"/>
      <c r="E187" s="2478"/>
      <c r="F187" s="2478"/>
      <c r="G187" s="2478"/>
      <c r="H187" s="2478"/>
      <c r="I187" s="2478"/>
      <c r="J187" s="2478"/>
      <c r="K187" s="2478"/>
      <c r="L187" s="2478"/>
      <c r="M187" s="2478"/>
      <c r="N187" s="2478"/>
      <c r="O187" s="2478"/>
      <c r="P187" s="2478"/>
      <c r="Q187" s="2478"/>
      <c r="R187" s="2478"/>
      <c r="S187" s="2478"/>
      <c r="T187" s="2478"/>
      <c r="U187" s="2478"/>
      <c r="V187" s="2478"/>
      <c r="W187" s="2478"/>
      <c r="X187" s="2478"/>
      <c r="Y187" s="2478"/>
      <c r="Z187" s="2478"/>
      <c r="AA187" s="2478"/>
      <c r="AB187" s="2478"/>
      <c r="AC187" s="2478"/>
      <c r="AD187" s="532"/>
      <c r="AE187" s="532"/>
      <c r="AF187" s="2470" t="s">
        <v>1356</v>
      </c>
      <c r="AG187" s="2470"/>
      <c r="AH187" s="2470"/>
      <c r="AI187" s="2470"/>
      <c r="AJ187" s="2470"/>
      <c r="AK187" s="2470"/>
      <c r="AL187" s="2470"/>
      <c r="AN187" s="590"/>
      <c r="AP187" s="544" t="s">
        <v>1043</v>
      </c>
      <c r="AQ187" s="544">
        <v>10</v>
      </c>
    </row>
    <row r="188" spans="1:73" s="544" customFormat="1" ht="12.75" customHeight="1">
      <c r="A188" s="532"/>
      <c r="B188" s="2479" t="s">
        <v>1714</v>
      </c>
      <c r="C188" s="2479"/>
      <c r="D188" s="2479"/>
      <c r="E188" s="2479"/>
      <c r="F188" s="2479"/>
      <c r="G188" s="2479"/>
      <c r="H188" s="2479"/>
      <c r="I188" s="2479"/>
      <c r="J188" s="2479"/>
      <c r="K188" s="2479"/>
      <c r="L188" s="2479"/>
      <c r="M188" s="2479"/>
      <c r="N188" s="2479"/>
      <c r="O188" s="2479"/>
      <c r="P188" s="2479"/>
      <c r="Q188" s="2479"/>
      <c r="R188" s="2479"/>
      <c r="S188" s="2479"/>
      <c r="T188" s="2480" t="s">
        <v>591</v>
      </c>
      <c r="U188" s="2480"/>
      <c r="V188" s="2480"/>
      <c r="W188" s="2480"/>
      <c r="X188" s="2480"/>
      <c r="Y188" s="2480"/>
      <c r="Z188" s="2480"/>
      <c r="AA188" s="2480"/>
      <c r="AB188" s="2480"/>
      <c r="AC188" s="2480"/>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95">
        <f>IF(AK83&gt;0,VLOOKUP($B$187,AP184:AQ190,2,FALSE),0)</f>
        <v>10</v>
      </c>
      <c r="AL190" s="2496"/>
      <c r="AM190" s="2497"/>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7" t="s">
        <v>1364</v>
      </c>
      <c r="AF193" s="2437"/>
      <c r="AG193" s="2437"/>
      <c r="AH193" s="2437"/>
      <c r="AI193" s="2437"/>
      <c r="AJ193" s="2437"/>
      <c r="AK193" s="2437"/>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2"/>
      <c r="C198" s="2472"/>
      <c r="D198" s="2472"/>
      <c r="E198" s="2472"/>
      <c r="F198" s="2472"/>
      <c r="G198" s="2472"/>
      <c r="H198" s="2472"/>
      <c r="I198" s="2472"/>
      <c r="J198" s="2472"/>
      <c r="K198" s="2472"/>
      <c r="L198" s="2472"/>
      <c r="M198" s="2472"/>
      <c r="N198" s="2472"/>
      <c r="O198" s="2472"/>
      <c r="P198" s="2472"/>
      <c r="Q198" s="2472"/>
      <c r="R198" s="2472"/>
      <c r="S198" s="2472"/>
      <c r="T198" s="2472"/>
      <c r="U198" s="2472"/>
      <c r="V198" s="2472"/>
      <c r="W198" s="2472"/>
      <c r="X198" s="2472"/>
      <c r="Y198" s="2472"/>
      <c r="Z198" s="2472"/>
      <c r="AA198" s="2472"/>
      <c r="AB198" s="2472"/>
      <c r="AC198" s="837"/>
      <c r="AD198" s="2473"/>
      <c r="AE198" s="2473"/>
      <c r="AF198" s="2473"/>
      <c r="AG198" s="2473"/>
      <c r="AH198" s="2473"/>
      <c r="AI198" s="2473"/>
      <c r="AJ198" s="2473"/>
      <c r="AK198" s="603"/>
    </row>
    <row r="199" spans="1:37" hidden="1">
      <c r="A199" s="598"/>
      <c r="B199" s="2472"/>
      <c r="C199" s="2472"/>
      <c r="D199" s="2472"/>
      <c r="E199" s="2472"/>
      <c r="F199" s="2472"/>
      <c r="G199" s="2472"/>
      <c r="H199" s="2472"/>
      <c r="I199" s="2472"/>
      <c r="J199" s="2472"/>
      <c r="K199" s="2472"/>
      <c r="L199" s="2472"/>
      <c r="M199" s="2472"/>
      <c r="N199" s="2472"/>
      <c r="O199" s="2472"/>
      <c r="P199" s="2472"/>
      <c r="Q199" s="2472"/>
      <c r="R199" s="2472"/>
      <c r="S199" s="2472"/>
      <c r="T199" s="2472"/>
      <c r="U199" s="2472"/>
      <c r="V199" s="2472"/>
      <c r="W199" s="2472"/>
      <c r="X199" s="2472"/>
      <c r="Y199" s="2472"/>
      <c r="Z199" s="2472"/>
      <c r="AA199" s="2472"/>
      <c r="AB199" s="2472"/>
      <c r="AC199" s="837"/>
      <c r="AD199" s="2473"/>
      <c r="AE199" s="2473"/>
      <c r="AF199" s="2473"/>
      <c r="AG199" s="2473"/>
      <c r="AH199" s="2473"/>
      <c r="AI199" s="2473"/>
      <c r="AJ199" s="2473"/>
      <c r="AK199" s="603"/>
    </row>
    <row r="200" spans="1:37" hidden="1">
      <c r="A200" s="598"/>
      <c r="B200" s="2472"/>
      <c r="C200" s="2472"/>
      <c r="D200" s="2472"/>
      <c r="E200" s="2472"/>
      <c r="F200" s="2472"/>
      <c r="G200" s="2472"/>
      <c r="H200" s="2472"/>
      <c r="I200" s="2472"/>
      <c r="J200" s="2472"/>
      <c r="K200" s="2472"/>
      <c r="L200" s="2472"/>
      <c r="M200" s="2472"/>
      <c r="N200" s="2472"/>
      <c r="O200" s="2472"/>
      <c r="P200" s="2472"/>
      <c r="Q200" s="2472"/>
      <c r="R200" s="2472"/>
      <c r="S200" s="2472"/>
      <c r="T200" s="2472"/>
      <c r="U200" s="2472"/>
      <c r="V200" s="2472"/>
      <c r="W200" s="2472"/>
      <c r="X200" s="2472"/>
      <c r="Y200" s="2472"/>
      <c r="Z200" s="2472"/>
      <c r="AA200" s="2472"/>
      <c r="AB200" s="2472"/>
      <c r="AC200" s="837"/>
      <c r="AD200" s="2473"/>
      <c r="AE200" s="2473"/>
      <c r="AF200" s="2473"/>
      <c r="AG200" s="2473"/>
      <c r="AH200" s="2473"/>
      <c r="AI200" s="2473"/>
      <c r="AJ200" s="2473"/>
      <c r="AK200" s="603"/>
    </row>
    <row r="201" spans="1:37" hidden="1">
      <c r="A201" s="598"/>
      <c r="B201" s="2472"/>
      <c r="C201" s="2472"/>
      <c r="D201" s="2472"/>
      <c r="E201" s="2472"/>
      <c r="F201" s="2472"/>
      <c r="G201" s="2472"/>
      <c r="H201" s="2472"/>
      <c r="I201" s="2472"/>
      <c r="J201" s="2472"/>
      <c r="K201" s="2472"/>
      <c r="L201" s="2472"/>
      <c r="M201" s="2472"/>
      <c r="N201" s="2472"/>
      <c r="O201" s="2472"/>
      <c r="P201" s="2472"/>
      <c r="Q201" s="2472"/>
      <c r="R201" s="2472"/>
      <c r="S201" s="2472"/>
      <c r="T201" s="2472"/>
      <c r="U201" s="2472"/>
      <c r="V201" s="2472"/>
      <c r="W201" s="2472"/>
      <c r="X201" s="2472"/>
      <c r="Y201" s="2472"/>
      <c r="Z201" s="2472"/>
      <c r="AA201" s="2472"/>
      <c r="AB201" s="2472"/>
      <c r="AC201" s="837"/>
      <c r="AD201" s="2473"/>
      <c r="AE201" s="2473"/>
      <c r="AF201" s="2473"/>
      <c r="AG201" s="2473"/>
      <c r="AH201" s="2473"/>
      <c r="AI201" s="2473"/>
      <c r="AJ201" s="2473"/>
      <c r="AK201" s="603"/>
    </row>
    <row r="202" spans="1:37" hidden="1">
      <c r="A202" s="598"/>
      <c r="B202" s="2472"/>
      <c r="C202" s="2472"/>
      <c r="D202" s="2472"/>
      <c r="E202" s="2472"/>
      <c r="F202" s="2472"/>
      <c r="G202" s="2472"/>
      <c r="H202" s="2472"/>
      <c r="I202" s="2472"/>
      <c r="J202" s="2472"/>
      <c r="K202" s="2472"/>
      <c r="L202" s="2472"/>
      <c r="M202" s="2472"/>
      <c r="N202" s="2472"/>
      <c r="O202" s="2472"/>
      <c r="P202" s="2472"/>
      <c r="Q202" s="2472"/>
      <c r="R202" s="2472"/>
      <c r="S202" s="2472"/>
      <c r="T202" s="2472"/>
      <c r="U202" s="2472"/>
      <c r="V202" s="2472"/>
      <c r="W202" s="2472"/>
      <c r="X202" s="2472"/>
      <c r="Y202" s="2472"/>
      <c r="Z202" s="2472"/>
      <c r="AA202" s="2472"/>
      <c r="AB202" s="2472"/>
      <c r="AC202" s="837"/>
      <c r="AD202" s="2473"/>
      <c r="AE202" s="2473"/>
      <c r="AF202" s="2473"/>
      <c r="AG202" s="2473"/>
      <c r="AH202" s="2473"/>
      <c r="AI202" s="2473"/>
      <c r="AJ202" s="2473"/>
      <c r="AK202" s="603"/>
    </row>
    <row r="203" spans="1:37" hidden="1">
      <c r="A203" s="598"/>
      <c r="B203" s="2472"/>
      <c r="C203" s="2472"/>
      <c r="D203" s="2472"/>
      <c r="E203" s="2472"/>
      <c r="F203" s="2472"/>
      <c r="G203" s="2472"/>
      <c r="H203" s="2472"/>
      <c r="I203" s="2472"/>
      <c r="J203" s="2472"/>
      <c r="K203" s="2472"/>
      <c r="L203" s="2472"/>
      <c r="M203" s="2472"/>
      <c r="N203" s="2472"/>
      <c r="O203" s="2472"/>
      <c r="P203" s="2472"/>
      <c r="Q203" s="2472"/>
      <c r="R203" s="2472"/>
      <c r="S203" s="2472"/>
      <c r="T203" s="2472"/>
      <c r="U203" s="2472"/>
      <c r="V203" s="2472"/>
      <c r="W203" s="2472"/>
      <c r="X203" s="2472"/>
      <c r="Y203" s="2472"/>
      <c r="Z203" s="2472"/>
      <c r="AA203" s="2472"/>
      <c r="AB203" s="2472"/>
      <c r="AC203" s="837"/>
      <c r="AD203" s="2473"/>
      <c r="AE203" s="2473"/>
      <c r="AF203" s="2473"/>
      <c r="AG203" s="2473"/>
      <c r="AH203" s="2473"/>
      <c r="AI203" s="2473"/>
      <c r="AJ203" s="2473"/>
      <c r="AK203" s="603"/>
    </row>
    <row r="204" spans="1:37" hidden="1">
      <c r="A204" s="598"/>
      <c r="B204" s="2472"/>
      <c r="C204" s="2472"/>
      <c r="D204" s="2472"/>
      <c r="E204" s="2472"/>
      <c r="F204" s="2472"/>
      <c r="G204" s="2472"/>
      <c r="H204" s="2472"/>
      <c r="I204" s="2472"/>
      <c r="J204" s="2472"/>
      <c r="K204" s="2472"/>
      <c r="L204" s="2472"/>
      <c r="M204" s="2472"/>
      <c r="N204" s="2472"/>
      <c r="O204" s="2472"/>
      <c r="P204" s="2472"/>
      <c r="Q204" s="2472"/>
      <c r="R204" s="2472"/>
      <c r="S204" s="2472"/>
      <c r="T204" s="2472"/>
      <c r="U204" s="2472"/>
      <c r="V204" s="2472"/>
      <c r="W204" s="2472"/>
      <c r="X204" s="2472"/>
      <c r="Y204" s="2472"/>
      <c r="Z204" s="2472"/>
      <c r="AA204" s="2472"/>
      <c r="AB204" s="2472"/>
      <c r="AC204" s="837"/>
      <c r="AD204" s="2473"/>
      <c r="AE204" s="2473"/>
      <c r="AF204" s="2473"/>
      <c r="AG204" s="2473"/>
      <c r="AH204" s="2473"/>
      <c r="AI204" s="2473"/>
      <c r="AJ204" s="2473"/>
      <c r="AK204" s="603"/>
    </row>
    <row r="205" spans="1:37" hidden="1">
      <c r="A205" s="598"/>
      <c r="B205" s="2472"/>
      <c r="C205" s="2472"/>
      <c r="D205" s="2472"/>
      <c r="E205" s="2472"/>
      <c r="F205" s="2472"/>
      <c r="G205" s="2472"/>
      <c r="H205" s="2472"/>
      <c r="I205" s="2472"/>
      <c r="J205" s="2472"/>
      <c r="K205" s="2472"/>
      <c r="L205" s="2472"/>
      <c r="M205" s="2472"/>
      <c r="N205" s="2472"/>
      <c r="O205" s="2472"/>
      <c r="P205" s="2472"/>
      <c r="Q205" s="2472"/>
      <c r="R205" s="2472"/>
      <c r="S205" s="2472"/>
      <c r="T205" s="2472"/>
      <c r="U205" s="2472"/>
      <c r="V205" s="2472"/>
      <c r="W205" s="2472"/>
      <c r="X205" s="2472"/>
      <c r="Y205" s="2472"/>
      <c r="Z205" s="2472"/>
      <c r="AA205" s="2472"/>
      <c r="AB205" s="2472"/>
      <c r="AC205" s="837"/>
      <c r="AD205" s="2473"/>
      <c r="AE205" s="2473"/>
      <c r="AF205" s="2473"/>
      <c r="AG205" s="2473"/>
      <c r="AH205" s="2473"/>
      <c r="AI205" s="2473"/>
      <c r="AJ205" s="2473"/>
      <c r="AK205" s="603"/>
    </row>
    <row r="206" spans="1:37" hidden="1">
      <c r="A206" s="598"/>
      <c r="B206" s="2472"/>
      <c r="C206" s="2472"/>
      <c r="D206" s="2472"/>
      <c r="E206" s="2472"/>
      <c r="F206" s="2472"/>
      <c r="G206" s="2472"/>
      <c r="H206" s="2472"/>
      <c r="I206" s="2472"/>
      <c r="J206" s="2472"/>
      <c r="K206" s="2472"/>
      <c r="L206" s="2472"/>
      <c r="M206" s="2472"/>
      <c r="N206" s="2472"/>
      <c r="O206" s="2472"/>
      <c r="P206" s="2472"/>
      <c r="Q206" s="2472"/>
      <c r="R206" s="2472"/>
      <c r="S206" s="2472"/>
      <c r="T206" s="2472"/>
      <c r="U206" s="2472"/>
      <c r="V206" s="2472"/>
      <c r="W206" s="2472"/>
      <c r="X206" s="2472"/>
      <c r="Y206" s="2472"/>
      <c r="Z206" s="2472"/>
      <c r="AA206" s="2472"/>
      <c r="AB206" s="2472"/>
      <c r="AC206" s="837"/>
      <c r="AD206" s="2473"/>
      <c r="AE206" s="2473"/>
      <c r="AF206" s="2473"/>
      <c r="AG206" s="2473"/>
      <c r="AH206" s="2473"/>
      <c r="AI206" s="2473"/>
      <c r="AJ206" s="2473"/>
      <c r="AK206" s="603"/>
    </row>
    <row r="207" spans="1:37" hidden="1">
      <c r="A207" s="598"/>
      <c r="B207" s="2472"/>
      <c r="C207" s="2472"/>
      <c r="D207" s="2472"/>
      <c r="E207" s="2472"/>
      <c r="F207" s="2472"/>
      <c r="G207" s="2472"/>
      <c r="H207" s="2472"/>
      <c r="I207" s="2472"/>
      <c r="J207" s="2472"/>
      <c r="K207" s="2472"/>
      <c r="L207" s="2472"/>
      <c r="M207" s="2472"/>
      <c r="N207" s="2472"/>
      <c r="O207" s="2472"/>
      <c r="P207" s="2472"/>
      <c r="Q207" s="2472"/>
      <c r="R207" s="2472"/>
      <c r="S207" s="2472"/>
      <c r="T207" s="2472"/>
      <c r="U207" s="2472"/>
      <c r="V207" s="2472"/>
      <c r="W207" s="2472"/>
      <c r="X207" s="2472"/>
      <c r="Y207" s="2472"/>
      <c r="Z207" s="2472"/>
      <c r="AA207" s="2472"/>
      <c r="AB207" s="2472"/>
      <c r="AC207" s="837"/>
      <c r="AD207" s="2473"/>
      <c r="AE207" s="2473"/>
      <c r="AF207" s="2473"/>
      <c r="AG207" s="2473"/>
      <c r="AH207" s="2473"/>
      <c r="AI207" s="2473"/>
      <c r="AJ207" s="2473"/>
      <c r="AK207" s="603"/>
    </row>
    <row r="208" spans="1:37" hidden="1">
      <c r="A208" s="598"/>
      <c r="B208" s="2519" t="s">
        <v>1615</v>
      </c>
      <c r="C208" s="2519"/>
      <c r="D208" s="2519"/>
      <c r="E208" s="2519"/>
      <c r="F208" s="2519"/>
      <c r="G208" s="2519"/>
      <c r="H208" s="2519"/>
      <c r="I208" s="2519"/>
      <c r="J208" s="2519"/>
      <c r="K208" s="2519"/>
      <c r="L208" s="2519"/>
      <c r="M208" s="2519"/>
      <c r="N208" s="2519"/>
      <c r="O208" s="2519"/>
      <c r="P208" s="2519"/>
      <c r="Q208" s="2519"/>
      <c r="R208" s="2519"/>
      <c r="S208" s="2519"/>
      <c r="T208" s="2519"/>
      <c r="U208" s="2519"/>
      <c r="V208" s="2519"/>
      <c r="W208" s="2519"/>
      <c r="X208" s="2519"/>
      <c r="Y208" s="2519"/>
      <c r="Z208" s="2519"/>
      <c r="AA208" s="2519"/>
      <c r="AB208" s="2519"/>
      <c r="AC208" s="532"/>
      <c r="AD208" s="2502">
        <f>AB259</f>
        <v>0</v>
      </c>
      <c r="AE208" s="2502"/>
      <c r="AF208" s="2502"/>
      <c r="AG208" s="2502"/>
      <c r="AH208" s="2502"/>
      <c r="AI208" s="2502"/>
      <c r="AJ208" s="2502"/>
      <c r="AK208" s="603"/>
    </row>
    <row r="209" spans="1:37" hidden="1">
      <c r="A209" s="598"/>
      <c r="B209" s="2657" t="s">
        <v>1578</v>
      </c>
      <c r="C209" s="2657"/>
      <c r="D209" s="2657"/>
      <c r="E209" s="2657"/>
      <c r="F209" s="2657"/>
      <c r="G209" s="2657"/>
      <c r="H209" s="2657"/>
      <c r="I209" s="2657"/>
      <c r="J209" s="2657"/>
      <c r="K209" s="2657"/>
      <c r="L209" s="2657"/>
      <c r="M209" s="2657"/>
      <c r="N209" s="2657"/>
      <c r="O209" s="2657"/>
      <c r="P209" s="2657"/>
      <c r="Q209" s="2657"/>
      <c r="R209" s="2657"/>
      <c r="S209" s="2657"/>
      <c r="T209" s="2657"/>
      <c r="U209" s="2657"/>
      <c r="V209" s="2657"/>
      <c r="W209" s="2657"/>
      <c r="X209" s="2657"/>
      <c r="Y209" s="2657"/>
      <c r="Z209" s="2657"/>
      <c r="AA209" s="2657"/>
      <c r="AB209" s="2657"/>
      <c r="AC209" s="837"/>
      <c r="AD209" s="2503">
        <f>'Sources and Uses Budget'!B15</f>
        <v>0</v>
      </c>
      <c r="AE209" s="2503"/>
      <c r="AF209" s="2503"/>
      <c r="AG209" s="2503"/>
      <c r="AH209" s="2503"/>
      <c r="AI209" s="2503"/>
      <c r="AJ209" s="2503"/>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07">
        <f>SUM(AD198:AJ208)-AD209</f>
        <v>0</v>
      </c>
      <c r="AE210" s="2507"/>
      <c r="AF210" s="2507"/>
      <c r="AG210" s="2507"/>
      <c r="AH210" s="2507"/>
      <c r="AI210" s="2507"/>
      <c r="AJ210" s="250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6" t="s">
        <v>1595</v>
      </c>
      <c r="J221" s="2476"/>
      <c r="K221" s="2476"/>
      <c r="L221" s="532"/>
      <c r="M221" s="532"/>
      <c r="N221" s="532"/>
      <c r="O221" s="532"/>
      <c r="P221" s="532"/>
      <c r="Q221" s="532"/>
      <c r="R221" s="532"/>
      <c r="S221" s="532"/>
      <c r="T221" s="2644" t="s">
        <v>1589</v>
      </c>
      <c r="U221" s="2644"/>
      <c r="V221" s="2644"/>
      <c r="W221" s="2644"/>
      <c r="X221" s="2644"/>
      <c r="Y221" s="2644"/>
      <c r="Z221" s="840"/>
      <c r="AA221" s="485"/>
      <c r="AB221" s="2471" t="s">
        <v>1590</v>
      </c>
      <c r="AC221" s="2471"/>
      <c r="AD221" s="2471"/>
      <c r="AE221" s="2471"/>
      <c r="AF221" s="2471"/>
      <c r="AG221" s="2471"/>
      <c r="AH221" s="818"/>
      <c r="AI221" s="818"/>
      <c r="AJ221" s="818"/>
      <c r="AK221" s="603"/>
    </row>
    <row r="222" spans="1:37" hidden="1">
      <c r="A222" s="598"/>
      <c r="B222" s="2474" t="s">
        <v>1575</v>
      </c>
      <c r="C222" s="2474"/>
      <c r="D222" s="2474"/>
      <c r="E222" s="2474"/>
      <c r="F222" s="2474"/>
      <c r="G222" s="2474"/>
      <c r="I222" s="2475" t="s">
        <v>1596</v>
      </c>
      <c r="J222" s="2475"/>
      <c r="K222" s="2475"/>
      <c r="L222" s="998"/>
      <c r="N222" s="2465" t="s">
        <v>1591</v>
      </c>
      <c r="O222" s="2465"/>
      <c r="P222" s="2465"/>
      <c r="Q222" s="2465"/>
      <c r="R222" s="2465"/>
      <c r="T222" s="2465" t="s">
        <v>1592</v>
      </c>
      <c r="U222" s="2465"/>
      <c r="V222" s="2465"/>
      <c r="W222" s="2465"/>
      <c r="X222" s="2465"/>
      <c r="Y222" s="2465"/>
      <c r="Z222" s="841"/>
      <c r="AA222" s="485"/>
      <c r="AB222" s="2623" t="s">
        <v>1593</v>
      </c>
      <c r="AC222" s="2623"/>
      <c r="AD222" s="2623"/>
      <c r="AE222" s="2623"/>
      <c r="AF222" s="2623"/>
      <c r="AG222" s="2623"/>
      <c r="AH222" s="818"/>
      <c r="AI222" s="818"/>
      <c r="AJ222" s="818"/>
      <c r="AK222" s="603"/>
    </row>
    <row r="223" spans="1:37" hidden="1">
      <c r="A223" s="598"/>
      <c r="B223" s="2477" t="s">
        <v>1183</v>
      </c>
      <c r="C223" s="2477"/>
      <c r="D223" s="2477"/>
      <c r="E223" s="2477"/>
      <c r="F223" s="2477"/>
      <c r="G223" s="2477"/>
      <c r="H223" s="843"/>
      <c r="I223" s="2463"/>
      <c r="J223" s="2463"/>
      <c r="K223" s="2463"/>
      <c r="L223" s="998"/>
      <c r="N223" s="2518"/>
      <c r="O223" s="2518"/>
      <c r="P223" s="2518"/>
      <c r="Q223" s="2518"/>
      <c r="R223" s="2518"/>
      <c r="T223" s="2622"/>
      <c r="U223" s="2622"/>
      <c r="V223" s="2622"/>
      <c r="W223" s="2622"/>
      <c r="X223" s="2622"/>
      <c r="Y223" s="2622"/>
      <c r="Z223" s="842"/>
      <c r="AA223" s="842"/>
      <c r="AB223" s="2462">
        <f t="shared" ref="AB223:AB232" si="0">MAX(($T223-$N223)*$I223*12,0)</f>
        <v>0</v>
      </c>
      <c r="AC223" s="2462"/>
      <c r="AD223" s="2462"/>
      <c r="AE223" s="2462"/>
      <c r="AF223" s="2462"/>
      <c r="AG223" s="2462"/>
      <c r="AH223" s="818"/>
      <c r="AI223" s="818"/>
      <c r="AJ223" s="818"/>
      <c r="AK223" s="603"/>
    </row>
    <row r="224" spans="1:37" hidden="1">
      <c r="A224" s="598"/>
      <c r="B224" s="2477" t="s">
        <v>1183</v>
      </c>
      <c r="C224" s="2477"/>
      <c r="D224" s="2477"/>
      <c r="E224" s="2477"/>
      <c r="F224" s="2477"/>
      <c r="G224" s="2477"/>
      <c r="I224" s="2463"/>
      <c r="J224" s="2463"/>
      <c r="K224" s="2463"/>
      <c r="L224" s="998"/>
      <c r="N224" s="2518"/>
      <c r="O224" s="2518"/>
      <c r="P224" s="2518"/>
      <c r="Q224" s="2518"/>
      <c r="R224" s="2518"/>
      <c r="T224" s="2622"/>
      <c r="U224" s="2622"/>
      <c r="V224" s="2622"/>
      <c r="W224" s="2622"/>
      <c r="X224" s="2622"/>
      <c r="Y224" s="2622"/>
      <c r="Z224" s="842"/>
      <c r="AA224" s="842"/>
      <c r="AB224" s="2462">
        <f t="shared" si="0"/>
        <v>0</v>
      </c>
      <c r="AC224" s="2462"/>
      <c r="AD224" s="2462"/>
      <c r="AE224" s="2462"/>
      <c r="AF224" s="2462"/>
      <c r="AG224" s="2462"/>
      <c r="AH224" s="818"/>
      <c r="AI224" s="818"/>
      <c r="AJ224" s="818"/>
      <c r="AK224" s="603"/>
    </row>
    <row r="225" spans="1:37" hidden="1">
      <c r="A225" s="598"/>
      <c r="B225" s="2477" t="s">
        <v>1183</v>
      </c>
      <c r="C225" s="2477"/>
      <c r="D225" s="2477"/>
      <c r="E225" s="2477"/>
      <c r="F225" s="2477"/>
      <c r="G225" s="2477"/>
      <c r="I225" s="2463"/>
      <c r="J225" s="2463"/>
      <c r="K225" s="2463"/>
      <c r="L225" s="998"/>
      <c r="N225" s="2518"/>
      <c r="O225" s="2518"/>
      <c r="P225" s="2518"/>
      <c r="Q225" s="2518"/>
      <c r="R225" s="2518"/>
      <c r="T225" s="2622"/>
      <c r="U225" s="2622"/>
      <c r="V225" s="2622"/>
      <c r="W225" s="2622"/>
      <c r="X225" s="2622"/>
      <c r="Y225" s="2622"/>
      <c r="Z225" s="842"/>
      <c r="AA225" s="842"/>
      <c r="AB225" s="2462">
        <f t="shared" si="0"/>
        <v>0</v>
      </c>
      <c r="AC225" s="2462"/>
      <c r="AD225" s="2462"/>
      <c r="AE225" s="2462"/>
      <c r="AF225" s="2462"/>
      <c r="AG225" s="2462"/>
      <c r="AH225" s="818"/>
      <c r="AI225" s="818"/>
      <c r="AJ225" s="818"/>
      <c r="AK225" s="603"/>
    </row>
    <row r="226" spans="1:37" hidden="1">
      <c r="A226" s="598"/>
      <c r="B226" s="2477" t="s">
        <v>1183</v>
      </c>
      <c r="C226" s="2477"/>
      <c r="D226" s="2477"/>
      <c r="E226" s="2477"/>
      <c r="F226" s="2477"/>
      <c r="G226" s="2477"/>
      <c r="I226" s="2463"/>
      <c r="J226" s="2463"/>
      <c r="K226" s="2463"/>
      <c r="L226" s="998"/>
      <c r="N226" s="2518"/>
      <c r="O226" s="2518"/>
      <c r="P226" s="2518"/>
      <c r="Q226" s="2518"/>
      <c r="R226" s="2518"/>
      <c r="T226" s="2622"/>
      <c r="U226" s="2622"/>
      <c r="V226" s="2622"/>
      <c r="W226" s="2622"/>
      <c r="X226" s="2622"/>
      <c r="Y226" s="2622"/>
      <c r="Z226" s="842"/>
      <c r="AA226" s="842"/>
      <c r="AB226" s="2462">
        <f t="shared" si="0"/>
        <v>0</v>
      </c>
      <c r="AC226" s="2462"/>
      <c r="AD226" s="2462"/>
      <c r="AE226" s="2462"/>
      <c r="AF226" s="2462"/>
      <c r="AG226" s="2462"/>
      <c r="AH226" s="818"/>
      <c r="AI226" s="818"/>
      <c r="AJ226" s="818"/>
      <c r="AK226" s="603"/>
    </row>
    <row r="227" spans="1:37" hidden="1">
      <c r="A227" s="598"/>
      <c r="B227" s="2477" t="s">
        <v>1183</v>
      </c>
      <c r="C227" s="2477"/>
      <c r="D227" s="2477"/>
      <c r="E227" s="2477"/>
      <c r="F227" s="2477"/>
      <c r="G227" s="2477"/>
      <c r="I227" s="2463"/>
      <c r="J227" s="2463"/>
      <c r="K227" s="2463"/>
      <c r="L227" s="1005"/>
      <c r="N227" s="2518"/>
      <c r="O227" s="2518"/>
      <c r="P227" s="2518"/>
      <c r="Q227" s="2518"/>
      <c r="R227" s="2518"/>
      <c r="T227" s="2622"/>
      <c r="U227" s="2622"/>
      <c r="V227" s="2622"/>
      <c r="W227" s="2622"/>
      <c r="X227" s="2622"/>
      <c r="Y227" s="2622"/>
      <c r="Z227" s="842"/>
      <c r="AA227" s="842"/>
      <c r="AB227" s="2462">
        <f t="shared" si="0"/>
        <v>0</v>
      </c>
      <c r="AC227" s="2462"/>
      <c r="AD227" s="2462"/>
      <c r="AE227" s="2462"/>
      <c r="AF227" s="2462"/>
      <c r="AG227" s="2462"/>
      <c r="AH227" s="818"/>
      <c r="AI227" s="818"/>
      <c r="AJ227" s="818"/>
      <c r="AK227" s="603"/>
    </row>
    <row r="228" spans="1:37" hidden="1">
      <c r="A228" s="598"/>
      <c r="B228" s="2477" t="s">
        <v>1183</v>
      </c>
      <c r="C228" s="2477"/>
      <c r="D228" s="2477"/>
      <c r="E228" s="2477"/>
      <c r="F228" s="2477"/>
      <c r="G228" s="2477"/>
      <c r="I228" s="2463"/>
      <c r="J228" s="2463"/>
      <c r="K228" s="2463"/>
      <c r="L228" s="1005"/>
      <c r="N228" s="2518"/>
      <c r="O228" s="2518"/>
      <c r="P228" s="2518"/>
      <c r="Q228" s="2518"/>
      <c r="R228" s="2518"/>
      <c r="T228" s="2622"/>
      <c r="U228" s="2622"/>
      <c r="V228" s="2622"/>
      <c r="W228" s="2622"/>
      <c r="X228" s="2622"/>
      <c r="Y228" s="2622"/>
      <c r="Z228" s="842"/>
      <c r="AA228" s="842"/>
      <c r="AB228" s="2462">
        <f t="shared" si="0"/>
        <v>0</v>
      </c>
      <c r="AC228" s="2462"/>
      <c r="AD228" s="2462"/>
      <c r="AE228" s="2462"/>
      <c r="AF228" s="2462"/>
      <c r="AG228" s="2462"/>
      <c r="AH228" s="818"/>
      <c r="AI228" s="818"/>
      <c r="AJ228" s="818"/>
      <c r="AK228" s="603"/>
    </row>
    <row r="229" spans="1:37" hidden="1">
      <c r="A229" s="598"/>
      <c r="B229" s="2477" t="s">
        <v>1183</v>
      </c>
      <c r="C229" s="2477"/>
      <c r="D229" s="2477"/>
      <c r="E229" s="2477"/>
      <c r="F229" s="2477"/>
      <c r="G229" s="2477"/>
      <c r="I229" s="2463"/>
      <c r="J229" s="2463"/>
      <c r="K229" s="2463"/>
      <c r="L229" s="1005"/>
      <c r="N229" s="2518"/>
      <c r="O229" s="2518"/>
      <c r="P229" s="2518"/>
      <c r="Q229" s="2518"/>
      <c r="R229" s="2518"/>
      <c r="T229" s="2622"/>
      <c r="U229" s="2622"/>
      <c r="V229" s="2622"/>
      <c r="W229" s="2622"/>
      <c r="X229" s="2622"/>
      <c r="Y229" s="2622"/>
      <c r="Z229" s="842"/>
      <c r="AA229" s="842"/>
      <c r="AB229" s="2462">
        <f t="shared" si="0"/>
        <v>0</v>
      </c>
      <c r="AC229" s="2462"/>
      <c r="AD229" s="2462"/>
      <c r="AE229" s="2462"/>
      <c r="AF229" s="2462"/>
      <c r="AG229" s="2462"/>
      <c r="AH229" s="818"/>
      <c r="AI229" s="818"/>
      <c r="AJ229" s="818"/>
      <c r="AK229" s="603"/>
    </row>
    <row r="230" spans="1:37" hidden="1">
      <c r="A230" s="598"/>
      <c r="B230" s="2477" t="s">
        <v>1183</v>
      </c>
      <c r="C230" s="2477"/>
      <c r="D230" s="2477"/>
      <c r="E230" s="2477"/>
      <c r="F230" s="2477"/>
      <c r="G230" s="2477"/>
      <c r="I230" s="2463"/>
      <c r="J230" s="2463"/>
      <c r="K230" s="2463"/>
      <c r="L230" s="1005"/>
      <c r="N230" s="2518"/>
      <c r="O230" s="2518"/>
      <c r="P230" s="2518"/>
      <c r="Q230" s="2518"/>
      <c r="R230" s="2518"/>
      <c r="T230" s="2622"/>
      <c r="U230" s="2622"/>
      <c r="V230" s="2622"/>
      <c r="W230" s="2622"/>
      <c r="X230" s="2622"/>
      <c r="Y230" s="2622"/>
      <c r="Z230" s="842"/>
      <c r="AA230" s="842"/>
      <c r="AB230" s="2462">
        <f t="shared" si="0"/>
        <v>0</v>
      </c>
      <c r="AC230" s="2462"/>
      <c r="AD230" s="2462"/>
      <c r="AE230" s="2462"/>
      <c r="AF230" s="2462"/>
      <c r="AG230" s="2462"/>
      <c r="AH230" s="818"/>
      <c r="AI230" s="818"/>
      <c r="AJ230" s="818"/>
      <c r="AK230" s="603"/>
    </row>
    <row r="231" spans="1:37" hidden="1">
      <c r="A231" s="598"/>
      <c r="B231" s="2477" t="s">
        <v>1183</v>
      </c>
      <c r="C231" s="2477"/>
      <c r="D231" s="2477"/>
      <c r="E231" s="2477"/>
      <c r="F231" s="2477"/>
      <c r="G231" s="2477"/>
      <c r="I231" s="2463"/>
      <c r="J231" s="2463"/>
      <c r="K231" s="2463"/>
      <c r="L231" s="1005"/>
      <c r="N231" s="2518"/>
      <c r="O231" s="2518"/>
      <c r="P231" s="2518"/>
      <c r="Q231" s="2518"/>
      <c r="R231" s="2518"/>
      <c r="T231" s="2622"/>
      <c r="U231" s="2622"/>
      <c r="V231" s="2622"/>
      <c r="W231" s="2622"/>
      <c r="X231" s="2622"/>
      <c r="Y231" s="2622"/>
      <c r="Z231" s="842"/>
      <c r="AA231" s="842"/>
      <c r="AB231" s="2462">
        <f t="shared" si="0"/>
        <v>0</v>
      </c>
      <c r="AC231" s="2462"/>
      <c r="AD231" s="2462"/>
      <c r="AE231" s="2462"/>
      <c r="AF231" s="2462"/>
      <c r="AG231" s="2462"/>
      <c r="AH231" s="818"/>
      <c r="AI231" s="818"/>
      <c r="AJ231" s="818"/>
      <c r="AK231" s="603"/>
    </row>
    <row r="232" spans="1:37" hidden="1">
      <c r="A232" s="598"/>
      <c r="B232" s="2477" t="s">
        <v>1183</v>
      </c>
      <c r="C232" s="2477"/>
      <c r="D232" s="2477"/>
      <c r="E232" s="2477"/>
      <c r="F232" s="2477"/>
      <c r="G232" s="2477"/>
      <c r="I232" s="2464"/>
      <c r="J232" s="2464"/>
      <c r="K232" s="2464"/>
      <c r="L232" s="1005"/>
      <c r="N232" s="2518"/>
      <c r="O232" s="2518"/>
      <c r="P232" s="2518"/>
      <c r="Q232" s="2518"/>
      <c r="R232" s="2518"/>
      <c r="T232" s="2622"/>
      <c r="U232" s="2622"/>
      <c r="V232" s="2622"/>
      <c r="W232" s="2622"/>
      <c r="X232" s="2622"/>
      <c r="Y232" s="2622"/>
      <c r="Z232" s="842"/>
      <c r="AA232" s="842"/>
      <c r="AB232" s="2631">
        <f t="shared" si="0"/>
        <v>0</v>
      </c>
      <c r="AC232" s="2631"/>
      <c r="AD232" s="2631"/>
      <c r="AE232" s="2631"/>
      <c r="AF232" s="2631"/>
      <c r="AG232" s="2631"/>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2">
        <f>SUM(AB223:AB232)</f>
        <v>0</v>
      </c>
      <c r="AC233" s="2462"/>
      <c r="AD233" s="2462"/>
      <c r="AE233" s="2462"/>
      <c r="AF233" s="2462"/>
      <c r="AG233" s="2462"/>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2"/>
      <c r="AC239" s="2632"/>
      <c r="AD239" s="2632"/>
      <c r="AE239" s="2632"/>
      <c r="AF239" s="2632"/>
      <c r="AG239" s="2632"/>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2"/>
      <c r="AC242" s="2632"/>
      <c r="AD242" s="2632"/>
      <c r="AE242" s="2632"/>
      <c r="AF242" s="2632"/>
      <c r="AG242" s="2632"/>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3"/>
      <c r="AC243" s="2643"/>
      <c r="AD243" s="2643"/>
      <c r="AE243" s="2643"/>
      <c r="AF243" s="2643"/>
      <c r="AG243" s="2643"/>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6">
        <f>IFERROR(AB242/AB243,0)</f>
        <v>0</v>
      </c>
      <c r="AC244" s="2656"/>
      <c r="AD244" s="2656"/>
      <c r="AE244" s="2656"/>
      <c r="AF244" s="2656"/>
      <c r="AG244" s="2656"/>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1">
        <f>MAX(AB239,AB244)</f>
        <v>0</v>
      </c>
      <c r="AC246" s="2631"/>
      <c r="AD246" s="2631"/>
      <c r="AE246" s="2631"/>
      <c r="AF246" s="2631"/>
      <c r="AG246" s="2631"/>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2">
        <f>AB233+AB246</f>
        <v>0</v>
      </c>
      <c r="AC249" s="2462"/>
      <c r="AD249" s="2462"/>
      <c r="AE249" s="2462"/>
      <c r="AF249" s="2462"/>
      <c r="AG249" s="2462"/>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1">
        <v>0.05</v>
      </c>
      <c r="AC250" s="2511"/>
      <c r="AD250" s="2511"/>
      <c r="AE250" s="2511"/>
      <c r="AF250" s="2511"/>
      <c r="AG250" s="2511"/>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2">
        <f>AB249-(AB249*AB250)</f>
        <v>0</v>
      </c>
      <c r="AC251" s="2512"/>
      <c r="AD251" s="2512"/>
      <c r="AE251" s="2512"/>
      <c r="AF251" s="2512"/>
      <c r="AG251" s="2512"/>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2">
        <f>AB251/AB257</f>
        <v>0</v>
      </c>
      <c r="AC253" s="2462"/>
      <c r="AD253" s="2462"/>
      <c r="AE253" s="2462"/>
      <c r="AF253" s="2462"/>
      <c r="AG253" s="2462"/>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1">
        <v>15</v>
      </c>
      <c r="AC255" s="2471"/>
      <c r="AD255" s="2471"/>
      <c r="AE255" s="2471"/>
      <c r="AF255" s="2471"/>
      <c r="AG255" s="2471"/>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3">
        <v>0.04</v>
      </c>
      <c r="AC256" s="2513"/>
      <c r="AD256" s="2513"/>
      <c r="AE256" s="2513"/>
      <c r="AF256" s="2513"/>
      <c r="AG256" s="2513"/>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0">
        <v>1.1499999999999999</v>
      </c>
      <c r="AC257" s="2520"/>
      <c r="AD257" s="2520"/>
      <c r="AE257" s="2520"/>
      <c r="AF257" s="2520"/>
      <c r="AG257" s="2520"/>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4">
        <f>PV(AB256/12,AB255*12,-AB253/12, ,0)</f>
        <v>0</v>
      </c>
      <c r="AC259" s="2505"/>
      <c r="AD259" s="2505"/>
      <c r="AE259" s="2505"/>
      <c r="AF259" s="2505"/>
      <c r="AG259" s="2506"/>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8">
        <f>IFERROR(('Sources and Uses Budget'!D105/'Sources and Uses Budget'!B105),0)</f>
        <v>0</v>
      </c>
      <c r="AC265" s="2509"/>
      <c r="AD265" s="2509"/>
      <c r="AE265" s="2509"/>
      <c r="AF265" s="2509"/>
      <c r="AG265" s="251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8">
        <f>AD210*(1-AB265)</f>
        <v>0</v>
      </c>
      <c r="AH267" s="2498"/>
      <c r="AI267" s="2498"/>
      <c r="AJ267" s="2498"/>
      <c r="AK267" s="2498"/>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8">
        <f>'Sources and Uses Budget'!C105</f>
        <v>55906573</v>
      </c>
      <c r="AH268" s="2498"/>
      <c r="AI268" s="2498"/>
      <c r="AJ268" s="2498"/>
      <c r="AK268" s="2498"/>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9">
        <f>ROUNDDOWN(IF(AND(C305="Yes",AK83=10),((AG267*2)/AG268),AG267/AG268),2)</f>
        <v>0</v>
      </c>
      <c r="AH269" s="2499"/>
      <c r="AI269" s="2499"/>
      <c r="AJ269" s="2499"/>
      <c r="AK269" s="2499"/>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00">
        <f>IFERROR(IF(AG269=0,0,IF((AG269*100)&gt;8,8,(AG269*100))),0)</f>
        <v>0</v>
      </c>
      <c r="AL272" s="2500"/>
      <c r="AM272" s="2501"/>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92" t="s">
        <v>545</v>
      </c>
      <c r="D279" s="2492"/>
      <c r="E279" s="541"/>
      <c r="F279" s="2647" t="s">
        <v>2558</v>
      </c>
      <c r="G279" s="2648"/>
      <c r="H279" s="2648"/>
      <c r="I279" s="2648"/>
      <c r="J279" s="2648"/>
      <c r="K279" s="2648"/>
      <c r="L279" s="2648"/>
      <c r="M279" s="2648"/>
      <c r="N279" s="2648"/>
      <c r="O279" s="2648"/>
      <c r="P279" s="2648"/>
      <c r="Q279" s="2648"/>
      <c r="R279" s="2648"/>
      <c r="S279" s="2648"/>
      <c r="T279" s="2648"/>
      <c r="U279" s="2648"/>
      <c r="V279" s="2648"/>
      <c r="W279" s="2648"/>
      <c r="X279" s="2648"/>
      <c r="Y279" s="2648"/>
      <c r="Z279" s="2648"/>
      <c r="AA279" s="2648"/>
      <c r="AB279" s="2648"/>
      <c r="AC279" s="2648"/>
      <c r="AD279" s="2649"/>
      <c r="AE279" s="544"/>
      <c r="AF279" s="628"/>
      <c r="AG279" s="2493" t="s">
        <v>1356</v>
      </c>
      <c r="AH279" s="2493"/>
      <c r="AI279" s="2493"/>
      <c r="AJ279" s="2493"/>
      <c r="AK279" s="544"/>
      <c r="AL279" s="544"/>
      <c r="AM279" s="544"/>
      <c r="AO279" s="544"/>
    </row>
    <row r="280" spans="1:52" ht="13.7" customHeight="1">
      <c r="A280" s="544"/>
      <c r="B280" s="589"/>
      <c r="C280" s="629"/>
      <c r="D280" s="544"/>
      <c r="E280" s="541"/>
      <c r="F280" s="2650"/>
      <c r="G280" s="2651"/>
      <c r="H280" s="2651"/>
      <c r="I280" s="2651"/>
      <c r="J280" s="2651"/>
      <c r="K280" s="2651"/>
      <c r="L280" s="2651"/>
      <c r="M280" s="2651"/>
      <c r="N280" s="2651"/>
      <c r="O280" s="2651"/>
      <c r="P280" s="2651"/>
      <c r="Q280" s="2651"/>
      <c r="R280" s="2651"/>
      <c r="S280" s="2651"/>
      <c r="T280" s="2651"/>
      <c r="U280" s="2651"/>
      <c r="V280" s="2651"/>
      <c r="W280" s="2651"/>
      <c r="X280" s="2651"/>
      <c r="Y280" s="2651"/>
      <c r="Z280" s="2651"/>
      <c r="AA280" s="2651"/>
      <c r="AB280" s="2651"/>
      <c r="AC280" s="2651"/>
      <c r="AD280" s="2652"/>
      <c r="AE280" s="544"/>
      <c r="AF280" s="628"/>
      <c r="AG280" s="628"/>
      <c r="AH280" s="628"/>
      <c r="AI280" s="628"/>
      <c r="AJ280" s="544"/>
      <c r="AK280" s="544"/>
      <c r="AL280" s="544"/>
      <c r="AM280" s="544"/>
      <c r="AO280" s="544"/>
    </row>
    <row r="281" spans="1:52" ht="13.7" customHeight="1">
      <c r="A281" s="544"/>
      <c r="B281" s="589"/>
      <c r="C281" s="629"/>
      <c r="D281" s="544"/>
      <c r="E281" s="541"/>
      <c r="F281" s="2650"/>
      <c r="G281" s="2651"/>
      <c r="H281" s="2651"/>
      <c r="I281" s="2651"/>
      <c r="J281" s="2651"/>
      <c r="K281" s="2651"/>
      <c r="L281" s="2651"/>
      <c r="M281" s="2651"/>
      <c r="N281" s="2651"/>
      <c r="O281" s="2651"/>
      <c r="P281" s="2651"/>
      <c r="Q281" s="2651"/>
      <c r="R281" s="2651"/>
      <c r="S281" s="2651"/>
      <c r="T281" s="2651"/>
      <c r="U281" s="2651"/>
      <c r="V281" s="2651"/>
      <c r="W281" s="2651"/>
      <c r="X281" s="2651"/>
      <c r="Y281" s="2651"/>
      <c r="Z281" s="2651"/>
      <c r="AA281" s="2651"/>
      <c r="AB281" s="2651"/>
      <c r="AC281" s="2651"/>
      <c r="AD281" s="2652"/>
      <c r="AE281" s="544"/>
      <c r="AF281" s="628"/>
      <c r="AG281" s="628"/>
      <c r="AH281" s="628"/>
      <c r="AI281" s="628"/>
      <c r="AJ281" s="544"/>
      <c r="AK281" s="544"/>
      <c r="AL281" s="544"/>
      <c r="AM281" s="544"/>
      <c r="AO281" s="544"/>
    </row>
    <row r="282" spans="1:52" ht="13.7" customHeight="1">
      <c r="A282" s="544"/>
      <c r="B282" s="589"/>
      <c r="C282" s="629"/>
      <c r="D282" s="544"/>
      <c r="E282" s="541"/>
      <c r="F282" s="2650"/>
      <c r="G282" s="2651"/>
      <c r="H282" s="2651"/>
      <c r="I282" s="2651"/>
      <c r="J282" s="2651"/>
      <c r="K282" s="2651"/>
      <c r="L282" s="2651"/>
      <c r="M282" s="2651"/>
      <c r="N282" s="2651"/>
      <c r="O282" s="2651"/>
      <c r="P282" s="2651"/>
      <c r="Q282" s="2651"/>
      <c r="R282" s="2651"/>
      <c r="S282" s="2651"/>
      <c r="T282" s="2651"/>
      <c r="U282" s="2651"/>
      <c r="V282" s="2651"/>
      <c r="W282" s="2651"/>
      <c r="X282" s="2651"/>
      <c r="Y282" s="2651"/>
      <c r="Z282" s="2651"/>
      <c r="AA282" s="2651"/>
      <c r="AB282" s="2651"/>
      <c r="AC282" s="2651"/>
      <c r="AD282" s="2652"/>
      <c r="AE282" s="544"/>
      <c r="AF282" s="628"/>
      <c r="AG282" s="628"/>
      <c r="AH282" s="628"/>
      <c r="AI282" s="628"/>
      <c r="AJ282" s="544"/>
      <c r="AK282" s="544"/>
      <c r="AL282" s="544"/>
      <c r="AM282" s="544"/>
      <c r="AO282" s="544"/>
    </row>
    <row r="283" spans="1:52" ht="13.7" customHeight="1">
      <c r="A283" s="544"/>
      <c r="B283" s="589"/>
      <c r="C283" s="629"/>
      <c r="D283" s="544"/>
      <c r="E283" s="541"/>
      <c r="F283" s="2650"/>
      <c r="G283" s="2651"/>
      <c r="H283" s="2651"/>
      <c r="I283" s="2651"/>
      <c r="J283" s="2651"/>
      <c r="K283" s="2651"/>
      <c r="L283" s="2651"/>
      <c r="M283" s="2651"/>
      <c r="N283" s="2651"/>
      <c r="O283" s="2651"/>
      <c r="P283" s="2651"/>
      <c r="Q283" s="2651"/>
      <c r="R283" s="2651"/>
      <c r="S283" s="2651"/>
      <c r="T283" s="2651"/>
      <c r="U283" s="2651"/>
      <c r="V283" s="2651"/>
      <c r="W283" s="2651"/>
      <c r="X283" s="2651"/>
      <c r="Y283" s="2651"/>
      <c r="Z283" s="2651"/>
      <c r="AA283" s="2651"/>
      <c r="AB283" s="2651"/>
      <c r="AC283" s="2651"/>
      <c r="AD283" s="2652"/>
      <c r="AE283" s="544"/>
      <c r="AF283" s="628"/>
      <c r="AG283" s="628"/>
      <c r="AH283" s="628"/>
      <c r="AI283" s="628"/>
      <c r="AJ283" s="544"/>
      <c r="AK283" s="544"/>
      <c r="AL283" s="544"/>
      <c r="AM283" s="544"/>
      <c r="AO283" s="544"/>
    </row>
    <row r="284" spans="1:52">
      <c r="A284" s="544"/>
      <c r="B284" s="589"/>
      <c r="C284" s="629"/>
      <c r="D284" s="544"/>
      <c r="E284" s="541"/>
      <c r="F284" s="2650"/>
      <c r="G284" s="2651"/>
      <c r="H284" s="2651"/>
      <c r="I284" s="2651"/>
      <c r="J284" s="2651"/>
      <c r="K284" s="2651"/>
      <c r="L284" s="2651"/>
      <c r="M284" s="2651"/>
      <c r="N284" s="2651"/>
      <c r="O284" s="2651"/>
      <c r="P284" s="2651"/>
      <c r="Q284" s="2651"/>
      <c r="R284" s="2651"/>
      <c r="S284" s="2651"/>
      <c r="T284" s="2651"/>
      <c r="U284" s="2651"/>
      <c r="V284" s="2651"/>
      <c r="W284" s="2651"/>
      <c r="X284" s="2651"/>
      <c r="Y284" s="2651"/>
      <c r="Z284" s="2651"/>
      <c r="AA284" s="2651"/>
      <c r="AB284" s="2651"/>
      <c r="AC284" s="2651"/>
      <c r="AD284" s="2652"/>
      <c r="AE284" s="544"/>
      <c r="AF284" s="628"/>
      <c r="AG284" s="628"/>
      <c r="AH284" s="628"/>
      <c r="AI284" s="628"/>
      <c r="AJ284" s="544"/>
      <c r="AK284" s="544"/>
      <c r="AL284" s="544"/>
      <c r="AM284" s="544"/>
      <c r="AO284" s="544"/>
      <c r="AP284" s="630"/>
    </row>
    <row r="285" spans="1:52">
      <c r="A285" s="544"/>
      <c r="B285" s="589"/>
      <c r="C285" s="629"/>
      <c r="D285" s="544"/>
      <c r="E285" s="541"/>
      <c r="F285" s="2650"/>
      <c r="G285" s="2651"/>
      <c r="H285" s="2651"/>
      <c r="I285" s="2651"/>
      <c r="J285" s="2651"/>
      <c r="K285" s="2651"/>
      <c r="L285" s="2651"/>
      <c r="M285" s="2651"/>
      <c r="N285" s="2651"/>
      <c r="O285" s="2651"/>
      <c r="P285" s="2651"/>
      <c r="Q285" s="2651"/>
      <c r="R285" s="2651"/>
      <c r="S285" s="2651"/>
      <c r="T285" s="2651"/>
      <c r="U285" s="2651"/>
      <c r="V285" s="2651"/>
      <c r="W285" s="2651"/>
      <c r="X285" s="2651"/>
      <c r="Y285" s="2651"/>
      <c r="Z285" s="2651"/>
      <c r="AA285" s="2651"/>
      <c r="AB285" s="2651"/>
      <c r="AC285" s="2651"/>
      <c r="AD285" s="2652"/>
      <c r="AE285" s="544"/>
      <c r="AF285" s="628"/>
      <c r="AG285" s="628"/>
      <c r="AH285" s="628"/>
      <c r="AI285" s="628"/>
      <c r="AJ285" s="544"/>
      <c r="AK285" s="544"/>
      <c r="AL285" s="544"/>
      <c r="AM285" s="544"/>
      <c r="AO285" s="544"/>
      <c r="AP285" s="630"/>
    </row>
    <row r="286" spans="1:52" ht="13.7" customHeight="1">
      <c r="A286" s="544"/>
      <c r="B286" s="589"/>
      <c r="C286" s="2494"/>
      <c r="D286" s="2494"/>
      <c r="E286" s="541"/>
      <c r="F286" s="2653"/>
      <c r="G286" s="2654"/>
      <c r="H286" s="2654"/>
      <c r="I286" s="2654"/>
      <c r="J286" s="2654"/>
      <c r="K286" s="2654"/>
      <c r="L286" s="2654"/>
      <c r="M286" s="2654"/>
      <c r="N286" s="2654"/>
      <c r="O286" s="2654"/>
      <c r="P286" s="2654"/>
      <c r="Q286" s="2654"/>
      <c r="R286" s="2654"/>
      <c r="S286" s="2654"/>
      <c r="T286" s="2654"/>
      <c r="U286" s="2654"/>
      <c r="V286" s="2654"/>
      <c r="W286" s="2654"/>
      <c r="X286" s="2654"/>
      <c r="Y286" s="2654"/>
      <c r="Z286" s="2654"/>
      <c r="AA286" s="2654"/>
      <c r="AB286" s="2654"/>
      <c r="AC286" s="2654"/>
      <c r="AD286" s="2655"/>
      <c r="AE286" s="544"/>
      <c r="AF286" s="628"/>
      <c r="AG286" s="2493"/>
      <c r="AH286" s="2493"/>
      <c r="AI286" s="2493"/>
      <c r="AJ286" s="2493"/>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8" t="s">
        <v>2565</v>
      </c>
      <c r="C289" s="2408"/>
      <c r="D289" s="2408"/>
      <c r="E289" s="2408"/>
      <c r="F289" s="2408"/>
      <c r="G289" s="2408"/>
      <c r="H289" s="2408"/>
      <c r="I289" s="2408"/>
      <c r="J289" s="2408"/>
      <c r="K289" s="2408"/>
      <c r="L289" s="2408"/>
      <c r="M289" s="2408"/>
      <c r="N289" s="2408"/>
      <c r="O289" s="2408"/>
      <c r="P289" s="2408"/>
      <c r="Q289" s="2408"/>
      <c r="R289" s="2408"/>
      <c r="S289" s="2408"/>
      <c r="T289" s="2408"/>
      <c r="U289" s="2408"/>
      <c r="V289" s="2408"/>
      <c r="W289" s="2408"/>
      <c r="X289" s="2408"/>
      <c r="Y289" s="2408"/>
      <c r="Z289" s="2408"/>
      <c r="AA289" s="2408"/>
      <c r="AB289" s="2408"/>
      <c r="AC289" s="2408"/>
      <c r="AD289" s="2408"/>
      <c r="AE289" s="2408"/>
      <c r="AF289" s="2408"/>
      <c r="AG289" s="2408"/>
      <c r="AH289" s="2408"/>
      <c r="AI289" s="2408"/>
      <c r="AJ289" s="2408"/>
      <c r="AK289" s="2408"/>
      <c r="AL289" s="2408"/>
      <c r="AM289" s="544"/>
      <c r="AN289" s="73"/>
    </row>
    <row r="290" spans="1:49">
      <c r="A290" s="544"/>
      <c r="B290" s="2408"/>
      <c r="C290" s="2408"/>
      <c r="D290" s="2408"/>
      <c r="E290" s="2408"/>
      <c r="F290" s="2408"/>
      <c r="G290" s="2408"/>
      <c r="H290" s="2408"/>
      <c r="I290" s="2408"/>
      <c r="J290" s="2408"/>
      <c r="K290" s="2408"/>
      <c r="L290" s="2408"/>
      <c r="M290" s="2408"/>
      <c r="N290" s="2408"/>
      <c r="O290" s="2408"/>
      <c r="P290" s="2408"/>
      <c r="Q290" s="2408"/>
      <c r="R290" s="2408"/>
      <c r="S290" s="2408"/>
      <c r="T290" s="2408"/>
      <c r="U290" s="2408"/>
      <c r="V290" s="2408"/>
      <c r="W290" s="2408"/>
      <c r="X290" s="2408"/>
      <c r="Y290" s="2408"/>
      <c r="Z290" s="2408"/>
      <c r="AA290" s="2408"/>
      <c r="AB290" s="2408"/>
      <c r="AC290" s="2408"/>
      <c r="AD290" s="2408"/>
      <c r="AE290" s="2408"/>
      <c r="AF290" s="2408"/>
      <c r="AG290" s="2408"/>
      <c r="AH290" s="2408"/>
      <c r="AI290" s="2408"/>
      <c r="AJ290" s="2408"/>
      <c r="AK290" s="2408"/>
      <c r="AL290" s="2408"/>
      <c r="AM290" s="544"/>
      <c r="AN290" s="73"/>
    </row>
    <row r="291" spans="1:49">
      <c r="A291" s="544"/>
      <c r="B291" s="2408"/>
      <c r="C291" s="2408"/>
      <c r="D291" s="2408"/>
      <c r="E291" s="2408"/>
      <c r="F291" s="2408"/>
      <c r="G291" s="2408"/>
      <c r="H291" s="2408"/>
      <c r="I291" s="2408"/>
      <c r="J291" s="2408"/>
      <c r="K291" s="2408"/>
      <c r="L291" s="2408"/>
      <c r="M291" s="2408"/>
      <c r="N291" s="2408"/>
      <c r="O291" s="2408"/>
      <c r="P291" s="2408"/>
      <c r="Q291" s="2408"/>
      <c r="R291" s="2408"/>
      <c r="S291" s="2408"/>
      <c r="T291" s="2408"/>
      <c r="U291" s="2408"/>
      <c r="V291" s="2408"/>
      <c r="W291" s="2408"/>
      <c r="X291" s="2408"/>
      <c r="Y291" s="2408"/>
      <c r="Z291" s="2408"/>
      <c r="AA291" s="2408"/>
      <c r="AB291" s="2408"/>
      <c r="AC291" s="2408"/>
      <c r="AD291" s="2408"/>
      <c r="AE291" s="2408"/>
      <c r="AF291" s="2408"/>
      <c r="AG291" s="2408"/>
      <c r="AH291" s="2408"/>
      <c r="AI291" s="2408"/>
      <c r="AJ291" s="2408"/>
      <c r="AK291" s="2408"/>
      <c r="AL291" s="2408"/>
      <c r="AM291" s="544"/>
      <c r="AN291" s="73"/>
    </row>
    <row r="292" spans="1:49">
      <c r="A292" s="544"/>
      <c r="B292" s="2408"/>
      <c r="C292" s="2408"/>
      <c r="D292" s="2408"/>
      <c r="E292" s="2408"/>
      <c r="F292" s="2408"/>
      <c r="G292" s="2408"/>
      <c r="H292" s="2408"/>
      <c r="I292" s="2408"/>
      <c r="J292" s="2408"/>
      <c r="K292" s="2408"/>
      <c r="L292" s="2408"/>
      <c r="M292" s="2408"/>
      <c r="N292" s="2408"/>
      <c r="O292" s="2408"/>
      <c r="P292" s="2408"/>
      <c r="Q292" s="2408"/>
      <c r="R292" s="2408"/>
      <c r="S292" s="2408"/>
      <c r="T292" s="2408"/>
      <c r="U292" s="2408"/>
      <c r="V292" s="2408"/>
      <c r="W292" s="2408"/>
      <c r="X292" s="2408"/>
      <c r="Y292" s="2408"/>
      <c r="Z292" s="2408"/>
      <c r="AA292" s="2408"/>
      <c r="AB292" s="2408"/>
      <c r="AC292" s="2408"/>
      <c r="AD292" s="2408"/>
      <c r="AE292" s="2408"/>
      <c r="AF292" s="2408"/>
      <c r="AG292" s="2408"/>
      <c r="AH292" s="2408"/>
      <c r="AI292" s="2408"/>
      <c r="AJ292" s="2408"/>
      <c r="AK292" s="2408"/>
      <c r="AL292" s="2408"/>
      <c r="AM292" s="544"/>
      <c r="AN292" s="73"/>
    </row>
    <row r="293" spans="1:49">
      <c r="A293" s="544"/>
      <c r="B293" s="2408"/>
      <c r="C293" s="2408"/>
      <c r="D293" s="2408"/>
      <c r="E293" s="2408"/>
      <c r="F293" s="2408"/>
      <c r="G293" s="2408"/>
      <c r="H293" s="2408"/>
      <c r="I293" s="2408"/>
      <c r="J293" s="2408"/>
      <c r="K293" s="2408"/>
      <c r="L293" s="2408"/>
      <c r="M293" s="2408"/>
      <c r="N293" s="2408"/>
      <c r="O293" s="2408"/>
      <c r="P293" s="2408"/>
      <c r="Q293" s="2408"/>
      <c r="R293" s="2408"/>
      <c r="S293" s="2408"/>
      <c r="T293" s="2408"/>
      <c r="U293" s="2408"/>
      <c r="V293" s="2408"/>
      <c r="W293" s="2408"/>
      <c r="X293" s="2408"/>
      <c r="Y293" s="2408"/>
      <c r="Z293" s="2408"/>
      <c r="AA293" s="2408"/>
      <c r="AB293" s="2408"/>
      <c r="AC293" s="2408"/>
      <c r="AD293" s="2408"/>
      <c r="AE293" s="2408"/>
      <c r="AF293" s="2408"/>
      <c r="AG293" s="2408"/>
      <c r="AH293" s="2408"/>
      <c r="AI293" s="2408"/>
      <c r="AJ293" s="2408"/>
      <c r="AK293" s="2408"/>
      <c r="AL293" s="2408"/>
      <c r="AM293" s="544"/>
      <c r="AN293" s="73"/>
    </row>
    <row r="294" spans="1:49">
      <c r="A294" s="544"/>
      <c r="B294" s="2408"/>
      <c r="C294" s="2408"/>
      <c r="D294" s="2408"/>
      <c r="E294" s="2408"/>
      <c r="F294" s="2408"/>
      <c r="G294" s="2408"/>
      <c r="H294" s="2408"/>
      <c r="I294" s="2408"/>
      <c r="J294" s="2408"/>
      <c r="K294" s="2408"/>
      <c r="L294" s="2408"/>
      <c r="M294" s="2408"/>
      <c r="N294" s="2408"/>
      <c r="O294" s="2408"/>
      <c r="P294" s="2408"/>
      <c r="Q294" s="2408"/>
      <c r="R294" s="2408"/>
      <c r="S294" s="2408"/>
      <c r="T294" s="2408"/>
      <c r="U294" s="2408"/>
      <c r="V294" s="2408"/>
      <c r="W294" s="2408"/>
      <c r="X294" s="2408"/>
      <c r="Y294" s="2408"/>
      <c r="Z294" s="2408"/>
      <c r="AA294" s="2408"/>
      <c r="AB294" s="2408"/>
      <c r="AC294" s="2408"/>
      <c r="AD294" s="2408"/>
      <c r="AE294" s="2408"/>
      <c r="AF294" s="2408"/>
      <c r="AG294" s="2408"/>
      <c r="AH294" s="2408"/>
      <c r="AI294" s="2408"/>
      <c r="AJ294" s="2408"/>
      <c r="AK294" s="2408"/>
      <c r="AL294" s="2408"/>
      <c r="AM294" s="544"/>
      <c r="AN294" s="73"/>
    </row>
    <row r="295" spans="1:49">
      <c r="A295" s="544"/>
      <c r="B295" s="2408"/>
      <c r="C295" s="2408"/>
      <c r="D295" s="2408"/>
      <c r="E295" s="2408"/>
      <c r="F295" s="2408"/>
      <c r="G295" s="2408"/>
      <c r="H295" s="2408"/>
      <c r="I295" s="2408"/>
      <c r="J295" s="2408"/>
      <c r="K295" s="2408"/>
      <c r="L295" s="2408"/>
      <c r="M295" s="2408"/>
      <c r="N295" s="2408"/>
      <c r="O295" s="2408"/>
      <c r="P295" s="2408"/>
      <c r="Q295" s="2408"/>
      <c r="R295" s="2408"/>
      <c r="S295" s="2408"/>
      <c r="T295" s="2408"/>
      <c r="U295" s="2408"/>
      <c r="V295" s="2408"/>
      <c r="W295" s="2408"/>
      <c r="X295" s="2408"/>
      <c r="Y295" s="2408"/>
      <c r="Z295" s="2408"/>
      <c r="AA295" s="2408"/>
      <c r="AB295" s="2408"/>
      <c r="AC295" s="2408"/>
      <c r="AD295" s="2408"/>
      <c r="AE295" s="2408"/>
      <c r="AF295" s="2408"/>
      <c r="AG295" s="2408"/>
      <c r="AH295" s="2408"/>
      <c r="AI295" s="2408"/>
      <c r="AJ295" s="2408"/>
      <c r="AK295" s="2408"/>
      <c r="AL295" s="2408"/>
      <c r="AM295" s="544"/>
      <c r="AN295" s="73"/>
    </row>
    <row r="296" spans="1:49">
      <c r="A296" s="544"/>
      <c r="B296" s="2408"/>
      <c r="C296" s="2408"/>
      <c r="D296" s="2408"/>
      <c r="E296" s="2408"/>
      <c r="F296" s="2408"/>
      <c r="G296" s="2408"/>
      <c r="H296" s="2408"/>
      <c r="I296" s="2408"/>
      <c r="J296" s="2408"/>
      <c r="K296" s="2408"/>
      <c r="L296" s="2408"/>
      <c r="M296" s="2408"/>
      <c r="N296" s="2408"/>
      <c r="O296" s="2408"/>
      <c r="P296" s="2408"/>
      <c r="Q296" s="2408"/>
      <c r="R296" s="2408"/>
      <c r="S296" s="2408"/>
      <c r="T296" s="2408"/>
      <c r="U296" s="2408"/>
      <c r="V296" s="2408"/>
      <c r="W296" s="2408"/>
      <c r="X296" s="2408"/>
      <c r="Y296" s="2408"/>
      <c r="Z296" s="2408"/>
      <c r="AA296" s="2408"/>
      <c r="AB296" s="2408"/>
      <c r="AC296" s="2408"/>
      <c r="AD296" s="2408"/>
      <c r="AE296" s="2408"/>
      <c r="AF296" s="2408"/>
      <c r="AG296" s="2408"/>
      <c r="AH296" s="2408"/>
      <c r="AI296" s="2408"/>
      <c r="AJ296" s="2408"/>
      <c r="AK296" s="2408"/>
      <c r="AL296" s="240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00">
        <f>IF($C$279="yes",10,0)</f>
        <v>10</v>
      </c>
      <c r="AL298" s="2500"/>
      <c r="AM298" s="2501"/>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5" t="s">
        <v>1373</v>
      </c>
      <c r="B305" s="1625"/>
      <c r="C305" s="2482" t="s">
        <v>591</v>
      </c>
      <c r="D305" s="2492"/>
      <c r="E305" s="541"/>
      <c r="F305" s="2514" t="s">
        <v>1374</v>
      </c>
      <c r="G305" s="2515"/>
      <c r="H305" s="2515"/>
      <c r="I305" s="2515"/>
      <c r="J305" s="2515"/>
      <c r="K305" s="2515"/>
      <c r="L305" s="2515"/>
      <c r="M305" s="2515"/>
      <c r="N305" s="2515"/>
      <c r="O305" s="2515"/>
      <c r="P305" s="2515"/>
      <c r="Q305" s="2515"/>
      <c r="R305" s="2515"/>
      <c r="S305" s="2515"/>
      <c r="T305" s="2515"/>
      <c r="U305" s="2515"/>
      <c r="V305" s="2515"/>
      <c r="W305" s="2515"/>
      <c r="X305" s="2515"/>
      <c r="Y305" s="2515"/>
      <c r="Z305" s="2515"/>
      <c r="AA305" s="2515"/>
      <c r="AB305" s="2515"/>
      <c r="AC305" s="2515"/>
      <c r="AD305" s="2516"/>
      <c r="AE305" s="635"/>
      <c r="AF305" s="544"/>
      <c r="AG305" s="2517" t="s">
        <v>1976</v>
      </c>
      <c r="AH305" s="2517"/>
      <c r="AI305" s="2517"/>
      <c r="AJ305" s="2517"/>
      <c r="AK305" s="2517"/>
      <c r="AL305" s="544"/>
      <c r="AM305" s="544"/>
      <c r="AN305" s="73"/>
      <c r="AO305" s="14"/>
      <c r="AP305" s="30"/>
      <c r="AS305" s="563"/>
      <c r="AT305" s="563"/>
      <c r="AU305" s="563"/>
      <c r="AV305" s="32"/>
      <c r="AW305" s="32"/>
    </row>
    <row r="306" spans="1:49">
      <c r="A306" s="633"/>
      <c r="B306" s="589"/>
      <c r="F306" s="2486"/>
      <c r="G306" s="2487"/>
      <c r="H306" s="2487"/>
      <c r="I306" s="2487"/>
      <c r="J306" s="2487"/>
      <c r="K306" s="2487"/>
      <c r="L306" s="2487"/>
      <c r="M306" s="2487"/>
      <c r="N306" s="2487"/>
      <c r="O306" s="2487"/>
      <c r="P306" s="2487"/>
      <c r="Q306" s="2487"/>
      <c r="R306" s="2487"/>
      <c r="S306" s="2487"/>
      <c r="T306" s="2487"/>
      <c r="U306" s="2487"/>
      <c r="V306" s="2487"/>
      <c r="W306" s="2487"/>
      <c r="X306" s="2487"/>
      <c r="Y306" s="2487"/>
      <c r="Z306" s="2487"/>
      <c r="AA306" s="2487"/>
      <c r="AB306" s="2487"/>
      <c r="AC306" s="2487"/>
      <c r="AD306" s="2488"/>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6"/>
      <c r="G307" s="2487"/>
      <c r="H307" s="2487"/>
      <c r="I307" s="2487"/>
      <c r="J307" s="2487"/>
      <c r="K307" s="2487"/>
      <c r="L307" s="2487"/>
      <c r="M307" s="2487"/>
      <c r="N307" s="2487"/>
      <c r="O307" s="2487"/>
      <c r="P307" s="2487"/>
      <c r="Q307" s="2487"/>
      <c r="R307" s="2487"/>
      <c r="S307" s="2487"/>
      <c r="T307" s="2487"/>
      <c r="U307" s="2487"/>
      <c r="V307" s="2487"/>
      <c r="W307" s="2487"/>
      <c r="X307" s="2487"/>
      <c r="Y307" s="2487"/>
      <c r="Z307" s="2487"/>
      <c r="AA307" s="2487"/>
      <c r="AB307" s="2487"/>
      <c r="AC307" s="2487"/>
      <c r="AD307" s="2488"/>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6" t="s">
        <v>1981</v>
      </c>
      <c r="G308" s="2487"/>
      <c r="H308" s="2487"/>
      <c r="I308" s="2487"/>
      <c r="J308" s="2487"/>
      <c r="K308" s="2487"/>
      <c r="L308" s="2487"/>
      <c r="M308" s="2487"/>
      <c r="N308" s="2487"/>
      <c r="O308" s="2487"/>
      <c r="P308" s="2487"/>
      <c r="Q308" s="2487"/>
      <c r="R308" s="2487"/>
      <c r="S308" s="2487"/>
      <c r="T308" s="2487"/>
      <c r="U308" s="2487"/>
      <c r="V308" s="2487"/>
      <c r="W308" s="2487"/>
      <c r="X308" s="2487"/>
      <c r="Y308" s="2487"/>
      <c r="Z308" s="2487"/>
      <c r="AA308" s="2487"/>
      <c r="AB308" s="2487"/>
      <c r="AC308" s="2487"/>
      <c r="AD308" s="2488"/>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86"/>
      <c r="G309" s="2487"/>
      <c r="H309" s="2487"/>
      <c r="I309" s="2487"/>
      <c r="J309" s="2487"/>
      <c r="K309" s="2487"/>
      <c r="L309" s="2487"/>
      <c r="M309" s="2487"/>
      <c r="N309" s="2487"/>
      <c r="O309" s="2487"/>
      <c r="P309" s="2487"/>
      <c r="Q309" s="2487"/>
      <c r="R309" s="2487"/>
      <c r="S309" s="2487"/>
      <c r="T309" s="2487"/>
      <c r="U309" s="2487"/>
      <c r="V309" s="2487"/>
      <c r="W309" s="2487"/>
      <c r="X309" s="2487"/>
      <c r="Y309" s="2487"/>
      <c r="Z309" s="2487"/>
      <c r="AA309" s="2487"/>
      <c r="AB309" s="2487"/>
      <c r="AC309" s="2487"/>
      <c r="AD309" s="2488"/>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6" t="s">
        <v>1375</v>
      </c>
      <c r="G310" s="2487"/>
      <c r="H310" s="2487"/>
      <c r="I310" s="2487"/>
      <c r="J310" s="2487"/>
      <c r="K310" s="2487"/>
      <c r="L310" s="2487"/>
      <c r="M310" s="2487"/>
      <c r="N310" s="2487"/>
      <c r="O310" s="2487"/>
      <c r="P310" s="2487"/>
      <c r="Q310" s="2487"/>
      <c r="R310" s="2487"/>
      <c r="S310" s="2487"/>
      <c r="T310" s="2487"/>
      <c r="U310" s="2487"/>
      <c r="V310" s="2487"/>
      <c r="W310" s="2487"/>
      <c r="X310" s="2487"/>
      <c r="Y310" s="2487"/>
      <c r="Z310" s="2487"/>
      <c r="AA310" s="2487"/>
      <c r="AB310" s="2487"/>
      <c r="AC310" s="2487"/>
      <c r="AD310" s="2488"/>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6"/>
      <c r="G311" s="2487"/>
      <c r="H311" s="2487"/>
      <c r="I311" s="2487"/>
      <c r="J311" s="2487"/>
      <c r="K311" s="2487"/>
      <c r="L311" s="2487"/>
      <c r="M311" s="2487"/>
      <c r="N311" s="2487"/>
      <c r="O311" s="2487"/>
      <c r="P311" s="2487"/>
      <c r="Q311" s="2487"/>
      <c r="R311" s="2487"/>
      <c r="S311" s="2487"/>
      <c r="T311" s="2487"/>
      <c r="U311" s="2487"/>
      <c r="V311" s="2487"/>
      <c r="W311" s="2487"/>
      <c r="X311" s="2487"/>
      <c r="Y311" s="2487"/>
      <c r="Z311" s="2487"/>
      <c r="AA311" s="2487"/>
      <c r="AB311" s="2487"/>
      <c r="AC311" s="2487"/>
      <c r="AD311" s="2488"/>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6" t="s">
        <v>1376</v>
      </c>
      <c r="G312" s="2487"/>
      <c r="H312" s="2487"/>
      <c r="I312" s="2487"/>
      <c r="J312" s="2487"/>
      <c r="K312" s="2487"/>
      <c r="L312" s="2487"/>
      <c r="M312" s="2487"/>
      <c r="N312" s="2487"/>
      <c r="O312" s="2487"/>
      <c r="P312" s="2487"/>
      <c r="Q312" s="2487"/>
      <c r="R312" s="2487"/>
      <c r="S312" s="2487"/>
      <c r="T312" s="2487"/>
      <c r="U312" s="2487"/>
      <c r="V312" s="2487"/>
      <c r="W312" s="2487"/>
      <c r="X312" s="2487"/>
      <c r="Y312" s="2487"/>
      <c r="Z312" s="2487"/>
      <c r="AA312" s="2487"/>
      <c r="AB312" s="2487"/>
      <c r="AC312" s="2487"/>
      <c r="AD312" s="2488"/>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9"/>
      <c r="G313" s="2490"/>
      <c r="H313" s="2490"/>
      <c r="I313" s="2490"/>
      <c r="J313" s="2490"/>
      <c r="K313" s="2490"/>
      <c r="L313" s="2490"/>
      <c r="M313" s="2490"/>
      <c r="N313" s="2490"/>
      <c r="O313" s="2490"/>
      <c r="P313" s="2490"/>
      <c r="Q313" s="2490"/>
      <c r="R313" s="2490"/>
      <c r="S313" s="2490"/>
      <c r="T313" s="2490"/>
      <c r="U313" s="2490"/>
      <c r="V313" s="2490"/>
      <c r="W313" s="2490"/>
      <c r="X313" s="2490"/>
      <c r="Y313" s="2490"/>
      <c r="Z313" s="2490"/>
      <c r="AA313" s="2490"/>
      <c r="AB313" s="2490"/>
      <c r="AC313" s="2490"/>
      <c r="AD313" s="2491"/>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5" t="s">
        <v>1377</v>
      </c>
      <c r="B315" s="1625"/>
      <c r="C315" s="2492" t="s">
        <v>545</v>
      </c>
      <c r="D315" s="2492"/>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86" t="s">
        <v>1977</v>
      </c>
      <c r="G316" s="2487"/>
      <c r="H316" s="2487"/>
      <c r="I316" s="2487"/>
      <c r="J316" s="2487"/>
      <c r="K316" s="2487"/>
      <c r="L316" s="2487"/>
      <c r="M316" s="2487"/>
      <c r="N316" s="2487"/>
      <c r="O316" s="2487"/>
      <c r="P316" s="2487"/>
      <c r="Q316" s="2487"/>
      <c r="R316" s="2487"/>
      <c r="S316" s="2487"/>
      <c r="T316" s="2487"/>
      <c r="U316" s="2487"/>
      <c r="V316" s="2487"/>
      <c r="W316" s="2487"/>
      <c r="X316" s="2487"/>
      <c r="Y316" s="2487"/>
      <c r="Z316" s="2487"/>
      <c r="AA316" s="2487"/>
      <c r="AB316" s="2487"/>
      <c r="AC316" s="2487"/>
      <c r="AD316" s="2488"/>
      <c r="AE316" s="545"/>
      <c r="AF316" s="545"/>
      <c r="AG316" s="545"/>
      <c r="AH316" s="545"/>
      <c r="AI316" s="545"/>
      <c r="AJ316" s="544"/>
      <c r="AK316" s="544"/>
      <c r="AL316" s="544"/>
      <c r="AM316" s="544"/>
      <c r="AR316" s="639"/>
    </row>
    <row r="317" spans="1:49" ht="15" customHeight="1">
      <c r="A317" s="544"/>
      <c r="B317" s="545"/>
      <c r="C317" s="544"/>
      <c r="D317" s="545"/>
      <c r="E317" s="544"/>
      <c r="F317" s="2486"/>
      <c r="G317" s="2487"/>
      <c r="H317" s="2487"/>
      <c r="I317" s="2487"/>
      <c r="J317" s="2487"/>
      <c r="K317" s="2487"/>
      <c r="L317" s="2487"/>
      <c r="M317" s="2487"/>
      <c r="N317" s="2487"/>
      <c r="O317" s="2487"/>
      <c r="P317" s="2487"/>
      <c r="Q317" s="2487"/>
      <c r="R317" s="2487"/>
      <c r="S317" s="2487"/>
      <c r="T317" s="2487"/>
      <c r="U317" s="2487"/>
      <c r="V317" s="2487"/>
      <c r="W317" s="2487"/>
      <c r="X317" s="2487"/>
      <c r="Y317" s="2487"/>
      <c r="Z317" s="2487"/>
      <c r="AA317" s="2487"/>
      <c r="AB317" s="2487"/>
      <c r="AC317" s="2487"/>
      <c r="AD317" s="2488"/>
      <c r="AE317" s="545"/>
      <c r="AF317" s="545"/>
      <c r="AG317" s="545"/>
      <c r="AH317" s="545"/>
      <c r="AI317" s="545"/>
      <c r="AJ317" s="544"/>
      <c r="AK317" s="544"/>
      <c r="AL317" s="544"/>
      <c r="AM317" s="544"/>
      <c r="AR317" s="639"/>
    </row>
    <row r="318" spans="1:49">
      <c r="A318" s="544"/>
      <c r="B318" s="545"/>
      <c r="C318" s="544"/>
      <c r="D318" s="545"/>
      <c r="E318" s="544"/>
      <c r="F318" s="2486"/>
      <c r="G318" s="2487"/>
      <c r="H318" s="2487"/>
      <c r="I318" s="2487"/>
      <c r="J318" s="2487"/>
      <c r="K318" s="2487"/>
      <c r="L318" s="2487"/>
      <c r="M318" s="2487"/>
      <c r="N318" s="2487"/>
      <c r="O318" s="2487"/>
      <c r="P318" s="2487"/>
      <c r="Q318" s="2487"/>
      <c r="R318" s="2487"/>
      <c r="S318" s="2487"/>
      <c r="T318" s="2487"/>
      <c r="U318" s="2487"/>
      <c r="V318" s="2487"/>
      <c r="W318" s="2487"/>
      <c r="X318" s="2487"/>
      <c r="Y318" s="2487"/>
      <c r="Z318" s="2487"/>
      <c r="AA318" s="2487"/>
      <c r="AB318" s="2487"/>
      <c r="AC318" s="2487"/>
      <c r="AD318" s="2488"/>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9"/>
      <c r="G319" s="2490"/>
      <c r="H319" s="2490"/>
      <c r="I319" s="2490"/>
      <c r="J319" s="2490"/>
      <c r="K319" s="2490"/>
      <c r="L319" s="2490"/>
      <c r="M319" s="2490"/>
      <c r="N319" s="2490"/>
      <c r="O319" s="2490"/>
      <c r="P319" s="2490"/>
      <c r="Q319" s="2490"/>
      <c r="R319" s="2490"/>
      <c r="S319" s="2490"/>
      <c r="T319" s="2490"/>
      <c r="U319" s="2490"/>
      <c r="V319" s="2490"/>
      <c r="W319" s="2490"/>
      <c r="X319" s="2490"/>
      <c r="Y319" s="2490"/>
      <c r="Z319" s="2490"/>
      <c r="AA319" s="2490"/>
      <c r="AB319" s="2490"/>
      <c r="AC319" s="2490"/>
      <c r="AD319" s="2491"/>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25" t="s">
        <v>1380</v>
      </c>
      <c r="B323" s="1625"/>
      <c r="C323" s="2492" t="s">
        <v>591</v>
      </c>
      <c r="D323" s="2492"/>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86" t="s">
        <v>1982</v>
      </c>
      <c r="G324" s="2487"/>
      <c r="H324" s="2487"/>
      <c r="I324" s="2487"/>
      <c r="J324" s="2487"/>
      <c r="K324" s="2487"/>
      <c r="L324" s="2487"/>
      <c r="M324" s="2487"/>
      <c r="N324" s="2487"/>
      <c r="O324" s="2487"/>
      <c r="P324" s="2487"/>
      <c r="Q324" s="2487"/>
      <c r="R324" s="2487"/>
      <c r="S324" s="2487"/>
      <c r="T324" s="2487"/>
      <c r="U324" s="2487"/>
      <c r="V324" s="2487"/>
      <c r="W324" s="2487"/>
      <c r="X324" s="2487"/>
      <c r="Y324" s="2487"/>
      <c r="Z324" s="2487"/>
      <c r="AA324" s="2487"/>
      <c r="AB324" s="2487"/>
      <c r="AC324" s="2487"/>
      <c r="AD324" s="2488"/>
      <c r="AE324" s="545"/>
      <c r="AF324" s="545"/>
      <c r="AG324" s="535"/>
      <c r="AH324" s="545"/>
      <c r="AI324" s="545"/>
      <c r="AJ324" s="544"/>
      <c r="AK324" s="544"/>
      <c r="AL324" s="544"/>
      <c r="AM324" s="544"/>
      <c r="AN324" s="73"/>
      <c r="AO324" s="14"/>
      <c r="AP324" s="550" t="s">
        <v>1183</v>
      </c>
    </row>
    <row r="325" spans="1:44" hidden="1">
      <c r="F325" s="2486"/>
      <c r="G325" s="2487"/>
      <c r="H325" s="2487"/>
      <c r="I325" s="2487"/>
      <c r="J325" s="2487"/>
      <c r="K325" s="2487"/>
      <c r="L325" s="2487"/>
      <c r="M325" s="2487"/>
      <c r="N325" s="2487"/>
      <c r="O325" s="2487"/>
      <c r="P325" s="2487"/>
      <c r="Q325" s="2487"/>
      <c r="R325" s="2487"/>
      <c r="S325" s="2487"/>
      <c r="T325" s="2487"/>
      <c r="U325" s="2487"/>
      <c r="V325" s="2487"/>
      <c r="W325" s="2487"/>
      <c r="X325" s="2487"/>
      <c r="Y325" s="2487"/>
      <c r="Z325" s="2487"/>
      <c r="AA325" s="2487"/>
      <c r="AB325" s="2487"/>
      <c r="AC325" s="2487"/>
      <c r="AD325" s="2488"/>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1" t="s">
        <v>1183</v>
      </c>
      <c r="G329" s="2522"/>
      <c r="H329" s="2522"/>
      <c r="I329" s="2522"/>
      <c r="J329" s="2522"/>
      <c r="K329" s="2522"/>
      <c r="L329" s="2522"/>
      <c r="M329" s="2522"/>
      <c r="N329" s="2522"/>
      <c r="O329" s="2522"/>
      <c r="P329" s="2522"/>
      <c r="Q329" s="2522"/>
      <c r="R329" s="2522"/>
      <c r="S329" s="2522"/>
      <c r="T329" s="2522"/>
      <c r="U329" s="2522"/>
      <c r="V329" s="2522"/>
      <c r="W329" s="2522"/>
      <c r="X329" s="2522"/>
      <c r="Y329" s="2522"/>
      <c r="Z329" s="2522"/>
      <c r="AA329" s="2522"/>
      <c r="AB329" s="2522"/>
      <c r="AC329" s="2522"/>
      <c r="AD329" s="2523"/>
      <c r="AE329" s="635"/>
      <c r="AF329" s="635"/>
      <c r="AG329" s="635"/>
      <c r="AH329" s="635"/>
      <c r="AI329" s="635"/>
      <c r="AJ329" s="635"/>
      <c r="AK329" s="635"/>
      <c r="AL329" s="544"/>
      <c r="AM329" s="544"/>
      <c r="AN329" s="73"/>
      <c r="AO329" s="14"/>
      <c r="AP329" s="30"/>
    </row>
    <row r="330" spans="1:44" hidden="1">
      <c r="A330" s="544"/>
      <c r="B330" s="545"/>
      <c r="C330" s="721"/>
      <c r="D330" s="721"/>
      <c r="E330" s="541"/>
      <c r="F330" s="2521"/>
      <c r="G330" s="2522"/>
      <c r="H330" s="2522"/>
      <c r="I330" s="2522"/>
      <c r="J330" s="2522"/>
      <c r="K330" s="2522"/>
      <c r="L330" s="2522"/>
      <c r="M330" s="2522"/>
      <c r="N330" s="2522"/>
      <c r="O330" s="2522"/>
      <c r="P330" s="2522"/>
      <c r="Q330" s="2522"/>
      <c r="R330" s="2522"/>
      <c r="S330" s="2522"/>
      <c r="T330" s="2522"/>
      <c r="U330" s="2522"/>
      <c r="V330" s="2522"/>
      <c r="W330" s="2522"/>
      <c r="X330" s="2522"/>
      <c r="Y330" s="2522"/>
      <c r="Z330" s="2522"/>
      <c r="AA330" s="2522"/>
      <c r="AB330" s="2522"/>
      <c r="AC330" s="2522"/>
      <c r="AD330" s="2523"/>
      <c r="AE330" s="545"/>
      <c r="AF330" s="545"/>
      <c r="AG330" s="535"/>
      <c r="AH330" s="545"/>
      <c r="AI330" s="545"/>
      <c r="AJ330" s="544"/>
      <c r="AK330" s="544"/>
      <c r="AL330" s="544"/>
      <c r="AM330" s="544"/>
      <c r="AN330" s="73"/>
      <c r="AO330" s="14"/>
      <c r="AP330" s="30"/>
    </row>
    <row r="331" spans="1:44" hidden="1">
      <c r="A331" s="544"/>
      <c r="B331" s="545"/>
      <c r="C331" s="721"/>
      <c r="D331" s="721"/>
      <c r="E331" s="541"/>
      <c r="F331" s="2521"/>
      <c r="G331" s="2522"/>
      <c r="H331" s="2522"/>
      <c r="I331" s="2522"/>
      <c r="J331" s="2522"/>
      <c r="K331" s="2522"/>
      <c r="L331" s="2522"/>
      <c r="M331" s="2522"/>
      <c r="N331" s="2522"/>
      <c r="O331" s="2522"/>
      <c r="P331" s="2522"/>
      <c r="Q331" s="2522"/>
      <c r="R331" s="2522"/>
      <c r="S331" s="2522"/>
      <c r="T331" s="2522"/>
      <c r="U331" s="2522"/>
      <c r="V331" s="2522"/>
      <c r="W331" s="2522"/>
      <c r="X331" s="2522"/>
      <c r="Y331" s="2522"/>
      <c r="Z331" s="2522"/>
      <c r="AA331" s="2522"/>
      <c r="AB331" s="2522"/>
      <c r="AC331" s="2522"/>
      <c r="AD331" s="2523"/>
      <c r="AE331" s="545"/>
      <c r="AF331" s="545"/>
      <c r="AG331" s="535"/>
      <c r="AH331" s="545"/>
      <c r="AI331" s="545"/>
      <c r="AJ331" s="544"/>
      <c r="AK331" s="544"/>
      <c r="AL331" s="544"/>
      <c r="AM331" s="544"/>
      <c r="AN331" s="73"/>
      <c r="AO331" s="14"/>
      <c r="AP331" s="30"/>
    </row>
    <row r="332" spans="1:44" hidden="1">
      <c r="A332" s="544"/>
      <c r="B332" s="545"/>
      <c r="C332" s="721"/>
      <c r="D332" s="721"/>
      <c r="E332" s="541"/>
      <c r="F332" s="2521"/>
      <c r="G332" s="2522"/>
      <c r="H332" s="2522"/>
      <c r="I332" s="2522"/>
      <c r="J332" s="2522"/>
      <c r="K332" s="2522"/>
      <c r="L332" s="2522"/>
      <c r="M332" s="2522"/>
      <c r="N332" s="2522"/>
      <c r="O332" s="2522"/>
      <c r="P332" s="2522"/>
      <c r="Q332" s="2522"/>
      <c r="R332" s="2522"/>
      <c r="S332" s="2522"/>
      <c r="T332" s="2522"/>
      <c r="U332" s="2522"/>
      <c r="V332" s="2522"/>
      <c r="W332" s="2522"/>
      <c r="X332" s="2522"/>
      <c r="Y332" s="2522"/>
      <c r="Z332" s="2522"/>
      <c r="AA332" s="2522"/>
      <c r="AB332" s="2522"/>
      <c r="AC332" s="2522"/>
      <c r="AD332" s="2523"/>
      <c r="AE332" s="545"/>
      <c r="AF332" s="545"/>
      <c r="AG332" s="535"/>
      <c r="AH332" s="545"/>
      <c r="AI332" s="545"/>
      <c r="AJ332" s="544"/>
      <c r="AK332" s="544"/>
      <c r="AL332" s="544"/>
      <c r="AM332" s="544"/>
      <c r="AN332" s="73"/>
      <c r="AO332" s="14"/>
      <c r="AP332" s="30"/>
    </row>
    <row r="333" spans="1:44" hidden="1">
      <c r="A333" s="544"/>
      <c r="B333" s="545"/>
      <c r="C333" s="721"/>
      <c r="D333" s="721"/>
      <c r="E333" s="541"/>
      <c r="F333" s="2524"/>
      <c r="G333" s="2525"/>
      <c r="H333" s="2525"/>
      <c r="I333" s="2525"/>
      <c r="J333" s="2525"/>
      <c r="K333" s="2525"/>
      <c r="L333" s="2525"/>
      <c r="M333" s="2525"/>
      <c r="N333" s="2525"/>
      <c r="O333" s="2525"/>
      <c r="P333" s="2525"/>
      <c r="Q333" s="2525"/>
      <c r="R333" s="2525"/>
      <c r="S333" s="2525"/>
      <c r="T333" s="2525"/>
      <c r="U333" s="2525"/>
      <c r="V333" s="2525"/>
      <c r="W333" s="2525"/>
      <c r="X333" s="2525"/>
      <c r="Y333" s="2525"/>
      <c r="Z333" s="2525"/>
      <c r="AA333" s="2525"/>
      <c r="AB333" s="2525"/>
      <c r="AC333" s="2525"/>
      <c r="AD333" s="2526"/>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27" t="s">
        <v>1183</v>
      </c>
      <c r="J337" s="2527"/>
      <c r="K337" s="2527"/>
      <c r="L337" s="2527"/>
      <c r="M337" s="2527"/>
      <c r="N337" s="2527"/>
      <c r="O337" s="2527"/>
      <c r="P337" s="2527"/>
      <c r="Q337" s="2527"/>
      <c r="R337" s="2527"/>
      <c r="S337" s="2527"/>
      <c r="T337" s="2527"/>
      <c r="U337" s="2527"/>
      <c r="V337" s="2527"/>
      <c r="W337" s="2527"/>
      <c r="X337" s="2527"/>
      <c r="Y337" s="2527"/>
      <c r="Z337" s="2527"/>
      <c r="AA337" s="2527"/>
      <c r="AB337" s="2527"/>
      <c r="AC337" s="2527"/>
      <c r="AD337" s="2528"/>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27"/>
      <c r="J338" s="2527"/>
      <c r="K338" s="2527"/>
      <c r="L338" s="2527"/>
      <c r="M338" s="2527"/>
      <c r="N338" s="2527"/>
      <c r="O338" s="2527"/>
      <c r="P338" s="2527"/>
      <c r="Q338" s="2527"/>
      <c r="R338" s="2527"/>
      <c r="S338" s="2527"/>
      <c r="T338" s="2527"/>
      <c r="U338" s="2527"/>
      <c r="V338" s="2527"/>
      <c r="W338" s="2527"/>
      <c r="X338" s="2527"/>
      <c r="Y338" s="2527"/>
      <c r="Z338" s="2527"/>
      <c r="AA338" s="2527"/>
      <c r="AB338" s="2527"/>
      <c r="AC338" s="2527"/>
      <c r="AD338" s="2528"/>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27"/>
      <c r="J339" s="2527"/>
      <c r="K339" s="2527"/>
      <c r="L339" s="2527"/>
      <c r="M339" s="2527"/>
      <c r="N339" s="2527"/>
      <c r="O339" s="2527"/>
      <c r="P339" s="2527"/>
      <c r="Q339" s="2527"/>
      <c r="R339" s="2527"/>
      <c r="S339" s="2527"/>
      <c r="T339" s="2527"/>
      <c r="U339" s="2527"/>
      <c r="V339" s="2527"/>
      <c r="W339" s="2527"/>
      <c r="X339" s="2527"/>
      <c r="Y339" s="2527"/>
      <c r="Z339" s="2527"/>
      <c r="AA339" s="2527"/>
      <c r="AB339" s="2527"/>
      <c r="AC339" s="2527"/>
      <c r="AD339" s="2528"/>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29"/>
      <c r="J340" s="2529"/>
      <c r="K340" s="2529"/>
      <c r="L340" s="2529"/>
      <c r="M340" s="2529"/>
      <c r="N340" s="2529"/>
      <c r="O340" s="2529"/>
      <c r="P340" s="2529"/>
      <c r="Q340" s="2529"/>
      <c r="R340" s="2529"/>
      <c r="S340" s="2529"/>
      <c r="T340" s="2529"/>
      <c r="U340" s="2529"/>
      <c r="V340" s="2529"/>
      <c r="W340" s="2529"/>
      <c r="X340" s="2529"/>
      <c r="Y340" s="2529"/>
      <c r="Z340" s="2529"/>
      <c r="AA340" s="2529"/>
      <c r="AB340" s="2529"/>
      <c r="AC340" s="2529"/>
      <c r="AD340" s="2530"/>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27" t="s">
        <v>1183</v>
      </c>
      <c r="J342" s="2527"/>
      <c r="K342" s="2527"/>
      <c r="L342" s="2527"/>
      <c r="M342" s="2527"/>
      <c r="N342" s="2527"/>
      <c r="O342" s="2527"/>
      <c r="P342" s="2527"/>
      <c r="Q342" s="2527"/>
      <c r="R342" s="2527"/>
      <c r="S342" s="2527"/>
      <c r="T342" s="2527"/>
      <c r="U342" s="2527"/>
      <c r="V342" s="2527"/>
      <c r="W342" s="2527"/>
      <c r="X342" s="2527"/>
      <c r="Y342" s="2527"/>
      <c r="Z342" s="2527"/>
      <c r="AA342" s="2527"/>
      <c r="AB342" s="2527"/>
      <c r="AC342" s="2527"/>
      <c r="AD342" s="2528"/>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7"/>
      <c r="J343" s="2527"/>
      <c r="K343" s="2527"/>
      <c r="L343" s="2527"/>
      <c r="M343" s="2527"/>
      <c r="N343" s="2527"/>
      <c r="O343" s="2527"/>
      <c r="P343" s="2527"/>
      <c r="Q343" s="2527"/>
      <c r="R343" s="2527"/>
      <c r="S343" s="2527"/>
      <c r="T343" s="2527"/>
      <c r="U343" s="2527"/>
      <c r="V343" s="2527"/>
      <c r="W343" s="2527"/>
      <c r="X343" s="2527"/>
      <c r="Y343" s="2527"/>
      <c r="Z343" s="2527"/>
      <c r="AA343" s="2527"/>
      <c r="AB343" s="2527"/>
      <c r="AC343" s="2527"/>
      <c r="AD343" s="2528"/>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29"/>
      <c r="J344" s="2529"/>
      <c r="K344" s="2529"/>
      <c r="L344" s="2529"/>
      <c r="M344" s="2529"/>
      <c r="N344" s="2529"/>
      <c r="O344" s="2529"/>
      <c r="P344" s="2529"/>
      <c r="Q344" s="2529"/>
      <c r="R344" s="2529"/>
      <c r="S344" s="2529"/>
      <c r="T344" s="2529"/>
      <c r="U344" s="2529"/>
      <c r="V344" s="2529"/>
      <c r="W344" s="2529"/>
      <c r="X344" s="2529"/>
      <c r="Y344" s="2529"/>
      <c r="Z344" s="2529"/>
      <c r="AA344" s="2529"/>
      <c r="AB344" s="2529"/>
      <c r="AC344" s="2529"/>
      <c r="AD344" s="2530"/>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25" t="s">
        <v>1383</v>
      </c>
      <c r="B346" s="1625"/>
      <c r="C346" s="2492" t="s">
        <v>591</v>
      </c>
      <c r="D346" s="2492"/>
      <c r="E346" s="541"/>
      <c r="F346" s="2425" t="s">
        <v>1983</v>
      </c>
      <c r="G346" s="2426"/>
      <c r="H346" s="2426"/>
      <c r="I346" s="2426"/>
      <c r="J346" s="2426"/>
      <c r="K346" s="2426"/>
      <c r="L346" s="2426"/>
      <c r="M346" s="2426"/>
      <c r="N346" s="2426"/>
      <c r="O346" s="2426"/>
      <c r="P346" s="2426"/>
      <c r="Q346" s="2426"/>
      <c r="R346" s="2426"/>
      <c r="S346" s="2426"/>
      <c r="T346" s="2426"/>
      <c r="U346" s="2426"/>
      <c r="V346" s="2426"/>
      <c r="W346" s="2426"/>
      <c r="X346" s="2426"/>
      <c r="Y346" s="2426"/>
      <c r="Z346" s="2426"/>
      <c r="AA346" s="2426"/>
      <c r="AB346" s="2426"/>
      <c r="AC346" s="2426"/>
      <c r="AD346" s="2427"/>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54"/>
      <c r="G347" s="2455"/>
      <c r="H347" s="2455"/>
      <c r="I347" s="2455"/>
      <c r="J347" s="2455"/>
      <c r="K347" s="2455"/>
      <c r="L347" s="2455"/>
      <c r="M347" s="2455"/>
      <c r="N347" s="2455"/>
      <c r="O347" s="2455"/>
      <c r="P347" s="2455"/>
      <c r="Q347" s="2455"/>
      <c r="R347" s="2455"/>
      <c r="S347" s="2455"/>
      <c r="T347" s="2455"/>
      <c r="U347" s="2455"/>
      <c r="V347" s="2455"/>
      <c r="W347" s="2455"/>
      <c r="X347" s="2455"/>
      <c r="Y347" s="2455"/>
      <c r="Z347" s="2455"/>
      <c r="AA347" s="2455"/>
      <c r="AB347" s="2455"/>
      <c r="AC347" s="2455"/>
      <c r="AD347" s="2456"/>
      <c r="AE347" s="545"/>
      <c r="AF347" s="545"/>
      <c r="AG347" s="545"/>
      <c r="AH347" s="545"/>
      <c r="AI347" s="545"/>
      <c r="AJ347" s="544"/>
      <c r="AK347" s="544"/>
      <c r="AL347" s="544"/>
      <c r="AM347" s="544"/>
      <c r="AN347" s="73"/>
      <c r="AO347" s="14"/>
    </row>
    <row r="348" spans="1:42" ht="15" hidden="1" customHeight="1">
      <c r="A348" s="544"/>
      <c r="B348" s="545"/>
      <c r="C348" s="545"/>
      <c r="D348" s="545"/>
      <c r="E348" s="545"/>
      <c r="F348" s="2454"/>
      <c r="G348" s="2455"/>
      <c r="H348" s="2455"/>
      <c r="I348" s="2455"/>
      <c r="J348" s="2455"/>
      <c r="K348" s="2455"/>
      <c r="L348" s="2455"/>
      <c r="M348" s="2455"/>
      <c r="N348" s="2455"/>
      <c r="O348" s="2455"/>
      <c r="P348" s="2455"/>
      <c r="Q348" s="2455"/>
      <c r="R348" s="2455"/>
      <c r="S348" s="2455"/>
      <c r="T348" s="2455"/>
      <c r="U348" s="2455"/>
      <c r="V348" s="2455"/>
      <c r="W348" s="2455"/>
      <c r="X348" s="2455"/>
      <c r="Y348" s="2455"/>
      <c r="Z348" s="2455"/>
      <c r="AA348" s="2455"/>
      <c r="AB348" s="2455"/>
      <c r="AC348" s="2455"/>
      <c r="AD348" s="2456"/>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95">
        <f>IF(NOT(OR(Application!M364="Yes",Application!M365="Yes")),0,AP308)</f>
        <v>9</v>
      </c>
      <c r="AL351" s="2496"/>
      <c r="AM351" s="2497"/>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37" t="s">
        <v>1307</v>
      </c>
      <c r="AF354" s="2437"/>
      <c r="AG354" s="2437"/>
      <c r="AH354" s="2437"/>
      <c r="AI354" s="2437"/>
      <c r="AJ354" s="2437"/>
      <c r="AK354" s="243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1" t="s">
        <v>1444</v>
      </c>
      <c r="D356" s="2531"/>
      <c r="E356" s="2531"/>
      <c r="F356" s="2531"/>
      <c r="G356" s="2531"/>
      <c r="H356" s="2531"/>
      <c r="I356" s="2531"/>
      <c r="J356" s="2531"/>
      <c r="K356" s="2531"/>
      <c r="L356" s="2531"/>
      <c r="M356" s="2531"/>
      <c r="N356" s="2531"/>
      <c r="O356" s="2531"/>
      <c r="P356" s="2531"/>
      <c r="Q356" s="2531"/>
      <c r="R356" s="2531"/>
      <c r="S356" s="2531"/>
      <c r="T356" s="2531"/>
      <c r="U356" s="2531"/>
      <c r="V356" s="2531"/>
      <c r="W356" s="2531"/>
      <c r="X356" s="2531"/>
      <c r="Y356" s="2531"/>
      <c r="Z356" s="2531"/>
      <c r="AA356" s="2531"/>
      <c r="AB356" s="2531"/>
      <c r="AC356" s="2531"/>
      <c r="AD356" s="2531"/>
      <c r="AE356" s="2531"/>
      <c r="AF356" s="2531"/>
      <c r="AG356" s="2531"/>
      <c r="AH356" s="2531"/>
      <c r="AI356" s="2531"/>
      <c r="AJ356" s="2531"/>
      <c r="AK356" s="596"/>
      <c r="AL356" s="596"/>
      <c r="AM356" s="596"/>
      <c r="AN356" s="590"/>
    </row>
    <row r="357" spans="1:44" s="544" customFormat="1" ht="12.75" customHeight="1">
      <c r="A357" s="596"/>
      <c r="B357" s="604"/>
      <c r="C357" s="2531"/>
      <c r="D357" s="2531"/>
      <c r="E357" s="2531"/>
      <c r="F357" s="2531"/>
      <c r="G357" s="2531"/>
      <c r="H357" s="2531"/>
      <c r="I357" s="2531"/>
      <c r="J357" s="2531"/>
      <c r="K357" s="2531"/>
      <c r="L357" s="2531"/>
      <c r="M357" s="2531"/>
      <c r="N357" s="2531"/>
      <c r="O357" s="2531"/>
      <c r="P357" s="2531"/>
      <c r="Q357" s="2531"/>
      <c r="R357" s="2531"/>
      <c r="S357" s="2531"/>
      <c r="T357" s="2531"/>
      <c r="U357" s="2531"/>
      <c r="V357" s="2531"/>
      <c r="W357" s="2531"/>
      <c r="X357" s="2531"/>
      <c r="Y357" s="2531"/>
      <c r="Z357" s="2531"/>
      <c r="AA357" s="2531"/>
      <c r="AB357" s="2531"/>
      <c r="AC357" s="2531"/>
      <c r="AD357" s="2531"/>
      <c r="AE357" s="2531"/>
      <c r="AF357" s="2531"/>
      <c r="AG357" s="2531"/>
      <c r="AH357" s="2531"/>
      <c r="AI357" s="2531"/>
      <c r="AJ357" s="2531"/>
      <c r="AK357" s="596"/>
      <c r="AL357" s="596"/>
      <c r="AM357" s="596"/>
      <c r="AN357" s="590"/>
    </row>
    <row r="358" spans="1:44" s="544" customFormat="1" ht="12.75" customHeight="1">
      <c r="A358" s="596"/>
      <c r="B358" s="604"/>
      <c r="C358" s="2531"/>
      <c r="D358" s="2531"/>
      <c r="E358" s="2531"/>
      <c r="F358" s="2531"/>
      <c r="G358" s="2531"/>
      <c r="H358" s="2531"/>
      <c r="I358" s="2531"/>
      <c r="J358" s="2531"/>
      <c r="K358" s="2531"/>
      <c r="L358" s="2531"/>
      <c r="M358" s="2531"/>
      <c r="N358" s="2531"/>
      <c r="O358" s="2531"/>
      <c r="P358" s="2531"/>
      <c r="Q358" s="2531"/>
      <c r="R358" s="2531"/>
      <c r="S358" s="2531"/>
      <c r="T358" s="2531"/>
      <c r="U358" s="2531"/>
      <c r="V358" s="2531"/>
      <c r="W358" s="2531"/>
      <c r="X358" s="2531"/>
      <c r="Y358" s="2531"/>
      <c r="Z358" s="2531"/>
      <c r="AA358" s="2531"/>
      <c r="AB358" s="2531"/>
      <c r="AC358" s="2531"/>
      <c r="AD358" s="2531"/>
      <c r="AE358" s="2531"/>
      <c r="AF358" s="2531"/>
      <c r="AG358" s="2531"/>
      <c r="AH358" s="2531"/>
      <c r="AI358" s="2531"/>
      <c r="AJ358" s="2531"/>
      <c r="AK358" s="596"/>
      <c r="AL358" s="596"/>
      <c r="AM358" s="596"/>
      <c r="AN358" s="590"/>
      <c r="AQ358" s="563"/>
    </row>
    <row r="359" spans="1:44" s="544" customFormat="1" ht="12.75" customHeight="1">
      <c r="A359" s="596"/>
      <c r="B359" s="604"/>
      <c r="C359" s="2531"/>
      <c r="D359" s="2531"/>
      <c r="E359" s="2531"/>
      <c r="F359" s="2531"/>
      <c r="G359" s="2531"/>
      <c r="H359" s="2531"/>
      <c r="I359" s="2531"/>
      <c r="J359" s="2531"/>
      <c r="K359" s="2531"/>
      <c r="L359" s="2531"/>
      <c r="M359" s="2531"/>
      <c r="N359" s="2531"/>
      <c r="O359" s="2531"/>
      <c r="P359" s="2531"/>
      <c r="Q359" s="2531"/>
      <c r="R359" s="2531"/>
      <c r="S359" s="2531"/>
      <c r="T359" s="2531"/>
      <c r="U359" s="2531"/>
      <c r="V359" s="2531"/>
      <c r="W359" s="2531"/>
      <c r="X359" s="2531"/>
      <c r="Y359" s="2531"/>
      <c r="Z359" s="2531"/>
      <c r="AA359" s="2531"/>
      <c r="AB359" s="2531"/>
      <c r="AC359" s="2531"/>
      <c r="AD359" s="2531"/>
      <c r="AE359" s="2531"/>
      <c r="AF359" s="2531"/>
      <c r="AG359" s="2531"/>
      <c r="AH359" s="2531"/>
      <c r="AI359" s="2531"/>
      <c r="AJ359" s="2531"/>
      <c r="AK359" s="596"/>
      <c r="AL359" s="596"/>
      <c r="AM359" s="596"/>
      <c r="AN359" s="590"/>
      <c r="AQ359" s="563"/>
    </row>
    <row r="360" spans="1:44" s="544" customFormat="1" ht="12.4" customHeight="1">
      <c r="A360" s="596"/>
      <c r="B360" s="604"/>
      <c r="C360" s="2531"/>
      <c r="D360" s="2531"/>
      <c r="E360" s="2531"/>
      <c r="F360" s="2531"/>
      <c r="G360" s="2531"/>
      <c r="H360" s="2531"/>
      <c r="I360" s="2531"/>
      <c r="J360" s="2531"/>
      <c r="K360" s="2531"/>
      <c r="L360" s="2531"/>
      <c r="M360" s="2531"/>
      <c r="N360" s="2531"/>
      <c r="O360" s="2531"/>
      <c r="P360" s="2531"/>
      <c r="Q360" s="2531"/>
      <c r="R360" s="2531"/>
      <c r="S360" s="2531"/>
      <c r="T360" s="2531"/>
      <c r="U360" s="2531"/>
      <c r="V360" s="2531"/>
      <c r="W360" s="2531"/>
      <c r="X360" s="2531"/>
      <c r="Y360" s="2531"/>
      <c r="Z360" s="2531"/>
      <c r="AA360" s="2531"/>
      <c r="AB360" s="2531"/>
      <c r="AC360" s="2531"/>
      <c r="AD360" s="2531"/>
      <c r="AE360" s="2531"/>
      <c r="AF360" s="2531"/>
      <c r="AG360" s="2531"/>
      <c r="AH360" s="2531"/>
      <c r="AI360" s="2531"/>
      <c r="AJ360" s="2531"/>
      <c r="AK360" s="596"/>
      <c r="AL360" s="596"/>
      <c r="AM360" s="596"/>
      <c r="AN360" s="590"/>
      <c r="AQ360" s="563"/>
      <c r="AR360" s="563"/>
    </row>
    <row r="361" spans="1:44" s="544" customFormat="1" ht="45.75" customHeight="1">
      <c r="A361" s="596"/>
      <c r="B361" s="604"/>
      <c r="C361" s="2531" t="s">
        <v>2042</v>
      </c>
      <c r="D361" s="2531"/>
      <c r="E361" s="2531"/>
      <c r="F361" s="2531"/>
      <c r="G361" s="2531"/>
      <c r="H361" s="2531"/>
      <c r="I361" s="2531"/>
      <c r="J361" s="2531"/>
      <c r="K361" s="2531"/>
      <c r="L361" s="2531"/>
      <c r="M361" s="2531"/>
      <c r="N361" s="2531"/>
      <c r="O361" s="2531"/>
      <c r="P361" s="2531"/>
      <c r="Q361" s="2531"/>
      <c r="R361" s="2531"/>
      <c r="S361" s="2531"/>
      <c r="T361" s="2531"/>
      <c r="U361" s="2531"/>
      <c r="V361" s="2531"/>
      <c r="W361" s="2531"/>
      <c r="X361" s="2531"/>
      <c r="Y361" s="2531"/>
      <c r="Z361" s="2531"/>
      <c r="AA361" s="2531"/>
      <c r="AB361" s="2531"/>
      <c r="AC361" s="2531"/>
      <c r="AD361" s="2531"/>
      <c r="AE361" s="2531"/>
      <c r="AF361" s="2531"/>
      <c r="AG361" s="2531"/>
      <c r="AH361" s="2531"/>
      <c r="AI361" s="2531"/>
      <c r="AJ361" s="2531"/>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1" t="s">
        <v>2156</v>
      </c>
      <c r="D363" s="2531"/>
      <c r="E363" s="2531"/>
      <c r="F363" s="2531"/>
      <c r="G363" s="2531"/>
      <c r="H363" s="2531"/>
      <c r="I363" s="2531"/>
      <c r="J363" s="2531"/>
      <c r="K363" s="2531"/>
      <c r="L363" s="2531"/>
      <c r="M363" s="2531"/>
      <c r="N363" s="2531"/>
      <c r="O363" s="2531"/>
      <c r="P363" s="2531"/>
      <c r="Q363" s="2531"/>
      <c r="R363" s="2531"/>
      <c r="S363" s="2531"/>
      <c r="T363" s="2531"/>
      <c r="U363" s="2531"/>
      <c r="V363" s="2531"/>
      <c r="W363" s="2531"/>
      <c r="X363" s="2531"/>
      <c r="Y363" s="2531"/>
      <c r="Z363" s="2531"/>
      <c r="AA363" s="2531"/>
      <c r="AB363" s="2531"/>
      <c r="AC363" s="2531"/>
      <c r="AD363" s="2531"/>
      <c r="AE363" s="2531"/>
      <c r="AF363" s="2531"/>
      <c r="AG363" s="2531"/>
      <c r="AH363" s="2531"/>
      <c r="AI363" s="2531"/>
      <c r="AJ363" s="2531"/>
      <c r="AK363" s="596"/>
      <c r="AL363" s="596"/>
      <c r="AM363" s="596"/>
      <c r="AN363" s="590"/>
      <c r="AQ363" s="563"/>
      <c r="AR363" s="563"/>
    </row>
    <row r="364" spans="1:44" s="544" customFormat="1" ht="30" customHeight="1">
      <c r="A364" s="596"/>
      <c r="B364" s="604"/>
      <c r="C364" s="2531"/>
      <c r="D364" s="2531"/>
      <c r="E364" s="2531"/>
      <c r="F364" s="2531"/>
      <c r="G364" s="2531"/>
      <c r="H364" s="2531"/>
      <c r="I364" s="2531"/>
      <c r="J364" s="2531"/>
      <c r="K364" s="2531"/>
      <c r="L364" s="2531"/>
      <c r="M364" s="2531"/>
      <c r="N364" s="2531"/>
      <c r="O364" s="2531"/>
      <c r="P364" s="2531"/>
      <c r="Q364" s="2531"/>
      <c r="R364" s="2531"/>
      <c r="S364" s="2531"/>
      <c r="T364" s="2531"/>
      <c r="U364" s="2531"/>
      <c r="V364" s="2531"/>
      <c r="W364" s="2531"/>
      <c r="X364" s="2531"/>
      <c r="Y364" s="2531"/>
      <c r="Z364" s="2531"/>
      <c r="AA364" s="2531"/>
      <c r="AB364" s="2531"/>
      <c r="AC364" s="2531"/>
      <c r="AD364" s="2531"/>
      <c r="AE364" s="2531"/>
      <c r="AF364" s="2531"/>
      <c r="AG364" s="2531"/>
      <c r="AH364" s="2531"/>
      <c r="AI364" s="2531"/>
      <c r="AJ364" s="2531"/>
      <c r="AK364" s="596"/>
      <c r="AL364" s="596"/>
      <c r="AM364" s="596"/>
      <c r="AN364" s="590"/>
      <c r="AR364" s="563"/>
    </row>
    <row r="365" spans="1:44" s="544" customFormat="1" ht="12.75" customHeight="1">
      <c r="A365" s="596"/>
      <c r="B365" s="604"/>
      <c r="C365" s="2531"/>
      <c r="D365" s="2531"/>
      <c r="E365" s="2531"/>
      <c r="F365" s="2531"/>
      <c r="G365" s="2531"/>
      <c r="H365" s="2531"/>
      <c r="I365" s="2531"/>
      <c r="J365" s="2531"/>
      <c r="K365" s="2531"/>
      <c r="L365" s="2531"/>
      <c r="M365" s="2531"/>
      <c r="N365" s="2531"/>
      <c r="O365" s="2531"/>
      <c r="P365" s="2531"/>
      <c r="Q365" s="2531"/>
      <c r="R365" s="2531"/>
      <c r="S365" s="2531"/>
      <c r="T365" s="2531"/>
      <c r="U365" s="2531"/>
      <c r="V365" s="2531"/>
      <c r="W365" s="2531"/>
      <c r="X365" s="2531"/>
      <c r="Y365" s="2531"/>
      <c r="Z365" s="2531"/>
      <c r="AA365" s="2531"/>
      <c r="AB365" s="2531"/>
      <c r="AC365" s="2531"/>
      <c r="AD365" s="2531"/>
      <c r="AE365" s="2531"/>
      <c r="AF365" s="2531"/>
      <c r="AG365" s="2531"/>
      <c r="AH365" s="2531"/>
      <c r="AI365" s="2531"/>
      <c r="AJ365" s="2531"/>
      <c r="AK365" s="596"/>
      <c r="AL365" s="596"/>
      <c r="AM365" s="596"/>
      <c r="AN365" s="590"/>
      <c r="AR365" s="563"/>
    </row>
    <row r="366" spans="1:44" s="544" customFormat="1" ht="12.75" customHeight="1">
      <c r="A366" s="596"/>
      <c r="B366" s="604"/>
      <c r="C366" s="2531" t="s">
        <v>1445</v>
      </c>
      <c r="D366" s="2531"/>
      <c r="E366" s="2531"/>
      <c r="F366" s="2531"/>
      <c r="G366" s="2531"/>
      <c r="H366" s="2531"/>
      <c r="I366" s="2531"/>
      <c r="J366" s="2531"/>
      <c r="K366" s="2531"/>
      <c r="L366" s="2531"/>
      <c r="M366" s="2531"/>
      <c r="N366" s="2531"/>
      <c r="O366" s="2531"/>
      <c r="P366" s="2531"/>
      <c r="Q366" s="2531"/>
      <c r="R366" s="2531"/>
      <c r="S366" s="2531"/>
      <c r="T366" s="2531"/>
      <c r="U366" s="2531"/>
      <c r="V366" s="2531"/>
      <c r="W366" s="2531"/>
      <c r="X366" s="2531"/>
      <c r="Y366" s="2531"/>
      <c r="Z366" s="2531"/>
      <c r="AA366" s="2531"/>
      <c r="AB366" s="2531"/>
      <c r="AC366" s="2531"/>
      <c r="AD366" s="2531"/>
      <c r="AE366" s="2531"/>
      <c r="AF366" s="2531"/>
      <c r="AG366" s="2531"/>
      <c r="AH366" s="2531"/>
      <c r="AI366" s="2531"/>
      <c r="AJ366" s="2531"/>
      <c r="AK366" s="596"/>
      <c r="AL366" s="596"/>
      <c r="AM366" s="596"/>
      <c r="AN366" s="590"/>
      <c r="AQ366" s="563"/>
      <c r="AR366" s="563"/>
    </row>
    <row r="367" spans="1:44" s="544" customFormat="1" ht="12.75" customHeight="1">
      <c r="A367" s="596"/>
      <c r="B367" s="604"/>
      <c r="C367" s="2531"/>
      <c r="D367" s="2531"/>
      <c r="E367" s="2531"/>
      <c r="F367" s="2531"/>
      <c r="G367" s="2531"/>
      <c r="H367" s="2531"/>
      <c r="I367" s="2531"/>
      <c r="J367" s="2531"/>
      <c r="K367" s="2531"/>
      <c r="L367" s="2531"/>
      <c r="M367" s="2531"/>
      <c r="N367" s="2531"/>
      <c r="O367" s="2531"/>
      <c r="P367" s="2531"/>
      <c r="Q367" s="2531"/>
      <c r="R367" s="2531"/>
      <c r="S367" s="2531"/>
      <c r="T367" s="2531"/>
      <c r="U367" s="2531"/>
      <c r="V367" s="2531"/>
      <c r="W367" s="2531"/>
      <c r="X367" s="2531"/>
      <c r="Y367" s="2531"/>
      <c r="Z367" s="2531"/>
      <c r="AA367" s="2531"/>
      <c r="AB367" s="2531"/>
      <c r="AC367" s="2531"/>
      <c r="AD367" s="2531"/>
      <c r="AE367" s="2531"/>
      <c r="AF367" s="2531"/>
      <c r="AG367" s="2531"/>
      <c r="AH367" s="2531"/>
      <c r="AI367" s="2531"/>
      <c r="AJ367" s="2531"/>
      <c r="AK367" s="596"/>
      <c r="AL367" s="596"/>
      <c r="AM367" s="596"/>
      <c r="AN367" s="590"/>
      <c r="AQ367" s="563"/>
      <c r="AR367" s="563"/>
    </row>
    <row r="368" spans="1:44" s="544" customFormat="1" ht="13.15" customHeight="1">
      <c r="A368" s="596"/>
      <c r="B368" s="604"/>
      <c r="C368" s="2531"/>
      <c r="D368" s="2531"/>
      <c r="E368" s="2531"/>
      <c r="F368" s="2531"/>
      <c r="G368" s="2531"/>
      <c r="H368" s="2531"/>
      <c r="I368" s="2531"/>
      <c r="J368" s="2531"/>
      <c r="K368" s="2531"/>
      <c r="L368" s="2531"/>
      <c r="M368" s="2531"/>
      <c r="N368" s="2531"/>
      <c r="O368" s="2531"/>
      <c r="P368" s="2531"/>
      <c r="Q368" s="2531"/>
      <c r="R368" s="2531"/>
      <c r="S368" s="2531"/>
      <c r="T368" s="2531"/>
      <c r="U368" s="2531"/>
      <c r="V368" s="2531"/>
      <c r="W368" s="2531"/>
      <c r="X368" s="2531"/>
      <c r="Y368" s="2531"/>
      <c r="Z368" s="2531"/>
      <c r="AA368" s="2531"/>
      <c r="AB368" s="2531"/>
      <c r="AC368" s="2531"/>
      <c r="AD368" s="2531"/>
      <c r="AE368" s="2531"/>
      <c r="AF368" s="2531"/>
      <c r="AG368" s="2531"/>
      <c r="AH368" s="2531"/>
      <c r="AI368" s="2531"/>
      <c r="AJ368" s="2531"/>
      <c r="AK368" s="596"/>
      <c r="AL368" s="596"/>
      <c r="AM368" s="596"/>
      <c r="AN368" s="590"/>
      <c r="AQ368" s="563"/>
      <c r="AR368" s="563"/>
    </row>
    <row r="369" spans="1:46" s="544" customFormat="1" ht="12.75" customHeight="1">
      <c r="A369" s="596"/>
      <c r="B369" s="604"/>
      <c r="C369" s="2531"/>
      <c r="D369" s="2531"/>
      <c r="E369" s="2531"/>
      <c r="F369" s="2531"/>
      <c r="G369" s="2531"/>
      <c r="H369" s="2531"/>
      <c r="I369" s="2531"/>
      <c r="J369" s="2531"/>
      <c r="K369" s="2531"/>
      <c r="L369" s="2531"/>
      <c r="M369" s="2531"/>
      <c r="N369" s="2531"/>
      <c r="O369" s="2531"/>
      <c r="P369" s="2531"/>
      <c r="Q369" s="2531"/>
      <c r="R369" s="2531"/>
      <c r="S369" s="2531"/>
      <c r="T369" s="2531"/>
      <c r="U369" s="2531"/>
      <c r="V369" s="2531"/>
      <c r="W369" s="2531"/>
      <c r="X369" s="2531"/>
      <c r="Y369" s="2531"/>
      <c r="Z369" s="2531"/>
      <c r="AA369" s="2531"/>
      <c r="AB369" s="2531"/>
      <c r="AC369" s="2531"/>
      <c r="AD369" s="2531"/>
      <c r="AE369" s="2531"/>
      <c r="AF369" s="2531"/>
      <c r="AG369" s="2531"/>
      <c r="AH369" s="2531"/>
      <c r="AI369" s="2531"/>
      <c r="AJ369" s="2531"/>
      <c r="AK369" s="596"/>
      <c r="AL369" s="596"/>
      <c r="AM369" s="596"/>
      <c r="AN369" s="590"/>
      <c r="AO369" s="685"/>
      <c r="AP369" s="685"/>
      <c r="AQ369" s="563"/>
    </row>
    <row r="370" spans="1:46" s="544" customFormat="1" ht="11.85" customHeight="1">
      <c r="A370" s="596"/>
      <c r="B370" s="604"/>
      <c r="C370" s="2531"/>
      <c r="D370" s="2531"/>
      <c r="E370" s="2531"/>
      <c r="F370" s="2531"/>
      <c r="G370" s="2531"/>
      <c r="H370" s="2531"/>
      <c r="I370" s="2531"/>
      <c r="J370" s="2531"/>
      <c r="K370" s="2531"/>
      <c r="L370" s="2531"/>
      <c r="M370" s="2531"/>
      <c r="N370" s="2531"/>
      <c r="O370" s="2531"/>
      <c r="P370" s="2531"/>
      <c r="Q370" s="2531"/>
      <c r="R370" s="2531"/>
      <c r="S370" s="2531"/>
      <c r="T370" s="2531"/>
      <c r="U370" s="2531"/>
      <c r="V370" s="2531"/>
      <c r="W370" s="2531"/>
      <c r="X370" s="2531"/>
      <c r="Y370" s="2531"/>
      <c r="Z370" s="2531"/>
      <c r="AA370" s="2531"/>
      <c r="AB370" s="2531"/>
      <c r="AC370" s="2531"/>
      <c r="AD370" s="2531"/>
      <c r="AE370" s="2531"/>
      <c r="AF370" s="2531"/>
      <c r="AG370" s="2531"/>
      <c r="AH370" s="2531"/>
      <c r="AI370" s="2531"/>
      <c r="AJ370" s="2531"/>
      <c r="AK370" s="596"/>
      <c r="AL370" s="596"/>
      <c r="AM370" s="596"/>
      <c r="AN370" s="590"/>
      <c r="AO370" s="686" t="s">
        <v>112</v>
      </c>
      <c r="AP370" s="687">
        <f>IF(C394="Yes",5,0)</f>
        <v>0</v>
      </c>
      <c r="AS370" s="535" t="s">
        <v>1446</v>
      </c>
    </row>
    <row r="371" spans="1:46" s="544" customFormat="1" ht="12.75" customHeight="1">
      <c r="A371" s="596"/>
      <c r="B371" s="604"/>
      <c r="C371" s="2531"/>
      <c r="D371" s="2531"/>
      <c r="E371" s="2531"/>
      <c r="F371" s="2531"/>
      <c r="G371" s="2531"/>
      <c r="H371" s="2531"/>
      <c r="I371" s="2531"/>
      <c r="J371" s="2531"/>
      <c r="K371" s="2531"/>
      <c r="L371" s="2531"/>
      <c r="M371" s="2531"/>
      <c r="N371" s="2531"/>
      <c r="O371" s="2531"/>
      <c r="P371" s="2531"/>
      <c r="Q371" s="2531"/>
      <c r="R371" s="2531"/>
      <c r="S371" s="2531"/>
      <c r="T371" s="2531"/>
      <c r="U371" s="2531"/>
      <c r="V371" s="2531"/>
      <c r="W371" s="2531"/>
      <c r="X371" s="2531"/>
      <c r="Y371" s="2531"/>
      <c r="Z371" s="2531"/>
      <c r="AA371" s="2531"/>
      <c r="AB371" s="2531"/>
      <c r="AC371" s="2531"/>
      <c r="AD371" s="2531"/>
      <c r="AE371" s="2531"/>
      <c r="AF371" s="2531"/>
      <c r="AG371" s="2531"/>
      <c r="AH371" s="2531"/>
      <c r="AI371" s="2531"/>
      <c r="AJ371" s="2531"/>
      <c r="AK371" s="596"/>
      <c r="AL371" s="596"/>
      <c r="AM371" s="596"/>
      <c r="AN371" s="590"/>
      <c r="AO371" s="686" t="s">
        <v>113</v>
      </c>
      <c r="AP371" s="687">
        <f>IF(C402="Yes",5,0)</f>
        <v>0</v>
      </c>
      <c r="AS371" s="2561">
        <f>IF(Application!D211="Non-Targeted",(SUM(AQ379+AQ388)),AS375)</f>
        <v>10</v>
      </c>
      <c r="AT371" s="2561"/>
    </row>
    <row r="372" spans="1:46" s="544" customFormat="1" ht="12.75" customHeight="1">
      <c r="A372" s="596"/>
      <c r="B372" s="604"/>
      <c r="C372" s="2531"/>
      <c r="D372" s="2531"/>
      <c r="E372" s="2531"/>
      <c r="F372" s="2531"/>
      <c r="G372" s="2531"/>
      <c r="H372" s="2531"/>
      <c r="I372" s="2531"/>
      <c r="J372" s="2531"/>
      <c r="K372" s="2531"/>
      <c r="L372" s="2531"/>
      <c r="M372" s="2531"/>
      <c r="N372" s="2531"/>
      <c r="O372" s="2531"/>
      <c r="P372" s="2531"/>
      <c r="Q372" s="2531"/>
      <c r="R372" s="2531"/>
      <c r="S372" s="2531"/>
      <c r="T372" s="2531"/>
      <c r="U372" s="2531"/>
      <c r="V372" s="2531"/>
      <c r="W372" s="2531"/>
      <c r="X372" s="2531"/>
      <c r="Y372" s="2531"/>
      <c r="Z372" s="2531"/>
      <c r="AA372" s="2531"/>
      <c r="AB372" s="2531"/>
      <c r="AC372" s="2531"/>
      <c r="AD372" s="2531"/>
      <c r="AE372" s="2531"/>
      <c r="AF372" s="2531"/>
      <c r="AG372" s="2531"/>
      <c r="AH372" s="2531"/>
      <c r="AI372" s="2531"/>
      <c r="AJ372" s="2531"/>
      <c r="AK372" s="596"/>
      <c r="AL372" s="596"/>
      <c r="AM372" s="596"/>
      <c r="AN372" s="590"/>
      <c r="AO372" s="686" t="s">
        <v>119</v>
      </c>
      <c r="AP372" s="687">
        <f>IF(C410="Yes",7,0)</f>
        <v>7</v>
      </c>
      <c r="AS372" s="535" t="s">
        <v>1447</v>
      </c>
    </row>
    <row r="373" spans="1:46" s="544" customFormat="1" ht="12.75" customHeight="1">
      <c r="B373" s="604"/>
      <c r="C373" s="2531"/>
      <c r="D373" s="2531"/>
      <c r="E373" s="2531"/>
      <c r="F373" s="2531"/>
      <c r="G373" s="2531"/>
      <c r="H373" s="2531"/>
      <c r="I373" s="2531"/>
      <c r="J373" s="2531"/>
      <c r="K373" s="2531"/>
      <c r="L373" s="2531"/>
      <c r="M373" s="2531"/>
      <c r="N373" s="2531"/>
      <c r="O373" s="2531"/>
      <c r="P373" s="2531"/>
      <c r="Q373" s="2531"/>
      <c r="R373" s="2531"/>
      <c r="S373" s="2531"/>
      <c r="T373" s="2531"/>
      <c r="U373" s="2531"/>
      <c r="V373" s="2531"/>
      <c r="W373" s="2531"/>
      <c r="X373" s="2531"/>
      <c r="Y373" s="2531"/>
      <c r="Z373" s="2531"/>
      <c r="AA373" s="2531"/>
      <c r="AB373" s="2531"/>
      <c r="AC373" s="2531"/>
      <c r="AD373" s="2531"/>
      <c r="AE373" s="2531"/>
      <c r="AF373" s="2531"/>
      <c r="AG373" s="2531"/>
      <c r="AH373" s="2531"/>
      <c r="AI373" s="2531"/>
      <c r="AJ373" s="2531"/>
      <c r="AK373" s="596"/>
      <c r="AL373" s="596"/>
      <c r="AM373" s="596"/>
      <c r="AN373" s="590"/>
      <c r="AO373" s="590"/>
      <c r="AP373" s="687">
        <f>IF(C412="Yes",5,0)</f>
        <v>0</v>
      </c>
      <c r="AS373" s="2561">
        <f>IF(AND(AQ379&gt;0,AQ388&gt;0),(AQ379+AQ388)/2,0)</f>
        <v>0</v>
      </c>
      <c r="AT373" s="2561"/>
    </row>
    <row r="374" spans="1:46" s="544" customFormat="1" ht="12.75" customHeight="1">
      <c r="A374" s="596"/>
      <c r="B374" s="604"/>
      <c r="C374" s="2531"/>
      <c r="D374" s="2531"/>
      <c r="E374" s="2531"/>
      <c r="F374" s="2531"/>
      <c r="G374" s="2531"/>
      <c r="H374" s="2531"/>
      <c r="I374" s="2531"/>
      <c r="J374" s="2531"/>
      <c r="K374" s="2531"/>
      <c r="L374" s="2531"/>
      <c r="M374" s="2531"/>
      <c r="N374" s="2531"/>
      <c r="O374" s="2531"/>
      <c r="P374" s="2531"/>
      <c r="Q374" s="2531"/>
      <c r="R374" s="2531"/>
      <c r="S374" s="2531"/>
      <c r="T374" s="2531"/>
      <c r="U374" s="2531"/>
      <c r="V374" s="2531"/>
      <c r="W374" s="2531"/>
      <c r="X374" s="2531"/>
      <c r="Y374" s="2531"/>
      <c r="Z374" s="2531"/>
      <c r="AA374" s="2531"/>
      <c r="AB374" s="2531"/>
      <c r="AC374" s="2531"/>
      <c r="AD374" s="2531"/>
      <c r="AE374" s="2531"/>
      <c r="AF374" s="2531"/>
      <c r="AG374" s="2531"/>
      <c r="AH374" s="2531"/>
      <c r="AI374" s="2531"/>
      <c r="AJ374" s="2531"/>
      <c r="AK374" s="596"/>
      <c r="AL374" s="596"/>
      <c r="AM374" s="596"/>
      <c r="AN374" s="590"/>
      <c r="AO374" s="686" t="s">
        <v>581</v>
      </c>
      <c r="AP374" s="687">
        <f>IF(C420="Yes",5,0)</f>
        <v>0</v>
      </c>
      <c r="AS374" s="535" t="s">
        <v>1847</v>
      </c>
    </row>
    <row r="375" spans="1:46" s="544" customFormat="1" ht="12.75" customHeight="1">
      <c r="A375" s="596"/>
      <c r="B375" s="604"/>
      <c r="C375" s="2562" t="s">
        <v>2180</v>
      </c>
      <c r="D375" s="2562"/>
      <c r="E375" s="2562"/>
      <c r="F375" s="2562"/>
      <c r="G375" s="2562"/>
      <c r="H375" s="2562"/>
      <c r="I375" s="2562"/>
      <c r="J375" s="2562"/>
      <c r="K375" s="2562"/>
      <c r="L375" s="2562"/>
      <c r="M375" s="2562"/>
      <c r="N375" s="2562"/>
      <c r="O375" s="2562"/>
      <c r="P375" s="2562"/>
      <c r="Q375" s="2562"/>
      <c r="R375" s="2562"/>
      <c r="S375" s="2562"/>
      <c r="T375" s="2562"/>
      <c r="U375" s="2562"/>
      <c r="V375" s="2562"/>
      <c r="W375" s="2562"/>
      <c r="X375" s="2562"/>
      <c r="Y375" s="2562"/>
      <c r="Z375" s="2562"/>
      <c r="AA375" s="2562"/>
      <c r="AB375" s="2562"/>
      <c r="AC375" s="2562"/>
      <c r="AD375" s="2562"/>
      <c r="AE375" s="2562"/>
      <c r="AF375" s="2562"/>
      <c r="AG375" s="2562"/>
      <c r="AH375" s="2562"/>
      <c r="AI375" s="2562"/>
      <c r="AJ375" s="2562"/>
      <c r="AK375" s="596"/>
      <c r="AL375" s="596"/>
      <c r="AM375" s="596"/>
      <c r="AN375" s="590"/>
      <c r="AO375" s="590"/>
      <c r="AP375" s="687">
        <f>IF(C422="Yes",3,0)</f>
        <v>3</v>
      </c>
      <c r="AS375" s="2561">
        <f>IF(AQ379=0,AQ388,AQ379)</f>
        <v>10</v>
      </c>
      <c r="AT375" s="2561"/>
    </row>
    <row r="376" spans="1:46" s="544" customFormat="1" ht="12.75" customHeight="1">
      <c r="A376" s="596"/>
      <c r="B376" s="604"/>
      <c r="C376" s="2562"/>
      <c r="D376" s="2562"/>
      <c r="E376" s="2562"/>
      <c r="F376" s="2562"/>
      <c r="G376" s="2562"/>
      <c r="H376" s="2562"/>
      <c r="I376" s="2562"/>
      <c r="J376" s="2562"/>
      <c r="K376" s="2562"/>
      <c r="L376" s="2562"/>
      <c r="M376" s="2562"/>
      <c r="N376" s="2562"/>
      <c r="O376" s="2562"/>
      <c r="P376" s="2562"/>
      <c r="Q376" s="2562"/>
      <c r="R376" s="2562"/>
      <c r="S376" s="2562"/>
      <c r="T376" s="2562"/>
      <c r="U376" s="2562"/>
      <c r="V376" s="2562"/>
      <c r="W376" s="2562"/>
      <c r="X376" s="2562"/>
      <c r="Y376" s="2562"/>
      <c r="Z376" s="2562"/>
      <c r="AA376" s="2562"/>
      <c r="AB376" s="2562"/>
      <c r="AC376" s="2562"/>
      <c r="AD376" s="2562"/>
      <c r="AE376" s="2562"/>
      <c r="AF376" s="2562"/>
      <c r="AG376" s="2562"/>
      <c r="AH376" s="2562"/>
      <c r="AI376" s="2562"/>
      <c r="AJ376" s="2562"/>
      <c r="AK376" s="596"/>
      <c r="AL376" s="596"/>
      <c r="AM376" s="596"/>
      <c r="AN376" s="590"/>
      <c r="AO376" s="686" t="s">
        <v>763</v>
      </c>
      <c r="AP376" s="687">
        <f>IF(C425="Yes",5,0)</f>
        <v>0</v>
      </c>
    </row>
    <row r="377" spans="1:46" s="544" customFormat="1" ht="12.75" customHeight="1">
      <c r="A377" s="596"/>
      <c r="B377" s="604"/>
      <c r="C377" s="2562"/>
      <c r="D377" s="2562"/>
      <c r="E377" s="2562"/>
      <c r="F377" s="2562"/>
      <c r="G377" s="2562"/>
      <c r="H377" s="2562"/>
      <c r="I377" s="2562"/>
      <c r="J377" s="2562"/>
      <c r="K377" s="2562"/>
      <c r="L377" s="2562"/>
      <c r="M377" s="2562"/>
      <c r="N377" s="2562"/>
      <c r="O377" s="2562"/>
      <c r="P377" s="2562"/>
      <c r="Q377" s="2562"/>
      <c r="R377" s="2562"/>
      <c r="S377" s="2562"/>
      <c r="T377" s="2562"/>
      <c r="U377" s="2562"/>
      <c r="V377" s="2562"/>
      <c r="W377" s="2562"/>
      <c r="X377" s="2562"/>
      <c r="Y377" s="2562"/>
      <c r="Z377" s="2562"/>
      <c r="AA377" s="2562"/>
      <c r="AB377" s="2562"/>
      <c r="AC377" s="2562"/>
      <c r="AD377" s="2562"/>
      <c r="AE377" s="2562"/>
      <c r="AF377" s="2562"/>
      <c r="AG377" s="2562"/>
      <c r="AH377" s="2562"/>
      <c r="AI377" s="2562"/>
      <c r="AJ377" s="2562"/>
      <c r="AK377" s="596"/>
      <c r="AL377" s="596"/>
      <c r="AM377" s="596"/>
      <c r="AN377" s="590"/>
      <c r="AO377" s="686" t="s">
        <v>584</v>
      </c>
      <c r="AP377" s="687">
        <f>IF(C434="Yes",5,0)</f>
        <v>0</v>
      </c>
    </row>
    <row r="378" spans="1:46" s="544" customFormat="1" ht="11.85" customHeight="1">
      <c r="A378" s="596"/>
      <c r="B378" s="604"/>
      <c r="C378" s="2562"/>
      <c r="D378" s="2562"/>
      <c r="E378" s="2562"/>
      <c r="F378" s="2562"/>
      <c r="G378" s="2562"/>
      <c r="H378" s="2562"/>
      <c r="I378" s="2562"/>
      <c r="J378" s="2562"/>
      <c r="K378" s="2562"/>
      <c r="L378" s="2562"/>
      <c r="M378" s="2562"/>
      <c r="N378" s="2562"/>
      <c r="O378" s="2562"/>
      <c r="P378" s="2562"/>
      <c r="Q378" s="2562"/>
      <c r="R378" s="2562"/>
      <c r="S378" s="2562"/>
      <c r="T378" s="2562"/>
      <c r="U378" s="2562"/>
      <c r="V378" s="2562"/>
      <c r="W378" s="2562"/>
      <c r="X378" s="2562"/>
      <c r="Y378" s="2562"/>
      <c r="Z378" s="2562"/>
      <c r="AA378" s="2562"/>
      <c r="AB378" s="2562"/>
      <c r="AC378" s="2562"/>
      <c r="AD378" s="2562"/>
      <c r="AE378" s="2562"/>
      <c r="AF378" s="2562"/>
      <c r="AG378" s="2562"/>
      <c r="AH378" s="2562"/>
      <c r="AI378" s="2562"/>
      <c r="AJ378" s="2562"/>
      <c r="AK378" s="596"/>
      <c r="AL378" s="596"/>
      <c r="AM378" s="596"/>
      <c r="AN378" s="590"/>
      <c r="AO378" s="688"/>
      <c r="AP378" s="689">
        <f>IF(C436="Yes",3,0)</f>
        <v>0</v>
      </c>
    </row>
    <row r="379" spans="1:46" s="544" customFormat="1" ht="12.4" customHeight="1">
      <c r="A379" s="596"/>
      <c r="B379" s="604"/>
      <c r="C379" s="2562"/>
      <c r="D379" s="2562"/>
      <c r="E379" s="2562"/>
      <c r="F379" s="2562"/>
      <c r="G379" s="2562"/>
      <c r="H379" s="2562"/>
      <c r="I379" s="2562"/>
      <c r="J379" s="2562"/>
      <c r="K379" s="2562"/>
      <c r="L379" s="2562"/>
      <c r="M379" s="2562"/>
      <c r="N379" s="2562"/>
      <c r="O379" s="2562"/>
      <c r="P379" s="2562"/>
      <c r="Q379" s="2562"/>
      <c r="R379" s="2562"/>
      <c r="S379" s="2562"/>
      <c r="T379" s="2562"/>
      <c r="U379" s="2562"/>
      <c r="V379" s="2562"/>
      <c r="W379" s="2562"/>
      <c r="X379" s="2562"/>
      <c r="Y379" s="2562"/>
      <c r="Z379" s="2562"/>
      <c r="AA379" s="2562"/>
      <c r="AB379" s="2562"/>
      <c r="AC379" s="2562"/>
      <c r="AD379" s="2562"/>
      <c r="AE379" s="2562"/>
      <c r="AF379" s="2562"/>
      <c r="AG379" s="2562"/>
      <c r="AH379" s="2562"/>
      <c r="AI379" s="2562"/>
      <c r="AJ379" s="2562"/>
      <c r="AK379" s="596"/>
      <c r="AL379" s="596"/>
      <c r="AM379" s="596"/>
      <c r="AN379" s="590"/>
      <c r="AO379" s="690" t="s">
        <v>227</v>
      </c>
      <c r="AP379" s="691">
        <f>SUM(AP370:AP378)</f>
        <v>10</v>
      </c>
      <c r="AQ379" s="2563">
        <f>IF(AP379&gt;0,AP379,0)</f>
        <v>10</v>
      </c>
      <c r="AR379" s="2563"/>
    </row>
    <row r="380" spans="1:46" s="544" customFormat="1" ht="12.75" customHeight="1">
      <c r="A380" s="596"/>
      <c r="B380" s="604"/>
      <c r="C380" s="2562"/>
      <c r="D380" s="2562"/>
      <c r="E380" s="2562"/>
      <c r="F380" s="2562"/>
      <c r="G380" s="2562"/>
      <c r="H380" s="2562"/>
      <c r="I380" s="2562"/>
      <c r="J380" s="2562"/>
      <c r="K380" s="2562"/>
      <c r="L380" s="2562"/>
      <c r="M380" s="2562"/>
      <c r="N380" s="2562"/>
      <c r="O380" s="2562"/>
      <c r="P380" s="2562"/>
      <c r="Q380" s="2562"/>
      <c r="R380" s="2562"/>
      <c r="S380" s="2562"/>
      <c r="T380" s="2562"/>
      <c r="U380" s="2562"/>
      <c r="V380" s="2562"/>
      <c r="W380" s="2562"/>
      <c r="X380" s="2562"/>
      <c r="Y380" s="2562"/>
      <c r="Z380" s="2562"/>
      <c r="AA380" s="2562"/>
      <c r="AB380" s="2562"/>
      <c r="AC380" s="2562"/>
      <c r="AD380" s="2562"/>
      <c r="AE380" s="2562"/>
      <c r="AF380" s="2562"/>
      <c r="AG380" s="2562"/>
      <c r="AH380" s="2562"/>
      <c r="AI380" s="2562"/>
      <c r="AJ380" s="2562"/>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31" t="s">
        <v>1448</v>
      </c>
      <c r="D382" s="2531"/>
      <c r="E382" s="2531"/>
      <c r="F382" s="2531"/>
      <c r="G382" s="2531"/>
      <c r="H382" s="2531"/>
      <c r="I382" s="2531"/>
      <c r="J382" s="2531"/>
      <c r="K382" s="2531"/>
      <c r="L382" s="2531"/>
      <c r="M382" s="2531"/>
      <c r="N382" s="2531"/>
      <c r="O382" s="2531"/>
      <c r="P382" s="2531"/>
      <c r="Q382" s="2531"/>
      <c r="R382" s="2531"/>
      <c r="S382" s="2531"/>
      <c r="T382" s="2531"/>
      <c r="U382" s="2531"/>
      <c r="V382" s="2531"/>
      <c r="W382" s="2531"/>
      <c r="X382" s="2531"/>
      <c r="Y382" s="2531"/>
      <c r="Z382" s="2531"/>
      <c r="AA382" s="2531"/>
      <c r="AB382" s="2531"/>
      <c r="AC382" s="2531"/>
      <c r="AD382" s="2531"/>
      <c r="AE382" s="2531"/>
      <c r="AF382" s="2531"/>
      <c r="AG382" s="2531"/>
      <c r="AH382" s="2531"/>
      <c r="AI382" s="2531"/>
      <c r="AJ382" s="2531"/>
      <c r="AK382" s="596"/>
      <c r="AL382" s="596"/>
      <c r="AM382" s="596"/>
      <c r="AN382" s="590"/>
      <c r="AO382" s="686" t="s">
        <v>456</v>
      </c>
      <c r="AP382" s="687">
        <f>IF(C455="Yes",5,0)</f>
        <v>0</v>
      </c>
    </row>
    <row r="383" spans="1:46" s="544" customFormat="1" ht="12.75" customHeight="1">
      <c r="A383" s="596"/>
      <c r="B383" s="604"/>
      <c r="C383" s="2531"/>
      <c r="D383" s="2531"/>
      <c r="E383" s="2531"/>
      <c r="F383" s="2531"/>
      <c r="G383" s="2531"/>
      <c r="H383" s="2531"/>
      <c r="I383" s="2531"/>
      <c r="J383" s="2531"/>
      <c r="K383" s="2531"/>
      <c r="L383" s="2531"/>
      <c r="M383" s="2531"/>
      <c r="N383" s="2531"/>
      <c r="O383" s="2531"/>
      <c r="P383" s="2531"/>
      <c r="Q383" s="2531"/>
      <c r="R383" s="2531"/>
      <c r="S383" s="2531"/>
      <c r="T383" s="2531"/>
      <c r="U383" s="2531"/>
      <c r="V383" s="2531"/>
      <c r="W383" s="2531"/>
      <c r="X383" s="2531"/>
      <c r="Y383" s="2531"/>
      <c r="Z383" s="2531"/>
      <c r="AA383" s="2531"/>
      <c r="AB383" s="2531"/>
      <c r="AC383" s="2531"/>
      <c r="AD383" s="2531"/>
      <c r="AE383" s="2531"/>
      <c r="AF383" s="2531"/>
      <c r="AG383" s="2531"/>
      <c r="AH383" s="2531"/>
      <c r="AI383" s="2531"/>
      <c r="AJ383" s="2531"/>
      <c r="AK383" s="596"/>
      <c r="AL383" s="596"/>
      <c r="AM383" s="596"/>
      <c r="AN383" s="590"/>
      <c r="AO383" s="686" t="s">
        <v>461</v>
      </c>
      <c r="AP383" s="687">
        <f>IF(C462="Yes",5,0)</f>
        <v>0</v>
      </c>
    </row>
    <row r="384" spans="1:46" s="544" customFormat="1" ht="68.099999999999994" customHeight="1">
      <c r="A384" s="596"/>
      <c r="B384" s="604"/>
      <c r="C384" s="2531"/>
      <c r="D384" s="2531"/>
      <c r="E384" s="2531"/>
      <c r="F384" s="2531"/>
      <c r="G384" s="2531"/>
      <c r="H384" s="2531"/>
      <c r="I384" s="2531"/>
      <c r="J384" s="2531"/>
      <c r="K384" s="2531"/>
      <c r="L384" s="2531"/>
      <c r="M384" s="2531"/>
      <c r="N384" s="2531"/>
      <c r="O384" s="2531"/>
      <c r="P384" s="2531"/>
      <c r="Q384" s="2531"/>
      <c r="R384" s="2531"/>
      <c r="S384" s="2531"/>
      <c r="T384" s="2531"/>
      <c r="U384" s="2531"/>
      <c r="V384" s="2531"/>
      <c r="W384" s="2531"/>
      <c r="X384" s="2531"/>
      <c r="Y384" s="2531"/>
      <c r="Z384" s="2531"/>
      <c r="AA384" s="2531"/>
      <c r="AB384" s="2531"/>
      <c r="AC384" s="2531"/>
      <c r="AD384" s="2531"/>
      <c r="AE384" s="2531"/>
      <c r="AF384" s="2531"/>
      <c r="AG384" s="2531"/>
      <c r="AH384" s="2531"/>
      <c r="AI384" s="2531"/>
      <c r="AJ384" s="2531"/>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627">
        <f>Application!DU810-U387</f>
        <v>136</v>
      </c>
      <c r="V386" s="2627"/>
      <c r="W386" s="2627"/>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628">
        <f>IF(Application!D211="SRO",Application!DU763,Application!AG764)</f>
        <v>0</v>
      </c>
      <c r="V387" s="2628"/>
      <c r="W387" s="2628"/>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3">
        <f>IF(AP388&gt;0,AP388,0)</f>
        <v>0</v>
      </c>
      <c r="AR388" s="2563"/>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35" t="s">
        <v>1450</v>
      </c>
      <c r="G390" s="2535"/>
      <c r="H390" s="2535"/>
      <c r="I390" s="2535"/>
      <c r="J390" s="2535"/>
      <c r="K390" s="2535"/>
      <c r="L390" s="2535"/>
      <c r="M390" s="2535"/>
      <c r="N390" s="2535"/>
      <c r="O390" s="2535"/>
      <c r="P390" s="2535"/>
      <c r="Q390" s="2535"/>
      <c r="R390" s="2535"/>
      <c r="S390" s="2535"/>
      <c r="T390" s="2535"/>
      <c r="U390" s="2535"/>
      <c r="V390" s="2535"/>
      <c r="W390" s="2535"/>
      <c r="X390" s="2535"/>
      <c r="Y390" s="2535"/>
      <c r="Z390" s="2535"/>
      <c r="AA390" s="2535"/>
      <c r="AB390" s="2535"/>
      <c r="AC390" s="2535"/>
      <c r="AD390" s="2535"/>
      <c r="AE390" s="2535"/>
      <c r="AF390" s="2535"/>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8"/>
      <c r="G391" s="2408"/>
      <c r="H391" s="2408"/>
      <c r="I391" s="2408"/>
      <c r="J391" s="2408"/>
      <c r="K391" s="2408"/>
      <c r="L391" s="2408"/>
      <c r="M391" s="2408"/>
      <c r="N391" s="2408"/>
      <c r="O391" s="2408"/>
      <c r="P391" s="2408"/>
      <c r="Q391" s="2408"/>
      <c r="R391" s="2408"/>
      <c r="S391" s="2408"/>
      <c r="T391" s="2408"/>
      <c r="U391" s="2408"/>
      <c r="V391" s="2408"/>
      <c r="W391" s="2408"/>
      <c r="X391" s="2408"/>
      <c r="Y391" s="2408"/>
      <c r="Z391" s="2408"/>
      <c r="AA391" s="2408"/>
      <c r="AB391" s="2408"/>
      <c r="AC391" s="2408"/>
      <c r="AD391" s="2408"/>
      <c r="AE391" s="2408"/>
      <c r="AF391" s="240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8"/>
      <c r="G392" s="2408"/>
      <c r="H392" s="2408"/>
      <c r="I392" s="2408"/>
      <c r="J392" s="2408"/>
      <c r="K392" s="2408"/>
      <c r="L392" s="2408"/>
      <c r="M392" s="2408"/>
      <c r="N392" s="2408"/>
      <c r="O392" s="2408"/>
      <c r="P392" s="2408"/>
      <c r="Q392" s="2408"/>
      <c r="R392" s="2408"/>
      <c r="S392" s="2408"/>
      <c r="T392" s="2408"/>
      <c r="U392" s="2408"/>
      <c r="V392" s="2408"/>
      <c r="W392" s="2408"/>
      <c r="X392" s="2408"/>
      <c r="Y392" s="2408"/>
      <c r="Z392" s="2408"/>
      <c r="AA392" s="2408"/>
      <c r="AB392" s="2408"/>
      <c r="AC392" s="2408"/>
      <c r="AD392" s="2408"/>
      <c r="AE392" s="2408"/>
      <c r="AF392" s="240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8"/>
      <c r="G393" s="2408"/>
      <c r="H393" s="2408"/>
      <c r="I393" s="2408"/>
      <c r="J393" s="2408"/>
      <c r="K393" s="2408"/>
      <c r="L393" s="2408"/>
      <c r="M393" s="2408"/>
      <c r="N393" s="2408"/>
      <c r="O393" s="2408"/>
      <c r="P393" s="2408"/>
      <c r="Q393" s="2408"/>
      <c r="R393" s="2408"/>
      <c r="S393" s="2408"/>
      <c r="T393" s="2408"/>
      <c r="U393" s="2408"/>
      <c r="V393" s="2408"/>
      <c r="W393" s="2408"/>
      <c r="X393" s="2408"/>
      <c r="Y393" s="2408"/>
      <c r="Z393" s="2408"/>
      <c r="AA393" s="2408"/>
      <c r="AB393" s="2408"/>
      <c r="AC393" s="2408"/>
      <c r="AD393" s="2408"/>
      <c r="AE393" s="2408"/>
      <c r="AF393" s="240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2" t="s">
        <v>591</v>
      </c>
      <c r="D394" s="2492"/>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3" t="s">
        <v>1452</v>
      </c>
      <c r="AG394" s="2533"/>
      <c r="AH394" s="2533"/>
      <c r="AI394" s="2533"/>
      <c r="AJ394" s="2533"/>
      <c r="AK394" s="2533"/>
      <c r="AL394" s="253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35" t="s">
        <v>1453</v>
      </c>
      <c r="G397" s="2535"/>
      <c r="H397" s="2535"/>
      <c r="I397" s="2535"/>
      <c r="J397" s="2535"/>
      <c r="K397" s="2535"/>
      <c r="L397" s="2535"/>
      <c r="M397" s="2535"/>
      <c r="N397" s="2535"/>
      <c r="O397" s="2535"/>
      <c r="P397" s="2535"/>
      <c r="Q397" s="2535"/>
      <c r="R397" s="2535"/>
      <c r="S397" s="2535"/>
      <c r="T397" s="2535"/>
      <c r="U397" s="2535"/>
      <c r="V397" s="2535"/>
      <c r="W397" s="2535"/>
      <c r="X397" s="2535"/>
      <c r="Y397" s="2535"/>
      <c r="Z397" s="2535"/>
      <c r="AA397" s="2535"/>
      <c r="AB397" s="2535"/>
      <c r="AC397" s="2535"/>
      <c r="AD397" s="2535"/>
      <c r="AE397" s="2535"/>
      <c r="AF397" s="2535"/>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8"/>
      <c r="G398" s="2408"/>
      <c r="H398" s="2408"/>
      <c r="I398" s="2408"/>
      <c r="J398" s="2408"/>
      <c r="K398" s="2408"/>
      <c r="L398" s="2408"/>
      <c r="M398" s="2408"/>
      <c r="N398" s="2408"/>
      <c r="O398" s="2408"/>
      <c r="P398" s="2408"/>
      <c r="Q398" s="2408"/>
      <c r="R398" s="2408"/>
      <c r="S398" s="2408"/>
      <c r="T398" s="2408"/>
      <c r="U398" s="2408"/>
      <c r="V398" s="2408"/>
      <c r="W398" s="2408"/>
      <c r="X398" s="2408"/>
      <c r="Y398" s="2408"/>
      <c r="Z398" s="2408"/>
      <c r="AA398" s="2408"/>
      <c r="AB398" s="2408"/>
      <c r="AC398" s="2408"/>
      <c r="AD398" s="2408"/>
      <c r="AE398" s="2408"/>
      <c r="AF398" s="240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8"/>
      <c r="G399" s="2408"/>
      <c r="H399" s="2408"/>
      <c r="I399" s="2408"/>
      <c r="J399" s="2408"/>
      <c r="K399" s="2408"/>
      <c r="L399" s="2408"/>
      <c r="M399" s="2408"/>
      <c r="N399" s="2408"/>
      <c r="O399" s="2408"/>
      <c r="P399" s="2408"/>
      <c r="Q399" s="2408"/>
      <c r="R399" s="2408"/>
      <c r="S399" s="2408"/>
      <c r="T399" s="2408"/>
      <c r="U399" s="2408"/>
      <c r="V399" s="2408"/>
      <c r="W399" s="2408"/>
      <c r="X399" s="2408"/>
      <c r="Y399" s="2408"/>
      <c r="Z399" s="2408"/>
      <c r="AA399" s="2408"/>
      <c r="AB399" s="2408"/>
      <c r="AC399" s="2408"/>
      <c r="AD399" s="2408"/>
      <c r="AE399" s="2408"/>
      <c r="AF399" s="240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8"/>
      <c r="G400" s="2408"/>
      <c r="H400" s="2408"/>
      <c r="I400" s="2408"/>
      <c r="J400" s="2408"/>
      <c r="K400" s="2408"/>
      <c r="L400" s="2408"/>
      <c r="M400" s="2408"/>
      <c r="N400" s="2408"/>
      <c r="O400" s="2408"/>
      <c r="P400" s="2408"/>
      <c r="Q400" s="2408"/>
      <c r="R400" s="2408"/>
      <c r="S400" s="2408"/>
      <c r="T400" s="2408"/>
      <c r="U400" s="2408"/>
      <c r="V400" s="2408"/>
      <c r="W400" s="2408"/>
      <c r="X400" s="2408"/>
      <c r="Y400" s="2408"/>
      <c r="Z400" s="2408"/>
      <c r="AA400" s="2408"/>
      <c r="AB400" s="2408"/>
      <c r="AC400" s="2408"/>
      <c r="AD400" s="2408"/>
      <c r="AE400" s="2408"/>
      <c r="AF400" s="240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8"/>
      <c r="G401" s="2408"/>
      <c r="H401" s="2408"/>
      <c r="I401" s="2408"/>
      <c r="J401" s="2408"/>
      <c r="K401" s="2408"/>
      <c r="L401" s="2408"/>
      <c r="M401" s="2408"/>
      <c r="N401" s="2408"/>
      <c r="O401" s="2408"/>
      <c r="P401" s="2408"/>
      <c r="Q401" s="2408"/>
      <c r="R401" s="2408"/>
      <c r="S401" s="2408"/>
      <c r="T401" s="2408"/>
      <c r="U401" s="2408"/>
      <c r="V401" s="2408"/>
      <c r="W401" s="2408"/>
      <c r="X401" s="2408"/>
      <c r="Y401" s="2408"/>
      <c r="Z401" s="2408"/>
      <c r="AA401" s="2408"/>
      <c r="AB401" s="2408"/>
      <c r="AC401" s="2408"/>
      <c r="AD401" s="2408"/>
      <c r="AE401" s="2408"/>
      <c r="AF401" s="2408"/>
      <c r="AL401" s="723"/>
      <c r="AN401" s="590"/>
      <c r="BS401" s="30"/>
      <c r="BT401" s="30"/>
      <c r="BU401" s="14"/>
      <c r="BV401" s="14"/>
      <c r="BW401" s="14"/>
      <c r="BX401" s="14"/>
      <c r="BY401" s="14"/>
      <c r="BZ401" s="14"/>
      <c r="CA401" s="14"/>
      <c r="CB401" s="14"/>
      <c r="CC401" s="14"/>
    </row>
    <row r="402" spans="1:81" s="544" customFormat="1" ht="12.75" customHeight="1">
      <c r="A402" s="532"/>
      <c r="B402" s="14"/>
      <c r="C402" s="2532" t="s">
        <v>591</v>
      </c>
      <c r="D402" s="2492"/>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3" t="s">
        <v>1452</v>
      </c>
      <c r="AG402" s="2533"/>
      <c r="AH402" s="2533"/>
      <c r="AI402" s="2533"/>
      <c r="AJ402" s="2533"/>
      <c r="AK402" s="2533"/>
      <c r="AL402" s="253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35" t="s">
        <v>1455</v>
      </c>
      <c r="G405" s="2535"/>
      <c r="H405" s="2535"/>
      <c r="I405" s="2535"/>
      <c r="J405" s="2535"/>
      <c r="K405" s="2535"/>
      <c r="L405" s="2535"/>
      <c r="M405" s="2535"/>
      <c r="N405" s="2535"/>
      <c r="O405" s="2535"/>
      <c r="P405" s="2535"/>
      <c r="Q405" s="2535"/>
      <c r="R405" s="2535"/>
      <c r="S405" s="2535"/>
      <c r="T405" s="2535"/>
      <c r="U405" s="2535"/>
      <c r="V405" s="2535"/>
      <c r="W405" s="2535"/>
      <c r="X405" s="2535"/>
      <c r="Y405" s="2535"/>
      <c r="Z405" s="2535"/>
      <c r="AA405" s="2535"/>
      <c r="AB405" s="2535"/>
      <c r="AC405" s="2535"/>
      <c r="AD405" s="2535"/>
      <c r="AE405" s="2535"/>
      <c r="AF405" s="2535"/>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8"/>
      <c r="G406" s="2408"/>
      <c r="H406" s="2408"/>
      <c r="I406" s="2408"/>
      <c r="J406" s="2408"/>
      <c r="K406" s="2408"/>
      <c r="L406" s="2408"/>
      <c r="M406" s="2408"/>
      <c r="N406" s="2408"/>
      <c r="O406" s="2408"/>
      <c r="P406" s="2408"/>
      <c r="Q406" s="2408"/>
      <c r="R406" s="2408"/>
      <c r="S406" s="2408"/>
      <c r="T406" s="2408"/>
      <c r="U406" s="2408"/>
      <c r="V406" s="2408"/>
      <c r="W406" s="2408"/>
      <c r="X406" s="2408"/>
      <c r="Y406" s="2408"/>
      <c r="Z406" s="2408"/>
      <c r="AA406" s="2408"/>
      <c r="AB406" s="2408"/>
      <c r="AC406" s="2408"/>
      <c r="AD406" s="2408"/>
      <c r="AE406" s="2408"/>
      <c r="AF406" s="240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8"/>
      <c r="G407" s="2408"/>
      <c r="H407" s="2408"/>
      <c r="I407" s="2408"/>
      <c r="J407" s="2408"/>
      <c r="K407" s="2408"/>
      <c r="L407" s="2408"/>
      <c r="M407" s="2408"/>
      <c r="N407" s="2408"/>
      <c r="O407" s="2408"/>
      <c r="P407" s="2408"/>
      <c r="Q407" s="2408"/>
      <c r="R407" s="2408"/>
      <c r="S407" s="2408"/>
      <c r="T407" s="2408"/>
      <c r="U407" s="2408"/>
      <c r="V407" s="2408"/>
      <c r="W407" s="2408"/>
      <c r="X407" s="2408"/>
      <c r="Y407" s="2408"/>
      <c r="Z407" s="2408"/>
      <c r="AA407" s="2408"/>
      <c r="AB407" s="2408"/>
      <c r="AC407" s="2408"/>
      <c r="AD407" s="2408"/>
      <c r="AE407" s="2408"/>
      <c r="AF407" s="240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8"/>
      <c r="G408" s="2408"/>
      <c r="H408" s="2408"/>
      <c r="I408" s="2408"/>
      <c r="J408" s="2408"/>
      <c r="K408" s="2408"/>
      <c r="L408" s="2408"/>
      <c r="M408" s="2408"/>
      <c r="N408" s="2408"/>
      <c r="O408" s="2408"/>
      <c r="P408" s="2408"/>
      <c r="Q408" s="2408"/>
      <c r="R408" s="2408"/>
      <c r="S408" s="2408"/>
      <c r="T408" s="2408"/>
      <c r="U408" s="2408"/>
      <c r="V408" s="2408"/>
      <c r="W408" s="2408"/>
      <c r="X408" s="2408"/>
      <c r="Y408" s="2408"/>
      <c r="Z408" s="2408"/>
      <c r="AA408" s="2408"/>
      <c r="AB408" s="2408"/>
      <c r="AC408" s="2408"/>
      <c r="AD408" s="2408"/>
      <c r="AE408" s="2408"/>
      <c r="AF408" s="240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8"/>
      <c r="G409" s="2408"/>
      <c r="H409" s="2408"/>
      <c r="I409" s="2408"/>
      <c r="J409" s="2408"/>
      <c r="K409" s="2408"/>
      <c r="L409" s="2408"/>
      <c r="M409" s="2408"/>
      <c r="N409" s="2408"/>
      <c r="O409" s="2408"/>
      <c r="P409" s="2408"/>
      <c r="Q409" s="2408"/>
      <c r="R409" s="2408"/>
      <c r="S409" s="2408"/>
      <c r="T409" s="2408"/>
      <c r="U409" s="2408"/>
      <c r="V409" s="2408"/>
      <c r="W409" s="2408"/>
      <c r="X409" s="2408"/>
      <c r="Y409" s="2408"/>
      <c r="Z409" s="2408"/>
      <c r="AA409" s="2408"/>
      <c r="AB409" s="2408"/>
      <c r="AC409" s="2408"/>
      <c r="AD409" s="2408"/>
      <c r="AE409" s="2408"/>
      <c r="AF409" s="240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2" t="s">
        <v>545</v>
      </c>
      <c r="D410" s="2492"/>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3" t="s">
        <v>1457</v>
      </c>
      <c r="AG410" s="2533"/>
      <c r="AH410" s="2533"/>
      <c r="AI410" s="2533"/>
      <c r="AJ410" s="2533"/>
      <c r="AK410" s="2533"/>
      <c r="AL410" s="253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2" t="s">
        <v>591</v>
      </c>
      <c r="D412" s="2492"/>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3" t="s">
        <v>1452</v>
      </c>
      <c r="AG412" s="2533"/>
      <c r="AH412" s="2533"/>
      <c r="AI412" s="2533"/>
      <c r="AJ412" s="2533"/>
      <c r="AK412" s="2533"/>
      <c r="AL412" s="253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35" t="s">
        <v>1461</v>
      </c>
      <c r="G416" s="2535"/>
      <c r="H416" s="2535"/>
      <c r="I416" s="2535"/>
      <c r="J416" s="2535"/>
      <c r="K416" s="2535"/>
      <c r="L416" s="2535"/>
      <c r="M416" s="2535"/>
      <c r="N416" s="2535"/>
      <c r="O416" s="2535"/>
      <c r="P416" s="2535"/>
      <c r="Q416" s="2535"/>
      <c r="R416" s="2535"/>
      <c r="S416" s="2535"/>
      <c r="T416" s="2535"/>
      <c r="U416" s="2535"/>
      <c r="V416" s="2535"/>
      <c r="W416" s="2535"/>
      <c r="X416" s="2535"/>
      <c r="Y416" s="2535"/>
      <c r="Z416" s="2535"/>
      <c r="AA416" s="2535"/>
      <c r="AB416" s="2535"/>
      <c r="AC416" s="2535"/>
      <c r="AD416" s="2535"/>
      <c r="AE416" s="2535"/>
      <c r="AF416" s="2535"/>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8"/>
      <c r="G417" s="2408"/>
      <c r="H417" s="2408"/>
      <c r="I417" s="2408"/>
      <c r="J417" s="2408"/>
      <c r="K417" s="2408"/>
      <c r="L417" s="2408"/>
      <c r="M417" s="2408"/>
      <c r="N417" s="2408"/>
      <c r="O417" s="2408"/>
      <c r="P417" s="2408"/>
      <c r="Q417" s="2408"/>
      <c r="R417" s="2408"/>
      <c r="S417" s="2408"/>
      <c r="T417" s="2408"/>
      <c r="U417" s="2408"/>
      <c r="V417" s="2408"/>
      <c r="W417" s="2408"/>
      <c r="X417" s="2408"/>
      <c r="Y417" s="2408"/>
      <c r="Z417" s="2408"/>
      <c r="AA417" s="2408"/>
      <c r="AB417" s="2408"/>
      <c r="AC417" s="2408"/>
      <c r="AD417" s="2408"/>
      <c r="AE417" s="2408"/>
      <c r="AF417" s="240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8"/>
      <c r="G418" s="2408"/>
      <c r="H418" s="2408"/>
      <c r="I418" s="2408"/>
      <c r="J418" s="2408"/>
      <c r="K418" s="2408"/>
      <c r="L418" s="2408"/>
      <c r="M418" s="2408"/>
      <c r="N418" s="2408"/>
      <c r="O418" s="2408"/>
      <c r="P418" s="2408"/>
      <c r="Q418" s="2408"/>
      <c r="R418" s="2408"/>
      <c r="S418" s="2408"/>
      <c r="T418" s="2408"/>
      <c r="U418" s="2408"/>
      <c r="V418" s="2408"/>
      <c r="W418" s="2408"/>
      <c r="X418" s="2408"/>
      <c r="Y418" s="2408"/>
      <c r="Z418" s="2408"/>
      <c r="AA418" s="2408"/>
      <c r="AB418" s="2408"/>
      <c r="AC418" s="2408"/>
      <c r="AD418" s="2408"/>
      <c r="AE418" s="2408"/>
      <c r="AF418" s="240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8"/>
      <c r="G419" s="2408"/>
      <c r="H419" s="2408"/>
      <c r="I419" s="2408"/>
      <c r="J419" s="2408"/>
      <c r="K419" s="2408"/>
      <c r="L419" s="2408"/>
      <c r="M419" s="2408"/>
      <c r="N419" s="2408"/>
      <c r="O419" s="2408"/>
      <c r="P419" s="2408"/>
      <c r="Q419" s="2408"/>
      <c r="R419" s="2408"/>
      <c r="S419" s="2408"/>
      <c r="T419" s="2408"/>
      <c r="U419" s="2408"/>
      <c r="V419" s="2408"/>
      <c r="W419" s="2408"/>
      <c r="X419" s="2408"/>
      <c r="Y419" s="2408"/>
      <c r="Z419" s="2408"/>
      <c r="AA419" s="2408"/>
      <c r="AB419" s="2408"/>
      <c r="AC419" s="2408"/>
      <c r="AD419" s="2408"/>
      <c r="AE419" s="2408"/>
      <c r="AF419" s="240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2" t="s">
        <v>591</v>
      </c>
      <c r="D420" s="2492"/>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3" t="s">
        <v>1452</v>
      </c>
      <c r="AG420" s="2533"/>
      <c r="AH420" s="2533"/>
      <c r="AI420" s="2533"/>
      <c r="AJ420" s="2533"/>
      <c r="AK420" s="2533"/>
      <c r="AL420" s="253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2" t="s">
        <v>545</v>
      </c>
      <c r="D422" s="2492"/>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3" t="s">
        <v>1464</v>
      </c>
      <c r="AG422" s="2533"/>
      <c r="AH422" s="2533"/>
      <c r="AI422" s="2533"/>
      <c r="AJ422" s="2533"/>
      <c r="AK422" s="2533"/>
      <c r="AL422" s="253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2" t="s">
        <v>591</v>
      </c>
      <c r="D425" s="2492"/>
      <c r="E425" s="706" t="s">
        <v>1465</v>
      </c>
      <c r="F425" s="2535" t="s">
        <v>1466</v>
      </c>
      <c r="G425" s="2535"/>
      <c r="H425" s="2535"/>
      <c r="I425" s="2535"/>
      <c r="J425" s="2535"/>
      <c r="K425" s="2535"/>
      <c r="L425" s="2535"/>
      <c r="M425" s="2535"/>
      <c r="N425" s="2535"/>
      <c r="O425" s="2535"/>
      <c r="P425" s="2535"/>
      <c r="Q425" s="2535"/>
      <c r="R425" s="2535"/>
      <c r="S425" s="2535"/>
      <c r="T425" s="2535"/>
      <c r="U425" s="2535"/>
      <c r="V425" s="2535"/>
      <c r="W425" s="2535"/>
      <c r="X425" s="2535"/>
      <c r="Y425" s="2535"/>
      <c r="Z425" s="2535"/>
      <c r="AA425" s="2535"/>
      <c r="AB425" s="2535"/>
      <c r="AC425" s="2535"/>
      <c r="AD425" s="2535"/>
      <c r="AE425" s="2535"/>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8"/>
      <c r="G426" s="2408"/>
      <c r="H426" s="2408"/>
      <c r="I426" s="2408"/>
      <c r="J426" s="2408"/>
      <c r="K426" s="2408"/>
      <c r="L426" s="2408"/>
      <c r="M426" s="2408"/>
      <c r="N426" s="2408"/>
      <c r="O426" s="2408"/>
      <c r="P426" s="2408"/>
      <c r="Q426" s="2408"/>
      <c r="R426" s="2408"/>
      <c r="S426" s="2408"/>
      <c r="T426" s="2408"/>
      <c r="U426" s="2408"/>
      <c r="V426" s="2408"/>
      <c r="W426" s="2408"/>
      <c r="X426" s="2408"/>
      <c r="Y426" s="2408"/>
      <c r="Z426" s="2408"/>
      <c r="AA426" s="2408"/>
      <c r="AB426" s="2408"/>
      <c r="AC426" s="2408"/>
      <c r="AD426" s="2408"/>
      <c r="AE426" s="2408"/>
      <c r="AF426" s="2470" t="s">
        <v>1452</v>
      </c>
      <c r="AG426" s="2470"/>
      <c r="AH426" s="2470"/>
      <c r="AI426" s="2470"/>
      <c r="AJ426" s="2470"/>
      <c r="AK426" s="2470"/>
      <c r="AL426" s="2536"/>
      <c r="AM426" s="563"/>
      <c r="AN426" s="590"/>
      <c r="BS426" s="563"/>
      <c r="BT426" s="563"/>
      <c r="BY426" s="563"/>
      <c r="BZ426" s="563"/>
      <c r="CA426" s="563"/>
      <c r="CB426" s="563"/>
      <c r="CC426" s="563"/>
    </row>
    <row r="427" spans="1:81" s="544" customFormat="1" ht="12.75" customHeight="1">
      <c r="A427" s="532"/>
      <c r="B427" s="14"/>
      <c r="C427" s="722"/>
      <c r="D427" s="14"/>
      <c r="E427" s="682"/>
      <c r="F427" s="2408"/>
      <c r="G427" s="2408"/>
      <c r="H427" s="2408"/>
      <c r="I427" s="2408"/>
      <c r="J427" s="2408"/>
      <c r="K427" s="2408"/>
      <c r="L427" s="2408"/>
      <c r="M427" s="2408"/>
      <c r="N427" s="2408"/>
      <c r="O427" s="2408"/>
      <c r="P427" s="2408"/>
      <c r="Q427" s="2408"/>
      <c r="R427" s="2408"/>
      <c r="S427" s="2408"/>
      <c r="T427" s="2408"/>
      <c r="U427" s="2408"/>
      <c r="V427" s="2408"/>
      <c r="W427" s="2408"/>
      <c r="X427" s="2408"/>
      <c r="Y427" s="2408"/>
      <c r="Z427" s="2408"/>
      <c r="AA427" s="2408"/>
      <c r="AB427" s="2408"/>
      <c r="AC427" s="2408"/>
      <c r="AD427" s="2408"/>
      <c r="AE427" s="240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4"/>
      <c r="G428" s="2564"/>
      <c r="H428" s="2564"/>
      <c r="I428" s="2564"/>
      <c r="J428" s="2564"/>
      <c r="K428" s="2564"/>
      <c r="L428" s="2564"/>
      <c r="M428" s="2564"/>
      <c r="N428" s="2564"/>
      <c r="O428" s="2564"/>
      <c r="P428" s="2564"/>
      <c r="Q428" s="2564"/>
      <c r="R428" s="2564"/>
      <c r="S428" s="2564"/>
      <c r="T428" s="2564"/>
      <c r="U428" s="2564"/>
      <c r="V428" s="2564"/>
      <c r="W428" s="2564"/>
      <c r="X428" s="2564"/>
      <c r="Y428" s="2564"/>
      <c r="Z428" s="2564"/>
      <c r="AA428" s="2564"/>
      <c r="AB428" s="2564"/>
      <c r="AC428" s="2564"/>
      <c r="AD428" s="2564"/>
      <c r="AE428" s="2564"/>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35" t="s">
        <v>1468</v>
      </c>
      <c r="G430" s="2535"/>
      <c r="H430" s="2535"/>
      <c r="I430" s="2535"/>
      <c r="J430" s="2535"/>
      <c r="K430" s="2535"/>
      <c r="L430" s="2535"/>
      <c r="M430" s="2535"/>
      <c r="N430" s="2535"/>
      <c r="O430" s="2535"/>
      <c r="P430" s="2535"/>
      <c r="Q430" s="2535"/>
      <c r="R430" s="2535"/>
      <c r="S430" s="2535"/>
      <c r="T430" s="2535"/>
      <c r="U430" s="2535"/>
      <c r="V430" s="2535"/>
      <c r="W430" s="2535"/>
      <c r="X430" s="2535"/>
      <c r="Y430" s="2535"/>
      <c r="Z430" s="2535"/>
      <c r="AA430" s="2535"/>
      <c r="AB430" s="2535"/>
      <c r="AC430" s="2535"/>
      <c r="AD430" s="2535"/>
      <c r="AE430" s="2535"/>
      <c r="AF430" s="738"/>
      <c r="AG430" s="738"/>
      <c r="AH430" s="738"/>
      <c r="AI430" s="738"/>
      <c r="AJ430" s="738"/>
      <c r="AK430" s="738"/>
      <c r="AL430" s="739"/>
      <c r="AM430" s="563"/>
    </row>
    <row r="431" spans="1:81">
      <c r="A431" s="532"/>
      <c r="C431" s="722"/>
      <c r="E431" s="682"/>
      <c r="F431" s="2408"/>
      <c r="G431" s="2408"/>
      <c r="H431" s="2408"/>
      <c r="I431" s="2408"/>
      <c r="J431" s="2408"/>
      <c r="K431" s="2408"/>
      <c r="L431" s="2408"/>
      <c r="M431" s="2408"/>
      <c r="N431" s="2408"/>
      <c r="O431" s="2408"/>
      <c r="P431" s="2408"/>
      <c r="Q431" s="2408"/>
      <c r="R431" s="2408"/>
      <c r="S431" s="2408"/>
      <c r="T431" s="2408"/>
      <c r="U431" s="2408"/>
      <c r="V431" s="2408"/>
      <c r="W431" s="2408"/>
      <c r="X431" s="2408"/>
      <c r="Y431" s="2408"/>
      <c r="Z431" s="2408"/>
      <c r="AA431" s="2408"/>
      <c r="AB431" s="2408"/>
      <c r="AC431" s="2408"/>
      <c r="AD431" s="2408"/>
      <c r="AE431" s="2408"/>
      <c r="AF431" s="535"/>
      <c r="AG431" s="532"/>
      <c r="AH431" s="544"/>
      <c r="AI431" s="544"/>
      <c r="AJ431" s="544"/>
      <c r="AK431" s="544"/>
      <c r="AL431" s="723"/>
      <c r="AM431" s="563"/>
    </row>
    <row r="432" spans="1:81" s="544" customFormat="1" ht="12.75" customHeight="1">
      <c r="A432" s="532"/>
      <c r="B432" s="14"/>
      <c r="C432" s="722"/>
      <c r="D432" s="14"/>
      <c r="E432" s="682"/>
      <c r="F432" s="2408"/>
      <c r="G432" s="2408"/>
      <c r="H432" s="2408"/>
      <c r="I432" s="2408"/>
      <c r="J432" s="2408"/>
      <c r="K432" s="2408"/>
      <c r="L432" s="2408"/>
      <c r="M432" s="2408"/>
      <c r="N432" s="2408"/>
      <c r="O432" s="2408"/>
      <c r="P432" s="2408"/>
      <c r="Q432" s="2408"/>
      <c r="R432" s="2408"/>
      <c r="S432" s="2408"/>
      <c r="T432" s="2408"/>
      <c r="U432" s="2408"/>
      <c r="V432" s="2408"/>
      <c r="W432" s="2408"/>
      <c r="X432" s="2408"/>
      <c r="Y432" s="2408"/>
      <c r="Z432" s="2408"/>
      <c r="AA432" s="2408"/>
      <c r="AB432" s="2408"/>
      <c r="AC432" s="2408"/>
      <c r="AD432" s="2408"/>
      <c r="AE432" s="2408"/>
      <c r="AL432" s="723"/>
      <c r="AM432" s="563"/>
      <c r="AN432" s="590"/>
    </row>
    <row r="433" spans="1:60" s="544" customFormat="1" ht="12.75" customHeight="1">
      <c r="A433" s="532"/>
      <c r="B433" s="14"/>
      <c r="C433" s="730"/>
      <c r="F433" s="2408"/>
      <c r="G433" s="2408"/>
      <c r="H433" s="2408"/>
      <c r="I433" s="2408"/>
      <c r="J433" s="2408"/>
      <c r="K433" s="2408"/>
      <c r="L433" s="2408"/>
      <c r="M433" s="2408"/>
      <c r="N433" s="2408"/>
      <c r="O433" s="2408"/>
      <c r="P433" s="2408"/>
      <c r="Q433" s="2408"/>
      <c r="R433" s="2408"/>
      <c r="S433" s="2408"/>
      <c r="T433" s="2408"/>
      <c r="U433" s="2408"/>
      <c r="V433" s="2408"/>
      <c r="W433" s="2408"/>
      <c r="X433" s="2408"/>
      <c r="Y433" s="2408"/>
      <c r="Z433" s="2408"/>
      <c r="AA433" s="2408"/>
      <c r="AB433" s="2408"/>
      <c r="AC433" s="2408"/>
      <c r="AD433" s="2408"/>
      <c r="AE433" s="2408"/>
      <c r="AL433" s="723"/>
      <c r="AM433" s="563"/>
      <c r="AN433" s="590"/>
    </row>
    <row r="434" spans="1:60" s="544" customFormat="1" ht="12.75" customHeight="1">
      <c r="A434" s="532"/>
      <c r="B434" s="14"/>
      <c r="C434" s="2532" t="s">
        <v>591</v>
      </c>
      <c r="D434" s="2492"/>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0" t="s">
        <v>1452</v>
      </c>
      <c r="AG434" s="2470"/>
      <c r="AH434" s="2470"/>
      <c r="AI434" s="2470"/>
      <c r="AJ434" s="2470"/>
      <c r="AK434" s="2470"/>
      <c r="AL434" s="2536"/>
      <c r="AM434" s="563"/>
      <c r="AN434" s="590"/>
    </row>
    <row r="435" spans="1:60" s="544" customFormat="1" ht="12.75" customHeight="1">
      <c r="A435" s="532"/>
      <c r="B435" s="14"/>
      <c r="C435" s="730"/>
      <c r="AL435" s="723"/>
      <c r="AM435" s="563"/>
      <c r="AN435" s="590"/>
    </row>
    <row r="436" spans="1:60" s="544" customFormat="1" ht="12.75" customHeight="1">
      <c r="A436" s="532"/>
      <c r="B436" s="14"/>
      <c r="C436" s="2532" t="s">
        <v>591</v>
      </c>
      <c r="D436" s="2492"/>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0" t="s">
        <v>1464</v>
      </c>
      <c r="AG436" s="2470"/>
      <c r="AH436" s="2470"/>
      <c r="AI436" s="2470"/>
      <c r="AJ436" s="2470"/>
      <c r="AK436" s="2470"/>
      <c r="AL436" s="2536"/>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35" t="s">
        <v>1472</v>
      </c>
      <c r="G440" s="2535"/>
      <c r="H440" s="2535"/>
      <c r="I440" s="2535"/>
      <c r="J440" s="2535"/>
      <c r="K440" s="2535"/>
      <c r="L440" s="2535"/>
      <c r="M440" s="2535"/>
      <c r="N440" s="2535"/>
      <c r="O440" s="2535"/>
      <c r="P440" s="2535"/>
      <c r="Q440" s="2535"/>
      <c r="R440" s="2535"/>
      <c r="S440" s="2535"/>
      <c r="T440" s="2535"/>
      <c r="U440" s="2535"/>
      <c r="V440" s="2535"/>
      <c r="W440" s="2535"/>
      <c r="X440" s="2535"/>
      <c r="Y440" s="2535"/>
      <c r="Z440" s="2535"/>
      <c r="AA440" s="2535"/>
      <c r="AB440" s="2535"/>
      <c r="AC440" s="2535"/>
      <c r="AD440" s="2535"/>
      <c r="AE440" s="2535"/>
      <c r="AF440" s="705"/>
      <c r="AG440" s="705"/>
      <c r="AH440" s="705"/>
      <c r="AI440" s="705"/>
      <c r="AJ440" s="705"/>
      <c r="AK440" s="705"/>
      <c r="AL440" s="736"/>
      <c r="AM440" s="563"/>
      <c r="AN440" s="590"/>
    </row>
    <row r="441" spans="1:60" s="544" customFormat="1" ht="12.75" customHeight="1">
      <c r="A441" s="532"/>
      <c r="B441" s="14"/>
      <c r="C441" s="722"/>
      <c r="D441" s="14"/>
      <c r="E441" s="682"/>
      <c r="F441" s="2408"/>
      <c r="G441" s="2408"/>
      <c r="H441" s="2408"/>
      <c r="I441" s="2408"/>
      <c r="J441" s="2408"/>
      <c r="K441" s="2408"/>
      <c r="L441" s="2408"/>
      <c r="M441" s="2408"/>
      <c r="N441" s="2408"/>
      <c r="O441" s="2408"/>
      <c r="P441" s="2408"/>
      <c r="Q441" s="2408"/>
      <c r="R441" s="2408"/>
      <c r="S441" s="2408"/>
      <c r="T441" s="2408"/>
      <c r="U441" s="2408"/>
      <c r="V441" s="2408"/>
      <c r="W441" s="2408"/>
      <c r="X441" s="2408"/>
      <c r="Y441" s="2408"/>
      <c r="Z441" s="2408"/>
      <c r="AA441" s="2408"/>
      <c r="AB441" s="2408"/>
      <c r="AC441" s="2408"/>
      <c r="AD441" s="2408"/>
      <c r="AE441" s="2408"/>
      <c r="AF441" s="535"/>
      <c r="AG441" s="532"/>
      <c r="AL441" s="723"/>
      <c r="AM441" s="563"/>
      <c r="AN441" s="590"/>
    </row>
    <row r="442" spans="1:60" s="544" customFormat="1" ht="12.4" customHeight="1">
      <c r="A442" s="532"/>
      <c r="B442" s="14"/>
      <c r="C442" s="722"/>
      <c r="D442" s="14"/>
      <c r="E442" s="682"/>
      <c r="F442" s="2408"/>
      <c r="G442" s="2408"/>
      <c r="H442" s="2408"/>
      <c r="I442" s="2408"/>
      <c r="J442" s="2408"/>
      <c r="K442" s="2408"/>
      <c r="L442" s="2408"/>
      <c r="M442" s="2408"/>
      <c r="N442" s="2408"/>
      <c r="O442" s="2408"/>
      <c r="P442" s="2408"/>
      <c r="Q442" s="2408"/>
      <c r="R442" s="2408"/>
      <c r="S442" s="2408"/>
      <c r="T442" s="2408"/>
      <c r="U442" s="2408"/>
      <c r="V442" s="2408"/>
      <c r="W442" s="2408"/>
      <c r="X442" s="2408"/>
      <c r="Y442" s="2408"/>
      <c r="Z442" s="2408"/>
      <c r="AA442" s="2408"/>
      <c r="AB442" s="2408"/>
      <c r="AC442" s="2408"/>
      <c r="AD442" s="2408"/>
      <c r="AE442" s="2408"/>
      <c r="AL442" s="723"/>
      <c r="AM442" s="563"/>
      <c r="AN442" s="590"/>
    </row>
    <row r="443" spans="1:60" s="544" customFormat="1" ht="12.75" customHeight="1">
      <c r="A443" s="532"/>
      <c r="B443" s="14"/>
      <c r="C443" s="2532" t="s">
        <v>591</v>
      </c>
      <c r="D443" s="2492"/>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0" t="s">
        <v>1452</v>
      </c>
      <c r="AG443" s="2470"/>
      <c r="AH443" s="2470"/>
      <c r="AI443" s="2470"/>
      <c r="AJ443" s="2470"/>
      <c r="AK443" s="2470"/>
      <c r="AL443" s="2536"/>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535" t="s">
        <v>1475</v>
      </c>
      <c r="G446" s="2535"/>
      <c r="H446" s="2535"/>
      <c r="I446" s="2535"/>
      <c r="J446" s="2535"/>
      <c r="K446" s="2535"/>
      <c r="L446" s="2535"/>
      <c r="M446" s="2535"/>
      <c r="N446" s="2535"/>
      <c r="O446" s="2535"/>
      <c r="P446" s="2535"/>
      <c r="Q446" s="2535"/>
      <c r="R446" s="2535"/>
      <c r="S446" s="2535"/>
      <c r="T446" s="2535"/>
      <c r="U446" s="2535"/>
      <c r="V446" s="2535"/>
      <c r="W446" s="2535"/>
      <c r="X446" s="2535"/>
      <c r="Y446" s="2535"/>
      <c r="Z446" s="2535"/>
      <c r="AA446" s="2535"/>
      <c r="AB446" s="2535"/>
      <c r="AC446" s="2535"/>
      <c r="AD446" s="2535"/>
      <c r="AE446" s="2535"/>
      <c r="AF446" s="738"/>
      <c r="AG446" s="738"/>
      <c r="AH446" s="738"/>
      <c r="AI446" s="738"/>
      <c r="AJ446" s="738"/>
      <c r="AK446" s="738"/>
      <c r="AL446" s="739"/>
      <c r="AM446" s="563"/>
      <c r="AO446" s="544"/>
      <c r="AP446" s="544"/>
      <c r="BD446" s="14"/>
      <c r="BE446" s="14"/>
      <c r="BF446" s="14"/>
      <c r="BG446" s="14"/>
      <c r="BH446" s="14"/>
    </row>
    <row r="447" spans="1:60">
      <c r="A447" s="532"/>
      <c r="C447" s="722"/>
      <c r="E447" s="682"/>
      <c r="F447" s="2408"/>
      <c r="G447" s="2408"/>
      <c r="H447" s="2408"/>
      <c r="I447" s="2408"/>
      <c r="J447" s="2408"/>
      <c r="K447" s="2408"/>
      <c r="L447" s="2408"/>
      <c r="M447" s="2408"/>
      <c r="N447" s="2408"/>
      <c r="O447" s="2408"/>
      <c r="P447" s="2408"/>
      <c r="Q447" s="2408"/>
      <c r="R447" s="2408"/>
      <c r="S447" s="2408"/>
      <c r="T447" s="2408"/>
      <c r="U447" s="2408"/>
      <c r="V447" s="2408"/>
      <c r="W447" s="2408"/>
      <c r="X447" s="2408"/>
      <c r="Y447" s="2408"/>
      <c r="Z447" s="2408"/>
      <c r="AA447" s="2408"/>
      <c r="AB447" s="2408"/>
      <c r="AC447" s="2408"/>
      <c r="AD447" s="2408"/>
      <c r="AE447" s="2408"/>
      <c r="AF447" s="587"/>
      <c r="AG447" s="587"/>
      <c r="AH447" s="587"/>
      <c r="AI447" s="587"/>
      <c r="AJ447" s="587"/>
      <c r="AK447" s="587"/>
      <c r="AL447" s="741"/>
      <c r="AM447" s="563"/>
      <c r="AO447" s="544"/>
      <c r="AP447" s="544"/>
    </row>
    <row r="448" spans="1:60" s="544" customFormat="1" ht="12.75" customHeight="1">
      <c r="A448" s="532"/>
      <c r="B448" s="14"/>
      <c r="C448" s="722"/>
      <c r="D448" s="14"/>
      <c r="E448" s="682"/>
      <c r="F448" s="2408"/>
      <c r="G448" s="2408"/>
      <c r="H448" s="2408"/>
      <c r="I448" s="2408"/>
      <c r="J448" s="2408"/>
      <c r="K448" s="2408"/>
      <c r="L448" s="2408"/>
      <c r="M448" s="2408"/>
      <c r="N448" s="2408"/>
      <c r="O448" s="2408"/>
      <c r="P448" s="2408"/>
      <c r="Q448" s="2408"/>
      <c r="R448" s="2408"/>
      <c r="S448" s="2408"/>
      <c r="T448" s="2408"/>
      <c r="U448" s="2408"/>
      <c r="V448" s="2408"/>
      <c r="W448" s="2408"/>
      <c r="X448" s="2408"/>
      <c r="Y448" s="2408"/>
      <c r="Z448" s="2408"/>
      <c r="AA448" s="2408"/>
      <c r="AB448" s="2408"/>
      <c r="AC448" s="2408"/>
      <c r="AD448" s="2408"/>
      <c r="AE448" s="2408"/>
      <c r="AF448" s="587"/>
      <c r="AG448" s="587"/>
      <c r="AH448" s="587"/>
      <c r="AI448" s="587"/>
      <c r="AJ448" s="587"/>
      <c r="AK448" s="587"/>
      <c r="AL448" s="741"/>
      <c r="AM448" s="563"/>
      <c r="AN448" s="590"/>
    </row>
    <row r="449" spans="1:42" s="544" customFormat="1" ht="12.75" customHeight="1">
      <c r="A449" s="532"/>
      <c r="B449" s="14"/>
      <c r="C449" s="742"/>
      <c r="D449" s="721"/>
      <c r="E449" s="710"/>
      <c r="F449" s="2408"/>
      <c r="G449" s="2408"/>
      <c r="H449" s="2408"/>
      <c r="I449" s="2408"/>
      <c r="J449" s="2408"/>
      <c r="K449" s="2408"/>
      <c r="L449" s="2408"/>
      <c r="M449" s="2408"/>
      <c r="N449" s="2408"/>
      <c r="O449" s="2408"/>
      <c r="P449" s="2408"/>
      <c r="Q449" s="2408"/>
      <c r="R449" s="2408"/>
      <c r="S449" s="2408"/>
      <c r="T449" s="2408"/>
      <c r="U449" s="2408"/>
      <c r="V449" s="2408"/>
      <c r="W449" s="2408"/>
      <c r="X449" s="2408"/>
      <c r="Y449" s="2408"/>
      <c r="Z449" s="2408"/>
      <c r="AA449" s="2408"/>
      <c r="AB449" s="2408"/>
      <c r="AC449" s="2408"/>
      <c r="AD449" s="2408"/>
      <c r="AE449" s="240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8"/>
      <c r="G450" s="2408"/>
      <c r="H450" s="2408"/>
      <c r="I450" s="2408"/>
      <c r="J450" s="2408"/>
      <c r="K450" s="2408"/>
      <c r="L450" s="2408"/>
      <c r="M450" s="2408"/>
      <c r="N450" s="2408"/>
      <c r="O450" s="2408"/>
      <c r="P450" s="2408"/>
      <c r="Q450" s="2408"/>
      <c r="R450" s="2408"/>
      <c r="S450" s="2408"/>
      <c r="T450" s="2408"/>
      <c r="U450" s="2408"/>
      <c r="V450" s="2408"/>
      <c r="W450" s="2408"/>
      <c r="X450" s="2408"/>
      <c r="Y450" s="2408"/>
      <c r="Z450" s="2408"/>
      <c r="AA450" s="2408"/>
      <c r="AB450" s="2408"/>
      <c r="AC450" s="2408"/>
      <c r="AD450" s="2408"/>
      <c r="AE450" s="2408"/>
      <c r="AF450" s="587"/>
      <c r="AG450" s="587"/>
      <c r="AH450" s="587"/>
      <c r="AI450" s="587"/>
      <c r="AJ450" s="587"/>
      <c r="AK450" s="587"/>
      <c r="AL450" s="741"/>
      <c r="AM450" s="563"/>
      <c r="AN450" s="590"/>
    </row>
    <row r="451" spans="1:42" s="544" customFormat="1" ht="12.75" customHeight="1">
      <c r="A451" s="532"/>
      <c r="B451" s="14"/>
      <c r="C451" s="742"/>
      <c r="D451" s="721"/>
      <c r="E451" s="710"/>
      <c r="F451" s="2408"/>
      <c r="G451" s="2408"/>
      <c r="H451" s="2408"/>
      <c r="I451" s="2408"/>
      <c r="J451" s="2408"/>
      <c r="K451" s="2408"/>
      <c r="L451" s="2408"/>
      <c r="M451" s="2408"/>
      <c r="N451" s="2408"/>
      <c r="O451" s="2408"/>
      <c r="P451" s="2408"/>
      <c r="Q451" s="2408"/>
      <c r="R451" s="2408"/>
      <c r="S451" s="2408"/>
      <c r="T451" s="2408"/>
      <c r="U451" s="2408"/>
      <c r="V451" s="2408"/>
      <c r="W451" s="2408"/>
      <c r="X451" s="2408"/>
      <c r="Y451" s="2408"/>
      <c r="Z451" s="2408"/>
      <c r="AA451" s="2408"/>
      <c r="AB451" s="2408"/>
      <c r="AC451" s="2408"/>
      <c r="AD451" s="2408"/>
      <c r="AE451" s="2408"/>
      <c r="AF451" s="587"/>
      <c r="AG451" s="587"/>
      <c r="AH451" s="587"/>
      <c r="AI451" s="587"/>
      <c r="AJ451" s="587"/>
      <c r="AK451" s="587"/>
      <c r="AL451" s="741"/>
      <c r="AM451" s="563"/>
      <c r="AN451" s="590"/>
    </row>
    <row r="452" spans="1:42" s="544" customFormat="1" ht="12.75" customHeight="1">
      <c r="A452" s="532"/>
      <c r="B452" s="14"/>
      <c r="C452" s="742"/>
      <c r="D452" s="721"/>
      <c r="E452" s="710"/>
      <c r="F452" s="2408"/>
      <c r="G452" s="2408"/>
      <c r="H452" s="2408"/>
      <c r="I452" s="2408"/>
      <c r="J452" s="2408"/>
      <c r="K452" s="2408"/>
      <c r="L452" s="2408"/>
      <c r="M452" s="2408"/>
      <c r="N452" s="2408"/>
      <c r="O452" s="2408"/>
      <c r="P452" s="2408"/>
      <c r="Q452" s="2408"/>
      <c r="R452" s="2408"/>
      <c r="S452" s="2408"/>
      <c r="T452" s="2408"/>
      <c r="U452" s="2408"/>
      <c r="V452" s="2408"/>
      <c r="W452" s="2408"/>
      <c r="X452" s="2408"/>
      <c r="Y452" s="2408"/>
      <c r="Z452" s="2408"/>
      <c r="AA452" s="2408"/>
      <c r="AB452" s="2408"/>
      <c r="AC452" s="2408"/>
      <c r="AD452" s="2408"/>
      <c r="AE452" s="2408"/>
      <c r="AF452" s="587"/>
      <c r="AG452" s="587"/>
      <c r="AH452" s="587"/>
      <c r="AI452" s="587"/>
      <c r="AJ452" s="587"/>
      <c r="AK452" s="587"/>
      <c r="AL452" s="741"/>
      <c r="AM452" s="563"/>
      <c r="AN452" s="590"/>
    </row>
    <row r="453" spans="1:42" s="544" customFormat="1" ht="12.75" customHeight="1">
      <c r="A453" s="532"/>
      <c r="B453" s="14"/>
      <c r="C453" s="742"/>
      <c r="D453" s="721"/>
      <c r="E453" s="710"/>
      <c r="F453" s="2408"/>
      <c r="G453" s="2408"/>
      <c r="H453" s="2408"/>
      <c r="I453" s="2408"/>
      <c r="J453" s="2408"/>
      <c r="K453" s="2408"/>
      <c r="L453" s="2408"/>
      <c r="M453" s="2408"/>
      <c r="N453" s="2408"/>
      <c r="O453" s="2408"/>
      <c r="P453" s="2408"/>
      <c r="Q453" s="2408"/>
      <c r="R453" s="2408"/>
      <c r="S453" s="2408"/>
      <c r="T453" s="2408"/>
      <c r="U453" s="2408"/>
      <c r="V453" s="2408"/>
      <c r="W453" s="2408"/>
      <c r="X453" s="2408"/>
      <c r="Y453" s="2408"/>
      <c r="Z453" s="2408"/>
      <c r="AA453" s="2408"/>
      <c r="AB453" s="2408"/>
      <c r="AC453" s="2408"/>
      <c r="AD453" s="2408"/>
      <c r="AE453" s="2408"/>
      <c r="AF453" s="587"/>
      <c r="AG453" s="587"/>
      <c r="AH453" s="587"/>
      <c r="AI453" s="587"/>
      <c r="AJ453" s="587"/>
      <c r="AK453" s="587"/>
      <c r="AL453" s="741"/>
      <c r="AM453" s="563"/>
      <c r="AN453" s="590"/>
    </row>
    <row r="454" spans="1:42" s="544" customFormat="1" ht="17.25" customHeight="1">
      <c r="A454" s="532"/>
      <c r="B454" s="14"/>
      <c r="C454" s="742"/>
      <c r="D454" s="721"/>
      <c r="E454" s="710"/>
      <c r="F454" s="2408"/>
      <c r="G454" s="2408"/>
      <c r="H454" s="2408"/>
      <c r="I454" s="2408"/>
      <c r="J454" s="2408"/>
      <c r="K454" s="2408"/>
      <c r="L454" s="2408"/>
      <c r="M454" s="2408"/>
      <c r="N454" s="2408"/>
      <c r="O454" s="2408"/>
      <c r="P454" s="2408"/>
      <c r="Q454" s="2408"/>
      <c r="R454" s="2408"/>
      <c r="S454" s="2408"/>
      <c r="T454" s="2408"/>
      <c r="U454" s="2408"/>
      <c r="V454" s="2408"/>
      <c r="W454" s="2408"/>
      <c r="X454" s="2408"/>
      <c r="Y454" s="2408"/>
      <c r="Z454" s="2408"/>
      <c r="AA454" s="2408"/>
      <c r="AB454" s="2408"/>
      <c r="AC454" s="2408"/>
      <c r="AD454" s="2408"/>
      <c r="AE454" s="2408"/>
      <c r="AL454" s="723"/>
      <c r="AM454" s="563"/>
      <c r="AN454" s="590"/>
    </row>
    <row r="455" spans="1:42" s="544" customFormat="1" ht="12.75" customHeight="1">
      <c r="A455" s="532"/>
      <c r="B455" s="14"/>
      <c r="C455" s="2532" t="s">
        <v>591</v>
      </c>
      <c r="D455" s="2492"/>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0" t="s">
        <v>1452</v>
      </c>
      <c r="AG455" s="2470"/>
      <c r="AH455" s="2470"/>
      <c r="AI455" s="2470"/>
      <c r="AJ455" s="2470"/>
      <c r="AK455" s="2470"/>
      <c r="AL455" s="2536"/>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35" t="s">
        <v>1478</v>
      </c>
      <c r="G458" s="2535"/>
      <c r="H458" s="2535"/>
      <c r="I458" s="2535"/>
      <c r="J458" s="2535"/>
      <c r="K458" s="2535"/>
      <c r="L458" s="2535"/>
      <c r="M458" s="2535"/>
      <c r="N458" s="2535"/>
      <c r="O458" s="2535"/>
      <c r="P458" s="2535"/>
      <c r="Q458" s="2535"/>
      <c r="R458" s="2535"/>
      <c r="S458" s="2535"/>
      <c r="T458" s="2535"/>
      <c r="U458" s="2535"/>
      <c r="V458" s="2535"/>
      <c r="W458" s="2535"/>
      <c r="X458" s="2535"/>
      <c r="Y458" s="2535"/>
      <c r="Z458" s="2535"/>
      <c r="AA458" s="2535"/>
      <c r="AB458" s="2535"/>
      <c r="AC458" s="2535"/>
      <c r="AD458" s="2535"/>
      <c r="AE458" s="2535"/>
      <c r="AF458" s="705"/>
      <c r="AG458" s="705"/>
      <c r="AH458" s="705"/>
      <c r="AI458" s="705"/>
      <c r="AJ458" s="705"/>
      <c r="AK458" s="705"/>
      <c r="AL458" s="736"/>
      <c r="AM458" s="563"/>
      <c r="AN458" s="590"/>
    </row>
    <row r="459" spans="1:42" s="544" customFormat="1" ht="12.75" customHeight="1">
      <c r="A459" s="532"/>
      <c r="B459" s="14"/>
      <c r="C459" s="742"/>
      <c r="D459" s="721"/>
      <c r="E459" s="710"/>
      <c r="F459" s="2408"/>
      <c r="G459" s="2408"/>
      <c r="H459" s="2408"/>
      <c r="I459" s="2408"/>
      <c r="J459" s="2408"/>
      <c r="K459" s="2408"/>
      <c r="L459" s="2408"/>
      <c r="M459" s="2408"/>
      <c r="N459" s="2408"/>
      <c r="O459" s="2408"/>
      <c r="P459" s="2408"/>
      <c r="Q459" s="2408"/>
      <c r="R459" s="2408"/>
      <c r="S459" s="2408"/>
      <c r="T459" s="2408"/>
      <c r="U459" s="2408"/>
      <c r="V459" s="2408"/>
      <c r="W459" s="2408"/>
      <c r="X459" s="2408"/>
      <c r="Y459" s="2408"/>
      <c r="Z459" s="2408"/>
      <c r="AA459" s="2408"/>
      <c r="AB459" s="2408"/>
      <c r="AC459" s="2408"/>
      <c r="AD459" s="2408"/>
      <c r="AE459" s="2408"/>
      <c r="AF459" s="584"/>
      <c r="AG459" s="584"/>
      <c r="AH459" s="584"/>
      <c r="AI459" s="584"/>
      <c r="AJ459" s="584"/>
      <c r="AK459" s="584"/>
      <c r="AL459" s="711"/>
      <c r="AM459" s="563"/>
      <c r="AN459" s="590"/>
    </row>
    <row r="460" spans="1:42" s="544" customFormat="1" ht="12.75" customHeight="1">
      <c r="A460" s="532"/>
      <c r="B460" s="14"/>
      <c r="C460" s="742"/>
      <c r="D460" s="721"/>
      <c r="E460" s="710"/>
      <c r="F460" s="2408"/>
      <c r="G460" s="2408"/>
      <c r="H460" s="2408"/>
      <c r="I460" s="2408"/>
      <c r="J460" s="2408"/>
      <c r="K460" s="2408"/>
      <c r="L460" s="2408"/>
      <c r="M460" s="2408"/>
      <c r="N460" s="2408"/>
      <c r="O460" s="2408"/>
      <c r="P460" s="2408"/>
      <c r="Q460" s="2408"/>
      <c r="R460" s="2408"/>
      <c r="S460" s="2408"/>
      <c r="T460" s="2408"/>
      <c r="U460" s="2408"/>
      <c r="V460" s="2408"/>
      <c r="W460" s="2408"/>
      <c r="X460" s="2408"/>
      <c r="Y460" s="2408"/>
      <c r="Z460" s="2408"/>
      <c r="AA460" s="2408"/>
      <c r="AB460" s="2408"/>
      <c r="AC460" s="2408"/>
      <c r="AD460" s="2408"/>
      <c r="AE460" s="2408"/>
      <c r="AF460" s="584"/>
      <c r="AG460" s="584"/>
      <c r="AH460" s="584"/>
      <c r="AI460" s="584"/>
      <c r="AJ460" s="584"/>
      <c r="AK460" s="584"/>
      <c r="AL460" s="711"/>
      <c r="AM460" s="563"/>
      <c r="AN460" s="590"/>
    </row>
    <row r="461" spans="1:42" s="544" customFormat="1" ht="12.75" customHeight="1">
      <c r="A461" s="532"/>
      <c r="B461" s="14"/>
      <c r="C461" s="742"/>
      <c r="D461" s="721"/>
      <c r="E461" s="710"/>
      <c r="F461" s="2408"/>
      <c r="G461" s="2408"/>
      <c r="H461" s="2408"/>
      <c r="I461" s="2408"/>
      <c r="J461" s="2408"/>
      <c r="K461" s="2408"/>
      <c r="L461" s="2408"/>
      <c r="M461" s="2408"/>
      <c r="N461" s="2408"/>
      <c r="O461" s="2408"/>
      <c r="P461" s="2408"/>
      <c r="Q461" s="2408"/>
      <c r="R461" s="2408"/>
      <c r="S461" s="2408"/>
      <c r="T461" s="2408"/>
      <c r="U461" s="2408"/>
      <c r="V461" s="2408"/>
      <c r="W461" s="2408"/>
      <c r="X461" s="2408"/>
      <c r="Y461" s="2408"/>
      <c r="Z461" s="2408"/>
      <c r="AA461" s="2408"/>
      <c r="AB461" s="2408"/>
      <c r="AC461" s="2408"/>
      <c r="AD461" s="2408"/>
      <c r="AE461" s="2408"/>
      <c r="AL461" s="723"/>
      <c r="AM461" s="563"/>
      <c r="AN461" s="590"/>
    </row>
    <row r="462" spans="1:42" s="544" customFormat="1" ht="12.75" customHeight="1">
      <c r="A462" s="532"/>
      <c r="B462" s="14"/>
      <c r="C462" s="2532" t="s">
        <v>591</v>
      </c>
      <c r="D462" s="2492"/>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0" t="s">
        <v>1452</v>
      </c>
      <c r="AG462" s="2470"/>
      <c r="AH462" s="2470"/>
      <c r="AI462" s="2470"/>
      <c r="AJ462" s="2470"/>
      <c r="AK462" s="2470"/>
      <c r="AL462" s="2536"/>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7" t="s">
        <v>591</v>
      </c>
      <c r="D466" s="2538"/>
      <c r="E466" s="706" t="s">
        <v>1487</v>
      </c>
      <c r="F466" s="2535" t="s">
        <v>1488</v>
      </c>
      <c r="G466" s="2535"/>
      <c r="H466" s="2535"/>
      <c r="I466" s="2535"/>
      <c r="J466" s="2535"/>
      <c r="K466" s="2535"/>
      <c r="L466" s="2535"/>
      <c r="M466" s="2535"/>
      <c r="N466" s="2535"/>
      <c r="O466" s="2535"/>
      <c r="P466" s="2535"/>
      <c r="Q466" s="2535"/>
      <c r="R466" s="2535"/>
      <c r="S466" s="2535"/>
      <c r="T466" s="2535"/>
      <c r="U466" s="2535"/>
      <c r="V466" s="2535"/>
      <c r="W466" s="2535"/>
      <c r="X466" s="2535"/>
      <c r="Y466" s="2535"/>
      <c r="Z466" s="2535"/>
      <c r="AA466" s="2535"/>
      <c r="AB466" s="2535"/>
      <c r="AC466" s="2535"/>
      <c r="AD466" s="2535"/>
      <c r="AE466" s="2535"/>
      <c r="AF466" s="2620" t="s">
        <v>1452</v>
      </c>
      <c r="AG466" s="2620"/>
      <c r="AH466" s="2620"/>
      <c r="AI466" s="2620"/>
      <c r="AJ466" s="2620"/>
      <c r="AK466" s="2620"/>
      <c r="AL466" s="2621"/>
      <c r="AM466" s="563"/>
      <c r="AN466" s="744"/>
    </row>
    <row r="467" spans="1:40" s="544" customFormat="1" ht="12.75" customHeight="1">
      <c r="A467" s="532"/>
      <c r="B467" s="14"/>
      <c r="C467" s="742"/>
      <c r="D467" s="721"/>
      <c r="E467" s="710"/>
      <c r="F467" s="2408"/>
      <c r="G467" s="2408"/>
      <c r="H467" s="2408"/>
      <c r="I467" s="2408"/>
      <c r="J467" s="2408"/>
      <c r="K467" s="2408"/>
      <c r="L467" s="2408"/>
      <c r="M467" s="2408"/>
      <c r="N467" s="2408"/>
      <c r="O467" s="2408"/>
      <c r="P467" s="2408"/>
      <c r="Q467" s="2408"/>
      <c r="R467" s="2408"/>
      <c r="S467" s="2408"/>
      <c r="T467" s="2408"/>
      <c r="U467" s="2408"/>
      <c r="V467" s="2408"/>
      <c r="W467" s="2408"/>
      <c r="X467" s="2408"/>
      <c r="Y467" s="2408"/>
      <c r="Z467" s="2408"/>
      <c r="AA467" s="2408"/>
      <c r="AB467" s="2408"/>
      <c r="AC467" s="2408"/>
      <c r="AD467" s="2408"/>
      <c r="AE467" s="2408"/>
      <c r="AF467" s="584"/>
      <c r="AG467" s="584"/>
      <c r="AH467" s="584"/>
      <c r="AI467" s="584"/>
      <c r="AJ467" s="584"/>
      <c r="AK467" s="584"/>
      <c r="AL467" s="711"/>
      <c r="AM467" s="563"/>
      <c r="AN467" s="745"/>
    </row>
    <row r="468" spans="1:40" s="544" customFormat="1" ht="17.649999999999999" customHeight="1">
      <c r="A468" s="532"/>
      <c r="B468" s="14"/>
      <c r="C468" s="747"/>
      <c r="D468" s="714"/>
      <c r="E468" s="715"/>
      <c r="F468" s="2564"/>
      <c r="G468" s="2564"/>
      <c r="H468" s="2564"/>
      <c r="I468" s="2564"/>
      <c r="J468" s="2564"/>
      <c r="K468" s="2564"/>
      <c r="L468" s="2564"/>
      <c r="M468" s="2564"/>
      <c r="N468" s="2564"/>
      <c r="O468" s="2564"/>
      <c r="P468" s="2564"/>
      <c r="Q468" s="2564"/>
      <c r="R468" s="2564"/>
      <c r="S468" s="2564"/>
      <c r="T468" s="2564"/>
      <c r="U468" s="2564"/>
      <c r="V468" s="2564"/>
      <c r="W468" s="2564"/>
      <c r="X468" s="2564"/>
      <c r="Y468" s="2564"/>
      <c r="Z468" s="2564"/>
      <c r="AA468" s="2564"/>
      <c r="AB468" s="2564"/>
      <c r="AC468" s="2564"/>
      <c r="AD468" s="2564"/>
      <c r="AE468" s="2564"/>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2" t="s">
        <v>591</v>
      </c>
      <c r="D470" s="2492"/>
      <c r="E470" s="706" t="s">
        <v>1493</v>
      </c>
      <c r="F470" s="2535" t="s">
        <v>1494</v>
      </c>
      <c r="G470" s="2535"/>
      <c r="H470" s="2535"/>
      <c r="I470" s="2535"/>
      <c r="J470" s="2535"/>
      <c r="K470" s="2535"/>
      <c r="L470" s="2535"/>
      <c r="M470" s="2535"/>
      <c r="N470" s="2535"/>
      <c r="O470" s="2535"/>
      <c r="P470" s="2535"/>
      <c r="Q470" s="2535"/>
      <c r="R470" s="2535"/>
      <c r="S470" s="2535"/>
      <c r="T470" s="2535"/>
      <c r="U470" s="2535"/>
      <c r="V470" s="2535"/>
      <c r="W470" s="2535"/>
      <c r="X470" s="2535"/>
      <c r="Y470" s="2535"/>
      <c r="Z470" s="2535"/>
      <c r="AA470" s="2535"/>
      <c r="AB470" s="2535"/>
      <c r="AC470" s="2535"/>
      <c r="AD470" s="2535"/>
      <c r="AE470" s="2535"/>
      <c r="AF470" s="2620" t="s">
        <v>1452</v>
      </c>
      <c r="AG470" s="2620"/>
      <c r="AH470" s="2620"/>
      <c r="AI470" s="2620"/>
      <c r="AJ470" s="2620"/>
      <c r="AK470" s="2620"/>
      <c r="AL470" s="2621"/>
      <c r="AM470" s="563"/>
      <c r="AN470" s="531"/>
    </row>
    <row r="471" spans="1:40" s="544" customFormat="1" ht="12.75" customHeight="1">
      <c r="A471" s="532"/>
      <c r="B471" s="14"/>
      <c r="C471" s="722"/>
      <c r="D471" s="14"/>
      <c r="E471" s="682"/>
      <c r="F471" s="2408"/>
      <c r="G471" s="2408"/>
      <c r="H471" s="2408"/>
      <c r="I471" s="2408"/>
      <c r="J471" s="2408"/>
      <c r="K471" s="2408"/>
      <c r="L471" s="2408"/>
      <c r="M471" s="2408"/>
      <c r="N471" s="2408"/>
      <c r="O471" s="2408"/>
      <c r="P471" s="2408"/>
      <c r="Q471" s="2408"/>
      <c r="R471" s="2408"/>
      <c r="S471" s="2408"/>
      <c r="T471" s="2408"/>
      <c r="U471" s="2408"/>
      <c r="V471" s="2408"/>
      <c r="W471" s="2408"/>
      <c r="X471" s="2408"/>
      <c r="Y471" s="2408"/>
      <c r="Z471" s="2408"/>
      <c r="AA471" s="2408"/>
      <c r="AB471" s="2408"/>
      <c r="AC471" s="2408"/>
      <c r="AD471" s="2408"/>
      <c r="AE471" s="2408"/>
      <c r="AF471" s="535"/>
      <c r="AG471" s="532"/>
      <c r="AL471" s="723"/>
      <c r="AM471" s="563"/>
      <c r="AN471" s="531"/>
    </row>
    <row r="472" spans="1:40" s="544" customFormat="1" ht="12.75" customHeight="1">
      <c r="A472" s="532"/>
      <c r="B472" s="14"/>
      <c r="C472" s="722"/>
      <c r="D472" s="14"/>
      <c r="E472" s="682"/>
      <c r="F472" s="2408"/>
      <c r="G472" s="2408"/>
      <c r="H472" s="2408"/>
      <c r="I472" s="2408"/>
      <c r="J472" s="2408"/>
      <c r="K472" s="2408"/>
      <c r="L472" s="2408"/>
      <c r="M472" s="2408"/>
      <c r="N472" s="2408"/>
      <c r="O472" s="2408"/>
      <c r="P472" s="2408"/>
      <c r="Q472" s="2408"/>
      <c r="R472" s="2408"/>
      <c r="S472" s="2408"/>
      <c r="T472" s="2408"/>
      <c r="U472" s="2408"/>
      <c r="V472" s="2408"/>
      <c r="W472" s="2408"/>
      <c r="X472" s="2408"/>
      <c r="Y472" s="2408"/>
      <c r="Z472" s="2408"/>
      <c r="AA472" s="2408"/>
      <c r="AB472" s="2408"/>
      <c r="AC472" s="2408"/>
      <c r="AD472" s="2408"/>
      <c r="AE472" s="2408"/>
      <c r="AF472" s="535"/>
      <c r="AG472" s="532"/>
      <c r="AL472" s="723"/>
      <c r="AM472" s="563"/>
      <c r="AN472" s="531"/>
    </row>
    <row r="473" spans="1:40" s="544" customFormat="1" ht="12.75" customHeight="1">
      <c r="A473" s="532"/>
      <c r="B473" s="14"/>
      <c r="C473" s="747"/>
      <c r="D473" s="714"/>
      <c r="E473" s="715"/>
      <c r="F473" s="2564"/>
      <c r="G473" s="2564"/>
      <c r="H473" s="2564"/>
      <c r="I473" s="2564"/>
      <c r="J473" s="2564"/>
      <c r="K473" s="2564"/>
      <c r="L473" s="2564"/>
      <c r="M473" s="2564"/>
      <c r="N473" s="2564"/>
      <c r="O473" s="2564"/>
      <c r="P473" s="2564"/>
      <c r="Q473" s="2564"/>
      <c r="R473" s="2564"/>
      <c r="S473" s="2564"/>
      <c r="T473" s="2564"/>
      <c r="U473" s="2564"/>
      <c r="V473" s="2564"/>
      <c r="W473" s="2564"/>
      <c r="X473" s="2564"/>
      <c r="Y473" s="2564"/>
      <c r="Z473" s="2564"/>
      <c r="AA473" s="2564"/>
      <c r="AB473" s="2564"/>
      <c r="AC473" s="2564"/>
      <c r="AD473" s="2564"/>
      <c r="AE473" s="2564"/>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35" t="s">
        <v>1497</v>
      </c>
      <c r="G475" s="2535"/>
      <c r="H475" s="2535"/>
      <c r="I475" s="2535"/>
      <c r="J475" s="2535"/>
      <c r="K475" s="2535"/>
      <c r="L475" s="2535"/>
      <c r="M475" s="2535"/>
      <c r="N475" s="2535"/>
      <c r="O475" s="2535"/>
      <c r="P475" s="2535"/>
      <c r="Q475" s="2535"/>
      <c r="R475" s="2535"/>
      <c r="S475" s="2535"/>
      <c r="T475" s="2535"/>
      <c r="U475" s="2535"/>
      <c r="V475" s="2535"/>
      <c r="W475" s="2535"/>
      <c r="X475" s="2535"/>
      <c r="Y475" s="2535"/>
      <c r="Z475" s="2535"/>
      <c r="AA475" s="2535"/>
      <c r="AB475" s="2535"/>
      <c r="AC475" s="2535"/>
      <c r="AD475" s="2535"/>
      <c r="AE475" s="2535"/>
      <c r="AF475" s="2535"/>
      <c r="AG475" s="735"/>
      <c r="AH475" s="705"/>
      <c r="AI475" s="705"/>
      <c r="AJ475" s="705"/>
      <c r="AK475" s="705"/>
      <c r="AL475" s="736"/>
      <c r="AM475" s="563"/>
      <c r="AN475" s="590"/>
    </row>
    <row r="476" spans="1:40" s="544" customFormat="1" ht="12.75" customHeight="1">
      <c r="A476" s="532"/>
      <c r="B476" s="14"/>
      <c r="C476" s="722"/>
      <c r="D476" s="14"/>
      <c r="E476" s="682"/>
      <c r="F476" s="2408"/>
      <c r="G476" s="2408"/>
      <c r="H476" s="2408"/>
      <c r="I476" s="2408"/>
      <c r="J476" s="2408"/>
      <c r="K476" s="2408"/>
      <c r="L476" s="2408"/>
      <c r="M476" s="2408"/>
      <c r="N476" s="2408"/>
      <c r="O476" s="2408"/>
      <c r="P476" s="2408"/>
      <c r="Q476" s="2408"/>
      <c r="R476" s="2408"/>
      <c r="S476" s="2408"/>
      <c r="T476" s="2408"/>
      <c r="U476" s="2408"/>
      <c r="V476" s="2408"/>
      <c r="W476" s="2408"/>
      <c r="X476" s="2408"/>
      <c r="Y476" s="2408"/>
      <c r="Z476" s="2408"/>
      <c r="AA476" s="2408"/>
      <c r="AB476" s="2408"/>
      <c r="AC476" s="2408"/>
      <c r="AD476" s="2408"/>
      <c r="AE476" s="2408"/>
      <c r="AF476" s="2408"/>
      <c r="AL476" s="723"/>
      <c r="AM476" s="563"/>
      <c r="AN476" s="590"/>
    </row>
    <row r="477" spans="1:40" s="544" customFormat="1" ht="12.75" customHeight="1">
      <c r="A477" s="532"/>
      <c r="B477" s="14"/>
      <c r="C477" s="730"/>
      <c r="F477" s="2408"/>
      <c r="G477" s="2408"/>
      <c r="H477" s="2408"/>
      <c r="I477" s="2408"/>
      <c r="J477" s="2408"/>
      <c r="K477" s="2408"/>
      <c r="L477" s="2408"/>
      <c r="M477" s="2408"/>
      <c r="N477" s="2408"/>
      <c r="O477" s="2408"/>
      <c r="P477" s="2408"/>
      <c r="Q477" s="2408"/>
      <c r="R477" s="2408"/>
      <c r="S477" s="2408"/>
      <c r="T477" s="2408"/>
      <c r="U477" s="2408"/>
      <c r="V477" s="2408"/>
      <c r="W477" s="2408"/>
      <c r="X477" s="2408"/>
      <c r="Y477" s="2408"/>
      <c r="Z477" s="2408"/>
      <c r="AA477" s="2408"/>
      <c r="AB477" s="2408"/>
      <c r="AC477" s="2408"/>
      <c r="AD477" s="2408"/>
      <c r="AE477" s="2408"/>
      <c r="AF477" s="2408"/>
      <c r="AL477" s="723"/>
      <c r="AM477" s="563"/>
      <c r="AN477" s="590"/>
    </row>
    <row r="478" spans="1:40" s="544" customFormat="1" ht="12.75" customHeight="1">
      <c r="A478" s="532"/>
      <c r="B478" s="14"/>
      <c r="C478" s="730"/>
      <c r="F478" s="2408"/>
      <c r="G478" s="2408"/>
      <c r="H478" s="2408"/>
      <c r="I478" s="2408"/>
      <c r="J478" s="2408"/>
      <c r="K478" s="2408"/>
      <c r="L478" s="2408"/>
      <c r="M478" s="2408"/>
      <c r="N478" s="2408"/>
      <c r="O478" s="2408"/>
      <c r="P478" s="2408"/>
      <c r="Q478" s="2408"/>
      <c r="R478" s="2408"/>
      <c r="S478" s="2408"/>
      <c r="T478" s="2408"/>
      <c r="U478" s="2408"/>
      <c r="V478" s="2408"/>
      <c r="W478" s="2408"/>
      <c r="X478" s="2408"/>
      <c r="Y478" s="2408"/>
      <c r="Z478" s="2408"/>
      <c r="AA478" s="2408"/>
      <c r="AB478" s="2408"/>
      <c r="AC478" s="2408"/>
      <c r="AD478" s="2408"/>
      <c r="AE478" s="2408"/>
      <c r="AF478" s="2408"/>
      <c r="AL478" s="723"/>
      <c r="AM478" s="563"/>
      <c r="AN478" s="590"/>
    </row>
    <row r="479" spans="1:40" s="544" customFormat="1" ht="12.75" customHeight="1">
      <c r="A479" s="532"/>
      <c r="B479" s="14"/>
      <c r="C479" s="2532" t="s">
        <v>591</v>
      </c>
      <c r="D479" s="2492"/>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3" t="s">
        <v>1452</v>
      </c>
      <c r="AG479" s="2533"/>
      <c r="AH479" s="2533"/>
      <c r="AI479" s="2533"/>
      <c r="AJ479" s="2533"/>
      <c r="AK479" s="2533"/>
      <c r="AL479" s="253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95">
        <f>IF(Application!D214="N/A",AS371,AS373)</f>
        <v>10</v>
      </c>
      <c r="AL482" s="2496"/>
      <c r="AM482" s="2497"/>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33" t="s">
        <v>1501</v>
      </c>
      <c r="AF485" s="2533"/>
      <c r="AG485" s="2533"/>
      <c r="AH485" s="2533"/>
      <c r="AI485" s="2533"/>
      <c r="AJ485" s="2533"/>
      <c r="AK485" s="2533"/>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539" t="s">
        <v>591</v>
      </c>
      <c r="D491" s="2540"/>
      <c r="E491" s="752" t="s">
        <v>507</v>
      </c>
      <c r="F491" s="2541" t="s">
        <v>1507</v>
      </c>
      <c r="G491" s="2541"/>
      <c r="H491" s="2541"/>
      <c r="I491" s="2541"/>
      <c r="J491" s="2541"/>
      <c r="K491" s="2541"/>
      <c r="L491" s="2541"/>
      <c r="M491" s="2541"/>
      <c r="N491" s="2541"/>
      <c r="O491" s="2541"/>
      <c r="P491" s="2541"/>
      <c r="Q491" s="2541"/>
      <c r="R491" s="2541"/>
      <c r="S491" s="2541"/>
      <c r="T491" s="2541"/>
      <c r="U491" s="2541"/>
      <c r="V491" s="2541"/>
      <c r="W491" s="2541"/>
      <c r="X491" s="2541"/>
      <c r="Y491" s="2541"/>
      <c r="Z491" s="2541"/>
      <c r="AA491" s="2541"/>
      <c r="AB491" s="2541"/>
      <c r="AC491" s="2541"/>
      <c r="AD491" s="2541"/>
      <c r="AE491" s="2541"/>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42"/>
      <c r="G492" s="2542"/>
      <c r="H492" s="2542"/>
      <c r="I492" s="2542"/>
      <c r="J492" s="2542"/>
      <c r="K492" s="2542"/>
      <c r="L492" s="2542"/>
      <c r="M492" s="2542"/>
      <c r="N492" s="2542"/>
      <c r="O492" s="2542"/>
      <c r="P492" s="2542"/>
      <c r="Q492" s="2542"/>
      <c r="R492" s="2542"/>
      <c r="S492" s="2542"/>
      <c r="T492" s="2542"/>
      <c r="U492" s="2542"/>
      <c r="V492" s="2542"/>
      <c r="W492" s="2542"/>
      <c r="X492" s="2542"/>
      <c r="Y492" s="2542"/>
      <c r="Z492" s="2542"/>
      <c r="AA492" s="2542"/>
      <c r="AB492" s="2542"/>
      <c r="AC492" s="2542"/>
      <c r="AD492" s="2542"/>
      <c r="AE492" s="2542"/>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637" t="s">
        <v>591</v>
      </c>
      <c r="G493" s="2637"/>
      <c r="H493" s="2637"/>
      <c r="I493" s="2637"/>
      <c r="J493" s="2637"/>
      <c r="K493" s="2637"/>
      <c r="L493" s="2637"/>
      <c r="M493" s="2637"/>
      <c r="N493" s="2637"/>
      <c r="O493" s="2637"/>
      <c r="P493" s="2637"/>
      <c r="Q493" s="2637"/>
      <c r="R493" s="2637"/>
      <c r="S493" s="2637"/>
      <c r="T493" s="2637"/>
      <c r="U493" s="2637"/>
      <c r="V493" s="2637"/>
      <c r="W493" s="2637"/>
      <c r="X493" s="2637"/>
      <c r="Y493" s="2637"/>
      <c r="Z493" s="2637"/>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58" t="s">
        <v>545</v>
      </c>
      <c r="D495" s="2659"/>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626" t="s">
        <v>591</v>
      </c>
      <c r="W498" s="2626"/>
      <c r="X498" s="2626"/>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626" t="s">
        <v>591</v>
      </c>
      <c r="W500" s="2626"/>
      <c r="X500" s="2626"/>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626" t="s">
        <v>591</v>
      </c>
      <c r="W505" s="2626"/>
      <c r="X505" s="2626"/>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12"/>
      <c r="E508" s="2612"/>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626" t="s">
        <v>591</v>
      </c>
      <c r="W509" s="2626"/>
      <c r="X509" s="2626"/>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626" t="s">
        <v>591</v>
      </c>
      <c r="W511" s="2626"/>
      <c r="X511" s="2626"/>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9" t="s">
        <v>591</v>
      </c>
      <c r="D514" s="2540"/>
      <c r="E514" s="752" t="s">
        <v>507</v>
      </c>
      <c r="F514" s="2541" t="s">
        <v>1507</v>
      </c>
      <c r="G514" s="2541"/>
      <c r="H514" s="2541"/>
      <c r="I514" s="2541"/>
      <c r="J514" s="2541"/>
      <c r="K514" s="2541"/>
      <c r="L514" s="2541"/>
      <c r="M514" s="2541"/>
      <c r="N514" s="2541"/>
      <c r="O514" s="2541"/>
      <c r="P514" s="2541"/>
      <c r="Q514" s="2541"/>
      <c r="R514" s="2541"/>
      <c r="S514" s="2541"/>
      <c r="T514" s="2541"/>
      <c r="U514" s="2541"/>
      <c r="V514" s="2541"/>
      <c r="W514" s="2541"/>
      <c r="X514" s="2541"/>
      <c r="Y514" s="2541"/>
      <c r="Z514" s="2541"/>
      <c r="AA514" s="2541"/>
      <c r="AB514" s="2541"/>
      <c r="AC514" s="2541"/>
      <c r="AD514" s="2541"/>
      <c r="AE514" s="254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2"/>
      <c r="G515" s="2542"/>
      <c r="H515" s="2542"/>
      <c r="I515" s="2542"/>
      <c r="J515" s="2542"/>
      <c r="K515" s="2542"/>
      <c r="L515" s="2542"/>
      <c r="M515" s="2542"/>
      <c r="N515" s="2542"/>
      <c r="O515" s="2542"/>
      <c r="P515" s="2542"/>
      <c r="Q515" s="2542"/>
      <c r="R515" s="2542"/>
      <c r="S515" s="2542"/>
      <c r="T515" s="2542"/>
      <c r="U515" s="2542"/>
      <c r="V515" s="2542"/>
      <c r="W515" s="2542"/>
      <c r="X515" s="2542"/>
      <c r="Y515" s="2542"/>
      <c r="Z515" s="2542"/>
      <c r="AA515" s="2542"/>
      <c r="AB515" s="2542"/>
      <c r="AC515" s="2542"/>
      <c r="AD515" s="2542"/>
      <c r="AE515" s="254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3" t="s">
        <v>591</v>
      </c>
      <c r="G516" s="2633"/>
      <c r="H516" s="2633"/>
      <c r="I516" s="2633"/>
      <c r="J516" s="2633"/>
      <c r="K516" s="2633"/>
      <c r="L516" s="2633"/>
      <c r="M516" s="2633"/>
      <c r="N516" s="2633"/>
      <c r="O516" s="2633"/>
      <c r="P516" s="2633"/>
      <c r="Q516" s="2633"/>
      <c r="R516" s="2633"/>
      <c r="S516" s="2633"/>
      <c r="T516" s="2633"/>
      <c r="U516" s="2633"/>
      <c r="V516" s="2633"/>
      <c r="W516" s="2633"/>
      <c r="X516" s="2633"/>
      <c r="Y516" s="2633"/>
      <c r="Z516" s="2633"/>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9" t="s">
        <v>591</v>
      </c>
      <c r="D518" s="2540"/>
      <c r="E518" s="752" t="s">
        <v>757</v>
      </c>
      <c r="F518" s="2634" t="s">
        <v>1529</v>
      </c>
      <c r="G518" s="2634"/>
      <c r="H518" s="2634"/>
      <c r="I518" s="2634"/>
      <c r="J518" s="2634"/>
      <c r="K518" s="2634"/>
      <c r="L518" s="2634"/>
      <c r="M518" s="2634"/>
      <c r="N518" s="2634"/>
      <c r="O518" s="2634"/>
      <c r="P518" s="2634"/>
      <c r="Q518" s="2634"/>
      <c r="R518" s="2634"/>
      <c r="S518" s="2634"/>
      <c r="T518" s="2634"/>
      <c r="U518" s="2634"/>
      <c r="V518" s="2634"/>
      <c r="W518" s="2634"/>
      <c r="X518" s="2634"/>
      <c r="Y518" s="2634"/>
      <c r="Z518" s="2634"/>
      <c r="AA518" s="2634"/>
      <c r="AB518" s="2634"/>
      <c r="AC518" s="2634"/>
      <c r="AD518" s="2634"/>
      <c r="AE518" s="263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5"/>
      <c r="G519" s="2635"/>
      <c r="H519" s="2635"/>
      <c r="I519" s="2635"/>
      <c r="J519" s="2635"/>
      <c r="K519" s="2635"/>
      <c r="L519" s="2635"/>
      <c r="M519" s="2635"/>
      <c r="N519" s="2635"/>
      <c r="O519" s="2635"/>
      <c r="P519" s="2635"/>
      <c r="Q519" s="2635"/>
      <c r="R519" s="2635"/>
      <c r="S519" s="2635"/>
      <c r="T519" s="2635"/>
      <c r="U519" s="2635"/>
      <c r="V519" s="2635"/>
      <c r="W519" s="2635"/>
      <c r="X519" s="2635"/>
      <c r="Y519" s="2635"/>
      <c r="Z519" s="2635"/>
      <c r="AA519" s="2635"/>
      <c r="AB519" s="2635"/>
      <c r="AC519" s="2635"/>
      <c r="AD519" s="2635"/>
      <c r="AE519" s="263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6" t="s">
        <v>591</v>
      </c>
      <c r="G521" s="2636"/>
      <c r="H521" s="263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39" t="s">
        <v>591</v>
      </c>
      <c r="D523" s="2540"/>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1"/>
      <c r="D525" s="2612"/>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3" t="s">
        <v>591</v>
      </c>
      <c r="H526" s="2613"/>
      <c r="I526" s="2613"/>
      <c r="J526" s="2613"/>
      <c r="K526" s="2613"/>
      <c r="L526" s="2613"/>
      <c r="M526" s="2613"/>
      <c r="N526" s="2613"/>
      <c r="O526" s="2613"/>
      <c r="P526" s="2613"/>
      <c r="Q526" s="2613"/>
      <c r="R526" s="2613"/>
      <c r="S526" s="2613"/>
      <c r="T526" s="2613"/>
      <c r="U526" s="2613"/>
      <c r="V526" s="2613"/>
      <c r="W526" s="2613"/>
      <c r="X526" s="2613"/>
      <c r="Y526" s="2613"/>
      <c r="Z526" s="2613"/>
      <c r="AA526" s="2613"/>
      <c r="AB526" s="2613"/>
      <c r="AC526" s="2613"/>
      <c r="AD526" s="2613"/>
      <c r="AE526" s="2613"/>
      <c r="AF526" s="261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4" t="s">
        <v>591</v>
      </c>
      <c r="D528" s="2615"/>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4" t="s">
        <v>591</v>
      </c>
      <c r="D532" s="2615"/>
      <c r="F532" s="786" t="s">
        <v>1537</v>
      </c>
      <c r="G532" s="2408" t="s">
        <v>1538</v>
      </c>
      <c r="H532" s="2408"/>
      <c r="I532" s="2408"/>
      <c r="J532" s="2408"/>
      <c r="K532" s="2408"/>
      <c r="L532" s="2408"/>
      <c r="M532" s="2408"/>
      <c r="N532" s="2408"/>
      <c r="O532" s="2408"/>
      <c r="P532" s="2408"/>
      <c r="Q532" s="2408"/>
      <c r="R532" s="2408"/>
      <c r="S532" s="2408"/>
      <c r="T532" s="2408"/>
      <c r="U532" s="2408"/>
      <c r="V532" s="2408"/>
      <c r="W532" s="2408"/>
      <c r="X532" s="2408"/>
      <c r="Y532" s="2408"/>
      <c r="Z532" s="2408"/>
      <c r="AA532" s="2408"/>
      <c r="AB532" s="2408"/>
      <c r="AC532" s="2408"/>
      <c r="AD532" s="2408"/>
      <c r="AE532" s="2408"/>
      <c r="AF532" s="2408"/>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4"/>
      <c r="H533" s="2564"/>
      <c r="I533" s="2564"/>
      <c r="J533" s="2564"/>
      <c r="K533" s="2564"/>
      <c r="L533" s="2564"/>
      <c r="M533" s="2564"/>
      <c r="N533" s="2564"/>
      <c r="O533" s="2564"/>
      <c r="P533" s="2564"/>
      <c r="Q533" s="2564"/>
      <c r="R533" s="2564"/>
      <c r="S533" s="2564"/>
      <c r="T533" s="2564"/>
      <c r="U533" s="2564"/>
      <c r="V533" s="2564"/>
      <c r="W533" s="2564"/>
      <c r="X533" s="2564"/>
      <c r="Y533" s="2564"/>
      <c r="Z533" s="2564"/>
      <c r="AA533" s="2564"/>
      <c r="AB533" s="2564"/>
      <c r="AC533" s="2564"/>
      <c r="AD533" s="2564"/>
      <c r="AE533" s="2564"/>
      <c r="AF533" s="2564"/>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6" t="s">
        <v>591</v>
      </c>
      <c r="D536" s="2617"/>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8" t="s">
        <v>591</v>
      </c>
      <c r="G537" s="2618"/>
      <c r="H537" s="2618"/>
      <c r="I537" s="2618"/>
      <c r="J537" s="2618"/>
      <c r="K537" s="2618"/>
      <c r="L537" s="2618"/>
      <c r="M537" s="2618"/>
      <c r="N537" s="2618"/>
      <c r="O537" s="2618"/>
      <c r="P537" s="2618"/>
      <c r="Q537" s="2618"/>
      <c r="R537" s="2618"/>
      <c r="S537" s="2618"/>
      <c r="T537" s="2618"/>
      <c r="U537" s="2618"/>
      <c r="V537" s="2618"/>
      <c r="W537" s="2618"/>
      <c r="X537" s="2618"/>
      <c r="Y537" s="2618"/>
      <c r="Z537" s="2618"/>
      <c r="AA537" s="2618"/>
      <c r="AB537" s="2618"/>
      <c r="AC537" s="2618"/>
      <c r="AD537" s="2618"/>
      <c r="AE537" s="2618"/>
      <c r="AF537" s="261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9"/>
      <c r="G538" s="2619"/>
      <c r="H538" s="2619"/>
      <c r="I538" s="2619"/>
      <c r="J538" s="2619"/>
      <c r="K538" s="2619"/>
      <c r="L538" s="2619"/>
      <c r="M538" s="2619"/>
      <c r="N538" s="2619"/>
      <c r="O538" s="2619"/>
      <c r="P538" s="2619"/>
      <c r="Q538" s="2619"/>
      <c r="R538" s="2619"/>
      <c r="S538" s="2619"/>
      <c r="T538" s="2619"/>
      <c r="U538" s="2619"/>
      <c r="V538" s="2619"/>
      <c r="W538" s="2619"/>
      <c r="X538" s="2619"/>
      <c r="Y538" s="2619"/>
      <c r="Z538" s="2619"/>
      <c r="AA538" s="2619"/>
      <c r="AB538" s="2619"/>
      <c r="AC538" s="2619"/>
      <c r="AD538" s="2619"/>
      <c r="AE538" s="2619"/>
      <c r="AF538" s="261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95">
        <f>SUM(AG492:AG537)</f>
        <v>0</v>
      </c>
      <c r="AL548" s="2496"/>
      <c r="AM548" s="2497"/>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7" t="s">
        <v>1550</v>
      </c>
      <c r="AF551" s="2437"/>
      <c r="AG551" s="2437"/>
      <c r="AH551" s="2437"/>
      <c r="AI551" s="2437"/>
      <c r="AJ551" s="2437"/>
      <c r="AK551" s="2437"/>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2" t="s">
        <v>545</v>
      </c>
      <c r="D554" s="2492"/>
      <c r="E554" s="545"/>
      <c r="F554" s="2543" t="s">
        <v>1551</v>
      </c>
      <c r="G554" s="2544"/>
      <c r="H554" s="2544"/>
      <c r="I554" s="2544"/>
      <c r="J554" s="2544"/>
      <c r="K554" s="2544"/>
      <c r="L554" s="2544"/>
      <c r="M554" s="2544"/>
      <c r="N554" s="2544"/>
      <c r="O554" s="2544"/>
      <c r="P554" s="2544"/>
      <c r="Q554" s="2544"/>
      <c r="R554" s="2544"/>
      <c r="S554" s="2544"/>
      <c r="T554" s="2544"/>
      <c r="U554" s="2544"/>
      <c r="V554" s="2544"/>
      <c r="W554" s="2544"/>
      <c r="X554" s="2544"/>
      <c r="Y554" s="2544"/>
      <c r="Z554" s="2544"/>
      <c r="AA554" s="2544"/>
      <c r="AB554" s="2544"/>
      <c r="AC554" s="2544"/>
      <c r="AD554" s="2544"/>
      <c r="AE554" s="2544"/>
      <c r="AF554" s="2544"/>
      <c r="AG554" s="2544"/>
      <c r="AH554" s="2544"/>
      <c r="AI554" s="2544"/>
      <c r="AJ554" s="2544"/>
      <c r="AK554" s="2544"/>
      <c r="AL554" s="2545"/>
      <c r="AM554" s="588"/>
      <c r="AN554" s="590"/>
    </row>
    <row r="555" spans="1:81" s="544" customFormat="1" ht="12.75" customHeight="1">
      <c r="B555" s="535"/>
      <c r="C555" s="545"/>
      <c r="D555" s="545"/>
      <c r="E555" s="545"/>
      <c r="F555" s="2546"/>
      <c r="G555" s="2547"/>
      <c r="H555" s="2547"/>
      <c r="I555" s="2547"/>
      <c r="J555" s="2547"/>
      <c r="K555" s="2547"/>
      <c r="L555" s="2547"/>
      <c r="M555" s="2547"/>
      <c r="N555" s="2547"/>
      <c r="O555" s="2547"/>
      <c r="P555" s="2547"/>
      <c r="Q555" s="2547"/>
      <c r="R555" s="2547"/>
      <c r="S555" s="2547"/>
      <c r="T555" s="2547"/>
      <c r="U555" s="2547"/>
      <c r="V555" s="2547"/>
      <c r="W555" s="2547"/>
      <c r="X555" s="2547"/>
      <c r="Y555" s="2547"/>
      <c r="Z555" s="2547"/>
      <c r="AA555" s="2547"/>
      <c r="AB555" s="2547"/>
      <c r="AC555" s="2547"/>
      <c r="AD555" s="2547"/>
      <c r="AE555" s="2547"/>
      <c r="AF555" s="2547"/>
      <c r="AG555" s="2547"/>
      <c r="AH555" s="2547"/>
      <c r="AI555" s="2547"/>
      <c r="AJ555" s="2547"/>
      <c r="AK555" s="2547"/>
      <c r="AL555" s="2548"/>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2" t="s">
        <v>591</v>
      </c>
      <c r="D557" s="2492"/>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6" t="s">
        <v>2617</v>
      </c>
      <c r="G558" s="2487"/>
      <c r="H558" s="2487"/>
      <c r="I558" s="2487"/>
      <c r="J558" s="2487"/>
      <c r="K558" s="2487"/>
      <c r="L558" s="2487"/>
      <c r="M558" s="2487"/>
      <c r="N558" s="2487"/>
      <c r="O558" s="2487"/>
      <c r="P558" s="2487"/>
      <c r="Q558" s="2487"/>
      <c r="R558" s="2487"/>
      <c r="S558" s="2487"/>
      <c r="T558" s="2487"/>
      <c r="U558" s="2487"/>
      <c r="V558" s="2487"/>
      <c r="W558" s="2487"/>
      <c r="X558" s="2487"/>
      <c r="Y558" s="2487"/>
      <c r="Z558" s="2487"/>
      <c r="AA558" s="2487"/>
      <c r="AB558" s="2487"/>
      <c r="AC558" s="2487"/>
      <c r="AD558" s="2487"/>
      <c r="AE558" s="2487"/>
      <c r="AF558" s="2487"/>
      <c r="AG558" s="2487"/>
      <c r="AH558" s="2487"/>
      <c r="AI558" s="2487"/>
      <c r="AJ558" s="2487"/>
      <c r="AK558" s="2487"/>
      <c r="AL558" s="2488"/>
      <c r="AM558" s="588"/>
      <c r="AN558" s="590"/>
      <c r="AS558" s="861"/>
      <c r="AT558" s="861"/>
      <c r="AU558" s="861"/>
      <c r="AV558" s="861"/>
      <c r="AW558" s="861"/>
    </row>
    <row r="559" spans="1:81" s="544" customFormat="1" ht="12.75" customHeight="1">
      <c r="B559" s="797"/>
      <c r="C559" s="797"/>
      <c r="D559" s="797"/>
      <c r="E559" s="797"/>
      <c r="F559" s="2486"/>
      <c r="G559" s="2487"/>
      <c r="H559" s="2487"/>
      <c r="I559" s="2487"/>
      <c r="J559" s="2487"/>
      <c r="K559" s="2487"/>
      <c r="L559" s="2487"/>
      <c r="M559" s="2487"/>
      <c r="N559" s="2487"/>
      <c r="O559" s="2487"/>
      <c r="P559" s="2487"/>
      <c r="Q559" s="2487"/>
      <c r="R559" s="2487"/>
      <c r="S559" s="2487"/>
      <c r="T559" s="2487"/>
      <c r="U559" s="2487"/>
      <c r="V559" s="2487"/>
      <c r="W559" s="2487"/>
      <c r="X559" s="2487"/>
      <c r="Y559" s="2487"/>
      <c r="Z559" s="2487"/>
      <c r="AA559" s="2487"/>
      <c r="AB559" s="2487"/>
      <c r="AC559" s="2487"/>
      <c r="AD559" s="2487"/>
      <c r="AE559" s="2487"/>
      <c r="AF559" s="2487"/>
      <c r="AG559" s="2487"/>
      <c r="AH559" s="2487"/>
      <c r="AI559" s="2487"/>
      <c r="AJ559" s="2487"/>
      <c r="AK559" s="2487"/>
      <c r="AL559" s="2488"/>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6" t="s">
        <v>1553</v>
      </c>
      <c r="G561" s="2487"/>
      <c r="H561" s="2487"/>
      <c r="I561" s="2487"/>
      <c r="J561" s="2487"/>
      <c r="K561" s="2487"/>
      <c r="L561" s="2487"/>
      <c r="M561" s="2487"/>
      <c r="N561" s="2487"/>
      <c r="O561" s="2487"/>
      <c r="P561" s="2487"/>
      <c r="Q561" s="2487"/>
      <c r="R561" s="2487"/>
      <c r="S561" s="2487"/>
      <c r="T561" s="2487"/>
      <c r="U561" s="2487"/>
      <c r="V561" s="2487"/>
      <c r="W561" s="2487"/>
      <c r="X561" s="2487"/>
      <c r="Y561" s="2487"/>
      <c r="Z561" s="2487"/>
      <c r="AA561" s="2487"/>
      <c r="AB561" s="2487"/>
      <c r="AC561" s="2487"/>
      <c r="AD561" s="2487"/>
      <c r="AE561" s="2487"/>
      <c r="AF561" s="2487"/>
      <c r="AG561" s="2487"/>
      <c r="AH561" s="2487"/>
      <c r="AI561" s="2487"/>
      <c r="AJ561" s="2487"/>
      <c r="AK561" s="2487"/>
      <c r="AL561" s="804"/>
      <c r="AM561" s="588"/>
      <c r="AN561" s="590"/>
    </row>
    <row r="562" spans="1:45" s="544" customFormat="1" ht="12.75" customHeight="1">
      <c r="B562" s="797"/>
      <c r="C562" s="797"/>
      <c r="D562" s="797"/>
      <c r="E562" s="797"/>
      <c r="F562" s="2489"/>
      <c r="G562" s="2490"/>
      <c r="H562" s="2490"/>
      <c r="I562" s="2490"/>
      <c r="J562" s="2490"/>
      <c r="K562" s="2490"/>
      <c r="L562" s="2490"/>
      <c r="M562" s="2490"/>
      <c r="N562" s="2490"/>
      <c r="O562" s="2490"/>
      <c r="P562" s="2490"/>
      <c r="Q562" s="2490"/>
      <c r="R562" s="2490"/>
      <c r="S562" s="2490"/>
      <c r="T562" s="2490"/>
      <c r="U562" s="2490"/>
      <c r="V562" s="2490"/>
      <c r="W562" s="2490"/>
      <c r="X562" s="2490"/>
      <c r="Y562" s="2490"/>
      <c r="Z562" s="2490"/>
      <c r="AA562" s="2490"/>
      <c r="AB562" s="2490"/>
      <c r="AC562" s="2490"/>
      <c r="AD562" s="2490"/>
      <c r="AE562" s="2490"/>
      <c r="AF562" s="2490"/>
      <c r="AG562" s="2490"/>
      <c r="AH562" s="2490"/>
      <c r="AI562" s="2490"/>
      <c r="AJ562" s="2490"/>
      <c r="AK562" s="2490"/>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5">
        <f>Application!AJ1001</f>
        <v>50867348</v>
      </c>
      <c r="AQ563" s="2625"/>
      <c r="AR563" s="2625"/>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8">
        <f>'Sources and Uses Budget'!S107+'Sources and Uses Budget'!T107</f>
        <v>49855828</v>
      </c>
      <c r="AG564" s="2498"/>
      <c r="AH564" s="2498"/>
      <c r="AI564" s="2498"/>
      <c r="AJ564" s="2498"/>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9">
        <f>IFERROR(AP572,0)</f>
        <v>78608551.400000006</v>
      </c>
      <c r="AG565" s="2629"/>
      <c r="AH565" s="2629"/>
      <c r="AI565" s="2629"/>
      <c r="AJ565" s="2629"/>
      <c r="AK565" s="588"/>
      <c r="AL565" s="588"/>
      <c r="AM565" s="588"/>
      <c r="AN565" s="590"/>
      <c r="AP565" s="2625">
        <f>Application!AJ1054</f>
        <v>5086734.8000000007</v>
      </c>
      <c r="AQ565" s="2625"/>
      <c r="AR565" s="2625"/>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0">
        <f>IFERROR(ROUNDDOWN(IF(C557="YES",((1-(AF564/AF565))*2),(1-(AF564/AF565))),2),0)</f>
        <v>0.36</v>
      </c>
      <c r="AG566" s="2630"/>
      <c r="AH566" s="2630"/>
      <c r="AI566" s="2630"/>
      <c r="AJ566" s="2630"/>
      <c r="AK566" s="588"/>
      <c r="AL566" s="588"/>
      <c r="AM566" s="588"/>
      <c r="AN566" s="590"/>
      <c r="AP566" s="2645">
        <f>Application!AJ1058</f>
        <v>10173469.600000001</v>
      </c>
      <c r="AQ566" s="2645"/>
      <c r="AR566" s="2645"/>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4">
        <f>IF(((AP565+AP566)/AP563)&gt;0.8,0.8,((AP565+AP566)/AP563))</f>
        <v>0.30000000000000004</v>
      </c>
      <c r="AQ567" s="2624"/>
      <c r="AR567" s="2624"/>
      <c r="AS567" s="544" t="s">
        <v>2120</v>
      </c>
    </row>
    <row r="568" spans="1:45" s="544" customFormat="1" ht="12.75" customHeight="1">
      <c r="A568" s="617"/>
      <c r="B568" s="2571" t="s">
        <v>1987</v>
      </c>
      <c r="C568" s="2572"/>
      <c r="D568" s="2572"/>
      <c r="E568" s="2572"/>
      <c r="F568" s="2572"/>
      <c r="G568" s="2572"/>
      <c r="H568" s="2572"/>
      <c r="I568" s="2572"/>
      <c r="J568" s="2572"/>
      <c r="K568" s="2572"/>
      <c r="L568" s="2572"/>
      <c r="M568" s="2572"/>
      <c r="N568" s="2572"/>
      <c r="O568" s="2572"/>
      <c r="P568" s="2572"/>
      <c r="Q568" s="2572"/>
      <c r="R568" s="2572"/>
      <c r="S568" s="2572"/>
      <c r="T568" s="2572"/>
      <c r="U568" s="2572"/>
      <c r="V568" s="2572"/>
      <c r="W568" s="2572"/>
      <c r="X568" s="2572"/>
      <c r="Y568" s="2572"/>
      <c r="Z568" s="2572"/>
      <c r="AA568" s="2572"/>
      <c r="AB568" s="2572"/>
      <c r="AC568" s="2572"/>
      <c r="AD568" s="2572"/>
      <c r="AE568" s="2572"/>
      <c r="AF568" s="2572"/>
      <c r="AG568" s="2572"/>
      <c r="AH568" s="2572"/>
      <c r="AI568" s="2572"/>
      <c r="AJ568" s="2573"/>
      <c r="AK568" s="588"/>
      <c r="AL568" s="588"/>
      <c r="AM568" s="588"/>
      <c r="AN568" s="590"/>
    </row>
    <row r="569" spans="1:45" s="544" customFormat="1" ht="12.75" customHeight="1">
      <c r="A569" s="617"/>
      <c r="B569" s="2574"/>
      <c r="C569" s="2575"/>
      <c r="D569" s="2575"/>
      <c r="E569" s="2575"/>
      <c r="F569" s="2575"/>
      <c r="G569" s="2575"/>
      <c r="H569" s="2575"/>
      <c r="I569" s="2575"/>
      <c r="J569" s="2575"/>
      <c r="K569" s="2575"/>
      <c r="L569" s="2575"/>
      <c r="M569" s="2575"/>
      <c r="N569" s="2575"/>
      <c r="O569" s="2575"/>
      <c r="P569" s="2575"/>
      <c r="Q569" s="2575"/>
      <c r="R569" s="2575"/>
      <c r="S569" s="2575"/>
      <c r="T569" s="2575"/>
      <c r="U569" s="2575"/>
      <c r="V569" s="2575"/>
      <c r="W569" s="2575"/>
      <c r="X569" s="2575"/>
      <c r="Y569" s="2575"/>
      <c r="Z569" s="2575"/>
      <c r="AA569" s="2575"/>
      <c r="AB569" s="2575"/>
      <c r="AC569" s="2575"/>
      <c r="AD569" s="2575"/>
      <c r="AE569" s="2575"/>
      <c r="AF569" s="2575"/>
      <c r="AG569" s="2575"/>
      <c r="AH569" s="2575"/>
      <c r="AI569" s="2575"/>
      <c r="AJ569" s="2576"/>
      <c r="AK569" s="588"/>
      <c r="AL569" s="588"/>
      <c r="AM569" s="588"/>
      <c r="AN569" s="590"/>
      <c r="AP569" s="2625">
        <f>AP570-AP565-AP566</f>
        <v>63348347.000000007</v>
      </c>
      <c r="AQ569" s="2556"/>
      <c r="AR569" s="2556"/>
      <c r="AS569" s="544" t="s">
        <v>2122</v>
      </c>
    </row>
    <row r="570" spans="1:45" s="544" customFormat="1" ht="12.75" customHeight="1">
      <c r="A570" s="617"/>
      <c r="B570" s="2577"/>
      <c r="C570" s="2578"/>
      <c r="D570" s="2578"/>
      <c r="E570" s="2578"/>
      <c r="F570" s="2578"/>
      <c r="G570" s="2578"/>
      <c r="H570" s="2578"/>
      <c r="I570" s="2578"/>
      <c r="J570" s="2578"/>
      <c r="K570" s="2578"/>
      <c r="L570" s="2578"/>
      <c r="M570" s="2578"/>
      <c r="N570" s="2578"/>
      <c r="O570" s="2578"/>
      <c r="P570" s="2578"/>
      <c r="Q570" s="2578"/>
      <c r="R570" s="2578"/>
      <c r="S570" s="2578"/>
      <c r="T570" s="2578"/>
      <c r="U570" s="2578"/>
      <c r="V570" s="2578"/>
      <c r="W570" s="2578"/>
      <c r="X570" s="2578"/>
      <c r="Y570" s="2578"/>
      <c r="Z570" s="2578"/>
      <c r="AA570" s="2578"/>
      <c r="AB570" s="2578"/>
      <c r="AC570" s="2578"/>
      <c r="AD570" s="2578"/>
      <c r="AE570" s="2578"/>
      <c r="AF570" s="2578"/>
      <c r="AG570" s="2578"/>
      <c r="AH570" s="2578"/>
      <c r="AI570" s="2578"/>
      <c r="AJ570" s="2579"/>
      <c r="AK570" s="588"/>
      <c r="AL570" s="588"/>
      <c r="AM570" s="588"/>
      <c r="AN570" s="590"/>
      <c r="AP570" s="2625">
        <f>Application!AJ1062</f>
        <v>78608551.400000006</v>
      </c>
      <c r="AQ570" s="2625"/>
      <c r="AR570" s="2625"/>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80">
        <f>IFERROR(IF(AND(C554="N/A",C557="N/A"),0,IF(AF566=0,0,IF((AF566*100)&gt;12,12,(AF566*100)))),0)</f>
        <v>12</v>
      </c>
      <c r="AL572" s="2580"/>
      <c r="AM572" s="2581"/>
      <c r="AN572" s="590"/>
      <c r="AP572" s="2638">
        <f>AP569+(AP563*AP567)</f>
        <v>78608551.400000006</v>
      </c>
      <c r="AQ572" s="2639"/>
      <c r="AR572" s="2640"/>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7" t="s">
        <v>1307</v>
      </c>
      <c r="AF575" s="2437"/>
      <c r="AG575" s="2437"/>
      <c r="AH575" s="2437"/>
      <c r="AI575" s="2437"/>
      <c r="AJ575" s="2437"/>
      <c r="AK575" s="243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7" t="s">
        <v>1979</v>
      </c>
      <c r="C577" s="2487"/>
      <c r="D577" s="2487"/>
      <c r="E577" s="2487"/>
      <c r="F577" s="2487"/>
      <c r="G577" s="2487"/>
      <c r="H577" s="2487"/>
      <c r="I577" s="2487"/>
      <c r="J577" s="2487"/>
      <c r="K577" s="2487"/>
      <c r="L577" s="2487"/>
      <c r="M577" s="2487"/>
      <c r="N577" s="2487"/>
      <c r="O577" s="2487"/>
      <c r="P577" s="2487"/>
      <c r="Q577" s="2487"/>
      <c r="R577" s="2487"/>
      <c r="S577" s="2487"/>
      <c r="T577" s="2487"/>
      <c r="U577" s="2487"/>
      <c r="V577" s="2487"/>
      <c r="W577" s="2487"/>
      <c r="X577" s="2487"/>
      <c r="Y577" s="2487"/>
      <c r="Z577" s="2487"/>
      <c r="AA577" s="2487"/>
      <c r="AB577" s="2487"/>
      <c r="AC577" s="2487"/>
      <c r="AD577" s="2487"/>
      <c r="AE577" s="2487"/>
      <c r="AF577" s="2487"/>
      <c r="AG577" s="2487"/>
      <c r="AH577" s="2487"/>
      <c r="AI577" s="2487"/>
      <c r="AJ577" s="2487"/>
      <c r="AK577" s="635"/>
      <c r="AL577" s="566"/>
      <c r="AM577" s="596"/>
      <c r="AN577" s="590"/>
    </row>
    <row r="578" spans="1:42" s="544" customFormat="1" ht="12.75" customHeight="1">
      <c r="A578" s="596"/>
      <c r="B578" s="2487"/>
      <c r="C578" s="2487"/>
      <c r="D578" s="2487"/>
      <c r="E578" s="2487"/>
      <c r="F578" s="2487"/>
      <c r="G578" s="2487"/>
      <c r="H578" s="2487"/>
      <c r="I578" s="2487"/>
      <c r="J578" s="2487"/>
      <c r="K578" s="2487"/>
      <c r="L578" s="2487"/>
      <c r="M578" s="2487"/>
      <c r="N578" s="2487"/>
      <c r="O578" s="2487"/>
      <c r="P578" s="2487"/>
      <c r="Q578" s="2487"/>
      <c r="R578" s="2487"/>
      <c r="S578" s="2487"/>
      <c r="T578" s="2487"/>
      <c r="U578" s="2487"/>
      <c r="V578" s="2487"/>
      <c r="W578" s="2487"/>
      <c r="X578" s="2487"/>
      <c r="Y578" s="2487"/>
      <c r="Z578" s="2487"/>
      <c r="AA578" s="2487"/>
      <c r="AB578" s="2487"/>
      <c r="AC578" s="2487"/>
      <c r="AD578" s="2487"/>
      <c r="AE578" s="2487"/>
      <c r="AF578" s="2487"/>
      <c r="AG578" s="2487"/>
      <c r="AH578" s="2487"/>
      <c r="AI578" s="2487"/>
      <c r="AJ578" s="2487"/>
      <c r="AK578" s="635"/>
      <c r="AL578" s="566"/>
      <c r="AM578" s="596"/>
      <c r="AN578" s="590"/>
    </row>
    <row r="579" spans="1:42" s="544" customFormat="1" ht="12.75" customHeight="1">
      <c r="A579" s="596"/>
      <c r="B579" s="2487"/>
      <c r="C579" s="2487"/>
      <c r="D579" s="2487"/>
      <c r="E579" s="2487"/>
      <c r="F579" s="2487"/>
      <c r="G579" s="2487"/>
      <c r="H579" s="2487"/>
      <c r="I579" s="2487"/>
      <c r="J579" s="2487"/>
      <c r="K579" s="2487"/>
      <c r="L579" s="2487"/>
      <c r="M579" s="2487"/>
      <c r="N579" s="2487"/>
      <c r="O579" s="2487"/>
      <c r="P579" s="2487"/>
      <c r="Q579" s="2487"/>
      <c r="R579" s="2487"/>
      <c r="S579" s="2487"/>
      <c r="T579" s="2487"/>
      <c r="U579" s="2487"/>
      <c r="V579" s="2487"/>
      <c r="W579" s="2487"/>
      <c r="X579" s="2487"/>
      <c r="Y579" s="2487"/>
      <c r="Z579" s="2487"/>
      <c r="AA579" s="2487"/>
      <c r="AB579" s="2487"/>
      <c r="AC579" s="2487"/>
      <c r="AD579" s="2487"/>
      <c r="AE579" s="2487"/>
      <c r="AF579" s="2487"/>
      <c r="AG579" s="2487"/>
      <c r="AH579" s="2487"/>
      <c r="AI579" s="2487"/>
      <c r="AJ579" s="2487"/>
      <c r="AK579" s="635"/>
      <c r="AL579" s="566"/>
      <c r="AM579" s="596"/>
      <c r="AN579" s="590"/>
    </row>
    <row r="580" spans="1:42" s="544" customFormat="1" ht="12.75" customHeight="1">
      <c r="A580" s="596"/>
      <c r="B580" s="2487"/>
      <c r="C580" s="2487"/>
      <c r="D580" s="2487"/>
      <c r="E580" s="2487"/>
      <c r="F580" s="2487"/>
      <c r="G580" s="2487"/>
      <c r="H580" s="2487"/>
      <c r="I580" s="2487"/>
      <c r="J580" s="2487"/>
      <c r="K580" s="2487"/>
      <c r="L580" s="2487"/>
      <c r="M580" s="2487"/>
      <c r="N580" s="2487"/>
      <c r="O580" s="2487"/>
      <c r="P580" s="2487"/>
      <c r="Q580" s="2487"/>
      <c r="R580" s="2487"/>
      <c r="S580" s="2487"/>
      <c r="T580" s="2487"/>
      <c r="U580" s="2487"/>
      <c r="V580" s="2487"/>
      <c r="W580" s="2487"/>
      <c r="X580" s="2487"/>
      <c r="Y580" s="2487"/>
      <c r="Z580" s="2487"/>
      <c r="AA580" s="2487"/>
      <c r="AB580" s="2487"/>
      <c r="AC580" s="2487"/>
      <c r="AD580" s="2487"/>
      <c r="AE580" s="2487"/>
      <c r="AF580" s="2487"/>
      <c r="AG580" s="2487"/>
      <c r="AH580" s="2487"/>
      <c r="AI580" s="2487"/>
      <c r="AJ580" s="2487"/>
      <c r="AK580" s="635"/>
      <c r="AL580" s="566"/>
      <c r="AM580" s="596"/>
      <c r="AN580" s="590"/>
    </row>
    <row r="581" spans="1:42" s="544" customFormat="1" ht="12.75" customHeight="1">
      <c r="A581" s="596"/>
      <c r="B581" s="2487"/>
      <c r="C581" s="2487"/>
      <c r="D581" s="2487"/>
      <c r="E581" s="2487"/>
      <c r="F581" s="2487"/>
      <c r="G581" s="2487"/>
      <c r="H581" s="2487"/>
      <c r="I581" s="2487"/>
      <c r="J581" s="2487"/>
      <c r="K581" s="2487"/>
      <c r="L581" s="2487"/>
      <c r="M581" s="2487"/>
      <c r="N581" s="2487"/>
      <c r="O581" s="2487"/>
      <c r="P581" s="2487"/>
      <c r="Q581" s="2487"/>
      <c r="R581" s="2487"/>
      <c r="S581" s="2487"/>
      <c r="T581" s="2487"/>
      <c r="U581" s="2487"/>
      <c r="V581" s="2487"/>
      <c r="W581" s="2487"/>
      <c r="X581" s="2487"/>
      <c r="Y581" s="2487"/>
      <c r="Z581" s="2487"/>
      <c r="AA581" s="2487"/>
      <c r="AB581" s="2487"/>
      <c r="AC581" s="2487"/>
      <c r="AD581" s="2487"/>
      <c r="AE581" s="2487"/>
      <c r="AF581" s="2487"/>
      <c r="AG581" s="2487"/>
      <c r="AH581" s="2487"/>
      <c r="AI581" s="2487"/>
      <c r="AJ581" s="2487"/>
      <c r="AK581" s="635"/>
      <c r="AL581" s="566"/>
      <c r="AM581" s="596"/>
      <c r="AN581" s="590"/>
    </row>
    <row r="582" spans="1:42" s="544" customFormat="1" ht="12.75" customHeight="1">
      <c r="A582" s="596"/>
      <c r="B582" s="2487"/>
      <c r="C582" s="2487"/>
      <c r="D582" s="2487"/>
      <c r="E582" s="2487"/>
      <c r="F582" s="2487"/>
      <c r="G582" s="2487"/>
      <c r="H582" s="2487"/>
      <c r="I582" s="2487"/>
      <c r="J582" s="2487"/>
      <c r="K582" s="2487"/>
      <c r="L582" s="2487"/>
      <c r="M582" s="2487"/>
      <c r="N582" s="2487"/>
      <c r="O582" s="2487"/>
      <c r="P582" s="2487"/>
      <c r="Q582" s="2487"/>
      <c r="R582" s="2487"/>
      <c r="S582" s="2487"/>
      <c r="T582" s="2487"/>
      <c r="U582" s="2487"/>
      <c r="V582" s="2487"/>
      <c r="W582" s="2487"/>
      <c r="X582" s="2487"/>
      <c r="Y582" s="2487"/>
      <c r="Z582" s="2487"/>
      <c r="AA582" s="2487"/>
      <c r="AB582" s="2487"/>
      <c r="AC582" s="2487"/>
      <c r="AD582" s="2487"/>
      <c r="AE582" s="2487"/>
      <c r="AF582" s="2487"/>
      <c r="AG582" s="2487"/>
      <c r="AH582" s="2487"/>
      <c r="AI582" s="2487"/>
      <c r="AJ582" s="2487"/>
      <c r="AK582" s="635"/>
      <c r="AL582" s="566"/>
      <c r="AM582" s="596"/>
      <c r="AN582" s="590"/>
    </row>
    <row r="583" spans="1:42" s="544" customFormat="1" ht="12.75" customHeight="1">
      <c r="A583" s="596"/>
      <c r="B583" s="2487"/>
      <c r="C583" s="2487"/>
      <c r="D583" s="2487"/>
      <c r="E583" s="2487"/>
      <c r="F583" s="2487"/>
      <c r="G583" s="2487"/>
      <c r="H583" s="2487"/>
      <c r="I583" s="2487"/>
      <c r="J583" s="2487"/>
      <c r="K583" s="2487"/>
      <c r="L583" s="2487"/>
      <c r="M583" s="2487"/>
      <c r="N583" s="2487"/>
      <c r="O583" s="2487"/>
      <c r="P583" s="2487"/>
      <c r="Q583" s="2487"/>
      <c r="R583" s="2487"/>
      <c r="S583" s="2487"/>
      <c r="T583" s="2487"/>
      <c r="U583" s="2487"/>
      <c r="V583" s="2487"/>
      <c r="W583" s="2487"/>
      <c r="X583" s="2487"/>
      <c r="Y583" s="2487"/>
      <c r="Z583" s="2487"/>
      <c r="AA583" s="2487"/>
      <c r="AB583" s="2487"/>
      <c r="AC583" s="2487"/>
      <c r="AD583" s="2487"/>
      <c r="AE583" s="2487"/>
      <c r="AF583" s="2487"/>
      <c r="AG583" s="2487"/>
      <c r="AH583" s="2487"/>
      <c r="AI583" s="2487"/>
      <c r="AJ583" s="2487"/>
      <c r="AK583" s="635"/>
      <c r="AL583" s="566"/>
      <c r="AM583" s="596"/>
      <c r="AN583" s="590"/>
    </row>
    <row r="584" spans="1:42" ht="12.75" customHeight="1">
      <c r="A584" s="596"/>
      <c r="B584" s="2487"/>
      <c r="C584" s="2487"/>
      <c r="D584" s="2487"/>
      <c r="E584" s="2487"/>
      <c r="F584" s="2487"/>
      <c r="G584" s="2487"/>
      <c r="H584" s="2487"/>
      <c r="I584" s="2487"/>
      <c r="J584" s="2487"/>
      <c r="K584" s="2487"/>
      <c r="L584" s="2487"/>
      <c r="M584" s="2487"/>
      <c r="N584" s="2487"/>
      <c r="O584" s="2487"/>
      <c r="P584" s="2487"/>
      <c r="Q584" s="2487"/>
      <c r="R584" s="2487"/>
      <c r="S584" s="2487"/>
      <c r="T584" s="2487"/>
      <c r="U584" s="2487"/>
      <c r="V584" s="2487"/>
      <c r="W584" s="2487"/>
      <c r="X584" s="2487"/>
      <c r="Y584" s="2487"/>
      <c r="Z584" s="2487"/>
      <c r="AA584" s="2487"/>
      <c r="AB584" s="2487"/>
      <c r="AC584" s="2487"/>
      <c r="AD584" s="2487"/>
      <c r="AE584" s="2487"/>
      <c r="AF584" s="2487"/>
      <c r="AG584" s="2487"/>
      <c r="AH584" s="2487"/>
      <c r="AI584" s="2487"/>
      <c r="AJ584" s="2487"/>
      <c r="AK584" s="635"/>
      <c r="AL584" s="566"/>
      <c r="AM584" s="596"/>
    </row>
    <row r="585" spans="1:42" s="544" customFormat="1" ht="12.75" customHeight="1">
      <c r="B585" s="2487"/>
      <c r="C585" s="2487"/>
      <c r="D585" s="2487"/>
      <c r="E585" s="2487"/>
      <c r="F585" s="2487"/>
      <c r="G585" s="2487"/>
      <c r="H585" s="2487"/>
      <c r="I585" s="2487"/>
      <c r="J585" s="2487"/>
      <c r="K585" s="2487"/>
      <c r="L585" s="2487"/>
      <c r="M585" s="2487"/>
      <c r="N585" s="2487"/>
      <c r="O585" s="2487"/>
      <c r="P585" s="2487"/>
      <c r="Q585" s="2487"/>
      <c r="R585" s="2487"/>
      <c r="S585" s="2487"/>
      <c r="T585" s="2487"/>
      <c r="U585" s="2487"/>
      <c r="V585" s="2487"/>
      <c r="W585" s="2487"/>
      <c r="X585" s="2487"/>
      <c r="Y585" s="2487"/>
      <c r="Z585" s="2487"/>
      <c r="AA585" s="2487"/>
      <c r="AB585" s="2487"/>
      <c r="AC585" s="2487"/>
      <c r="AD585" s="2487"/>
      <c r="AE585" s="2487"/>
      <c r="AF585" s="2487"/>
      <c r="AG585" s="2487"/>
      <c r="AH585" s="2487"/>
      <c r="AI585" s="2487"/>
      <c r="AJ585" s="248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0" t="s">
        <v>1331</v>
      </c>
      <c r="AG591" s="2470"/>
      <c r="AH591" s="2470"/>
      <c r="AI591" s="2470"/>
      <c r="AJ591" s="2470"/>
      <c r="AK591" s="2470"/>
      <c r="AL591" s="2470"/>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0" t="s">
        <v>1387</v>
      </c>
      <c r="AG598" s="2470"/>
      <c r="AH598" s="2470"/>
      <c r="AI598" s="2470"/>
      <c r="AJ598" s="2470"/>
      <c r="AK598" s="2470"/>
      <c r="AL598" s="2470"/>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0" t="s">
        <v>1370</v>
      </c>
      <c r="AG604" s="2470"/>
      <c r="AH604" s="2470"/>
      <c r="AI604" s="2470"/>
      <c r="AJ604" s="2470"/>
      <c r="AK604" s="2470"/>
      <c r="AL604" s="2470"/>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0" t="s">
        <v>1390</v>
      </c>
      <c r="AG610" s="2470"/>
      <c r="AH610" s="2470"/>
      <c r="AI610" s="2470"/>
      <c r="AJ610" s="2470"/>
      <c r="AK610" s="2470"/>
      <c r="AL610" s="2470"/>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2" t="s">
        <v>1183</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0" t="s">
        <v>1345</v>
      </c>
      <c r="AG616" s="2470"/>
      <c r="AH616" s="2470"/>
      <c r="AI616" s="2470"/>
      <c r="AJ616" s="2470"/>
      <c r="AK616" s="2470"/>
      <c r="AL616" s="2470"/>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550" t="s">
        <v>278</v>
      </c>
      <c r="I619" s="2550"/>
      <c r="J619" s="927"/>
      <c r="K619" s="927"/>
      <c r="L619" s="927"/>
      <c r="N619" s="22"/>
      <c r="O619" s="22"/>
      <c r="P619" s="22"/>
      <c r="Q619" s="1140" t="s">
        <v>2125</v>
      </c>
      <c r="R619" s="2553" t="s">
        <v>2126</v>
      </c>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1" t="s">
        <v>591</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82" t="s">
        <v>591</v>
      </c>
      <c r="C629" s="2482"/>
      <c r="D629" s="635"/>
      <c r="E629" s="2487" t="s">
        <v>1394</v>
      </c>
      <c r="F629" s="2487"/>
      <c r="G629" s="2487"/>
      <c r="H629" s="2487"/>
      <c r="I629" s="2487"/>
      <c r="J629" s="2487"/>
      <c r="K629" s="2487"/>
      <c r="L629" s="2487"/>
      <c r="M629" s="2487"/>
      <c r="N629" s="2487"/>
      <c r="O629" s="2487"/>
      <c r="P629" s="2487"/>
      <c r="Q629" s="2487"/>
      <c r="R629" s="2487"/>
      <c r="S629" s="2487"/>
      <c r="T629" s="2487"/>
      <c r="U629" s="2487"/>
      <c r="V629" s="2487"/>
      <c r="W629" s="2487"/>
      <c r="X629" s="2487"/>
      <c r="Y629" s="2487"/>
      <c r="Z629" s="2487"/>
      <c r="AA629" s="2487"/>
      <c r="AB629" s="2487"/>
      <c r="AC629" s="2487"/>
      <c r="AD629" s="2487"/>
      <c r="AE629" s="2487"/>
      <c r="AF629" s="2487"/>
      <c r="AG629" s="2487"/>
      <c r="AH629" s="635"/>
      <c r="AI629" s="635"/>
      <c r="AJ629" s="635"/>
      <c r="AK629" s="635"/>
      <c r="AL629" s="635"/>
      <c r="AN629" s="590"/>
    </row>
    <row r="630" spans="1:42" s="544" customFormat="1" ht="12.75" customHeight="1">
      <c r="B630" s="532"/>
      <c r="C630" s="924"/>
      <c r="D630" s="635"/>
      <c r="E630" s="2487"/>
      <c r="F630" s="2487"/>
      <c r="G630" s="2487"/>
      <c r="H630" s="2487"/>
      <c r="I630" s="2487"/>
      <c r="J630" s="2487"/>
      <c r="K630" s="2487"/>
      <c r="L630" s="2487"/>
      <c r="M630" s="2487"/>
      <c r="N630" s="2487"/>
      <c r="O630" s="2487"/>
      <c r="P630" s="2487"/>
      <c r="Q630" s="2487"/>
      <c r="R630" s="2487"/>
      <c r="S630" s="2487"/>
      <c r="T630" s="2487"/>
      <c r="U630" s="2487"/>
      <c r="V630" s="2487"/>
      <c r="W630" s="2487"/>
      <c r="X630" s="2487"/>
      <c r="Y630" s="2487"/>
      <c r="Z630" s="2487"/>
      <c r="AA630" s="2487"/>
      <c r="AB630" s="2487"/>
      <c r="AC630" s="2487"/>
      <c r="AD630" s="2487"/>
      <c r="AE630" s="2487"/>
      <c r="AF630" s="2487"/>
      <c r="AG630" s="2487"/>
      <c r="AH630" s="635"/>
      <c r="AI630" s="635"/>
      <c r="AJ630" s="635"/>
      <c r="AK630" s="635"/>
      <c r="AL630" s="635"/>
      <c r="AN630" s="590"/>
    </row>
    <row r="631" spans="1:42" s="544" customFormat="1" ht="12.75" customHeight="1">
      <c r="B631" s="532"/>
      <c r="C631" s="924"/>
      <c r="D631" s="635"/>
      <c r="E631" s="2487"/>
      <c r="F631" s="2487"/>
      <c r="G631" s="2487"/>
      <c r="H631" s="2487"/>
      <c r="I631" s="2487"/>
      <c r="J631" s="2487"/>
      <c r="K631" s="2487"/>
      <c r="L631" s="2487"/>
      <c r="M631" s="2487"/>
      <c r="N631" s="2487"/>
      <c r="O631" s="2487"/>
      <c r="P631" s="2487"/>
      <c r="Q631" s="2487"/>
      <c r="R631" s="2487"/>
      <c r="S631" s="2487"/>
      <c r="T631" s="2487"/>
      <c r="U631" s="2487"/>
      <c r="V631" s="2487"/>
      <c r="W631" s="2487"/>
      <c r="X631" s="2487"/>
      <c r="Y631" s="2487"/>
      <c r="Z631" s="2487"/>
      <c r="AA631" s="2487"/>
      <c r="AB631" s="2487"/>
      <c r="AC631" s="2487"/>
      <c r="AD631" s="2487"/>
      <c r="AE631" s="2487"/>
      <c r="AF631" s="2487"/>
      <c r="AG631" s="2487"/>
      <c r="AH631" s="635"/>
      <c r="AI631" s="635"/>
      <c r="AJ631" s="635"/>
      <c r="AK631" s="635"/>
      <c r="AL631" s="635"/>
      <c r="AN631" s="590"/>
    </row>
    <row r="632" spans="1:42" s="544" customFormat="1" ht="12.75" customHeight="1">
      <c r="B632" s="532"/>
      <c r="C632" s="924"/>
      <c r="D632" s="635"/>
      <c r="E632" s="2487"/>
      <c r="F632" s="2487"/>
      <c r="G632" s="2487"/>
      <c r="H632" s="2487"/>
      <c r="I632" s="2487"/>
      <c r="J632" s="2487"/>
      <c r="K632" s="2487"/>
      <c r="L632" s="2487"/>
      <c r="M632" s="2487"/>
      <c r="N632" s="2487"/>
      <c r="O632" s="2487"/>
      <c r="P632" s="2487"/>
      <c r="Q632" s="2487"/>
      <c r="R632" s="2487"/>
      <c r="S632" s="2487"/>
      <c r="T632" s="2487"/>
      <c r="U632" s="2487"/>
      <c r="V632" s="2487"/>
      <c r="W632" s="2487"/>
      <c r="X632" s="2487"/>
      <c r="Y632" s="2487"/>
      <c r="Z632" s="2487"/>
      <c r="AA632" s="2487"/>
      <c r="AB632" s="2487"/>
      <c r="AC632" s="2487"/>
      <c r="AD632" s="2487"/>
      <c r="AE632" s="2487"/>
      <c r="AF632" s="2487"/>
      <c r="AG632" s="248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95">
        <f>VLOOKUP($H$619,$AO$599:$AP$604,2,FALSE)+IF(R619=AO607,0,VLOOKUP($I$627,$AO$626:$AP$628,2,FALSE))</f>
        <v>5</v>
      </c>
      <c r="AK634" s="2497"/>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49" t="s">
        <v>1682</v>
      </c>
      <c r="F638" s="2549"/>
      <c r="G638" s="2549"/>
      <c r="H638" s="2549"/>
      <c r="I638" s="2549"/>
      <c r="J638" s="2549"/>
      <c r="K638" s="2549"/>
      <c r="L638" s="2549"/>
      <c r="M638" s="2549"/>
      <c r="N638" s="2549"/>
      <c r="O638" s="2549"/>
      <c r="P638" s="2549"/>
      <c r="Q638" s="2549"/>
      <c r="R638" s="2549"/>
      <c r="S638" s="2549"/>
      <c r="T638" s="2549"/>
      <c r="U638" s="2549"/>
      <c r="V638" s="2549"/>
      <c r="W638" s="2549"/>
      <c r="X638" s="2549"/>
      <c r="Y638" s="2549"/>
      <c r="Z638" s="2549"/>
      <c r="AA638" s="2549"/>
      <c r="AB638" s="2549"/>
      <c r="AC638" s="2549"/>
      <c r="AD638" s="2549"/>
      <c r="AE638" s="535"/>
      <c r="AF638" s="2470" t="s">
        <v>1345</v>
      </c>
      <c r="AG638" s="2470"/>
      <c r="AH638" s="2470"/>
      <c r="AI638" s="2470"/>
      <c r="AJ638" s="2470"/>
      <c r="AK638" s="2470"/>
      <c r="AL638" s="2470"/>
      <c r="AM638" s="544"/>
      <c r="AN638" s="669"/>
    </row>
    <row r="639" spans="1:42" s="544" customFormat="1" ht="12.75" customHeight="1">
      <c r="A639" s="670"/>
      <c r="B639" s="532"/>
      <c r="C639" s="924"/>
      <c r="D639" s="654"/>
      <c r="E639" s="2549"/>
      <c r="F639" s="2549"/>
      <c r="G639" s="2549"/>
      <c r="H639" s="2549"/>
      <c r="I639" s="2549"/>
      <c r="J639" s="2549"/>
      <c r="K639" s="2549"/>
      <c r="L639" s="2549"/>
      <c r="M639" s="2549"/>
      <c r="N639" s="2549"/>
      <c r="O639" s="2549"/>
      <c r="P639" s="2549"/>
      <c r="Q639" s="2549"/>
      <c r="R639" s="2549"/>
      <c r="S639" s="2549"/>
      <c r="T639" s="2549"/>
      <c r="U639" s="2549"/>
      <c r="V639" s="2549"/>
      <c r="W639" s="2549"/>
      <c r="X639" s="2549"/>
      <c r="Y639" s="2549"/>
      <c r="Z639" s="2549"/>
      <c r="AA639" s="2549"/>
      <c r="AB639" s="2549"/>
      <c r="AC639" s="2549"/>
      <c r="AD639" s="2549"/>
      <c r="AE639" s="532"/>
      <c r="AF639" s="532"/>
      <c r="AG639" s="532"/>
      <c r="AH639" s="532"/>
      <c r="AI639" s="532"/>
      <c r="AJ639" s="532"/>
      <c r="AK639" s="532"/>
      <c r="AL639" s="532"/>
      <c r="AN639" s="590"/>
    </row>
    <row r="640" spans="1:42" s="544" customFormat="1" ht="12.75" customHeight="1">
      <c r="B640" s="532"/>
      <c r="C640" s="922"/>
      <c r="D640" s="654"/>
      <c r="E640" s="2549"/>
      <c r="F640" s="2549"/>
      <c r="G640" s="2549"/>
      <c r="H640" s="2549"/>
      <c r="I640" s="2549"/>
      <c r="J640" s="2549"/>
      <c r="K640" s="2549"/>
      <c r="L640" s="2549"/>
      <c r="M640" s="2549"/>
      <c r="N640" s="2549"/>
      <c r="O640" s="2549"/>
      <c r="P640" s="2549"/>
      <c r="Q640" s="2549"/>
      <c r="R640" s="2549"/>
      <c r="S640" s="2549"/>
      <c r="T640" s="2549"/>
      <c r="U640" s="2549"/>
      <c r="V640" s="2549"/>
      <c r="W640" s="2549"/>
      <c r="X640" s="2549"/>
      <c r="Y640" s="2549"/>
      <c r="Z640" s="2549"/>
      <c r="AA640" s="2549"/>
      <c r="AB640" s="2549"/>
      <c r="AC640" s="2549"/>
      <c r="AD640" s="2549"/>
      <c r="AE640" s="532"/>
      <c r="AF640" s="532"/>
      <c r="AG640" s="532"/>
      <c r="AH640" s="532"/>
      <c r="AI640" s="532"/>
      <c r="AJ640" s="532"/>
      <c r="AK640" s="532"/>
      <c r="AL640" s="532"/>
      <c r="AN640" s="590"/>
    </row>
    <row r="641" spans="1:42" s="544" customFormat="1" ht="12.75" customHeight="1">
      <c r="B641" s="532"/>
      <c r="C641" s="922"/>
      <c r="D641" s="654"/>
      <c r="E641" s="2549"/>
      <c r="F641" s="2549"/>
      <c r="G641" s="2549"/>
      <c r="H641" s="2549"/>
      <c r="I641" s="2549"/>
      <c r="J641" s="2549"/>
      <c r="K641" s="2549"/>
      <c r="L641" s="2549"/>
      <c r="M641" s="2549"/>
      <c r="N641" s="2549"/>
      <c r="O641" s="2549"/>
      <c r="P641" s="2549"/>
      <c r="Q641" s="2549"/>
      <c r="R641" s="2549"/>
      <c r="S641" s="2549"/>
      <c r="T641" s="2549"/>
      <c r="U641" s="2549"/>
      <c r="V641" s="2549"/>
      <c r="W641" s="2549"/>
      <c r="X641" s="2549"/>
      <c r="Y641" s="2549"/>
      <c r="Z641" s="2549"/>
      <c r="AA641" s="2549"/>
      <c r="AB641" s="2549"/>
      <c r="AC641" s="2549"/>
      <c r="AD641" s="2549"/>
      <c r="AE641" s="532"/>
      <c r="AF641" s="532"/>
      <c r="AG641" s="532"/>
      <c r="AH641" s="532"/>
      <c r="AI641" s="532"/>
      <c r="AJ641" s="532"/>
      <c r="AK641" s="532"/>
      <c r="AL641" s="532"/>
      <c r="AN641" s="590"/>
    </row>
    <row r="642" spans="1:42" s="544" customFormat="1" ht="12.75" customHeight="1">
      <c r="B642" s="532"/>
      <c r="C642" s="922"/>
      <c r="D642" s="654"/>
      <c r="E642" s="2549"/>
      <c r="F642" s="2549"/>
      <c r="G642" s="2549"/>
      <c r="H642" s="2549"/>
      <c r="I642" s="2549"/>
      <c r="J642" s="2549"/>
      <c r="K642" s="2549"/>
      <c r="L642" s="2549"/>
      <c r="M642" s="2549"/>
      <c r="N642" s="2549"/>
      <c r="O642" s="2549"/>
      <c r="P642" s="2549"/>
      <c r="Q642" s="2549"/>
      <c r="R642" s="2549"/>
      <c r="S642" s="2549"/>
      <c r="T642" s="2549"/>
      <c r="U642" s="2549"/>
      <c r="V642" s="2549"/>
      <c r="W642" s="2549"/>
      <c r="X642" s="2549"/>
      <c r="Y642" s="2549"/>
      <c r="Z642" s="2549"/>
      <c r="AA642" s="2549"/>
      <c r="AB642" s="2549"/>
      <c r="AC642" s="2549"/>
      <c r="AD642" s="2549"/>
      <c r="AE642" s="532"/>
      <c r="AF642" s="532"/>
      <c r="AG642" s="532"/>
      <c r="AH642" s="532"/>
      <c r="AI642" s="532"/>
      <c r="AJ642" s="532"/>
      <c r="AK642" s="532"/>
      <c r="AL642" s="532"/>
      <c r="AN642" s="590"/>
    </row>
    <row r="643" spans="1:42" s="544" customFormat="1" ht="12.75" customHeight="1">
      <c r="B643" s="532"/>
      <c r="C643" s="922"/>
      <c r="D643" s="654"/>
      <c r="E643" s="2549"/>
      <c r="F643" s="2549"/>
      <c r="G643" s="2549"/>
      <c r="H643" s="2549"/>
      <c r="I643" s="2549"/>
      <c r="J643" s="2549"/>
      <c r="K643" s="2549"/>
      <c r="L643" s="2549"/>
      <c r="M643" s="2549"/>
      <c r="N643" s="2549"/>
      <c r="O643" s="2549"/>
      <c r="P643" s="2549"/>
      <c r="Q643" s="2549"/>
      <c r="R643" s="2549"/>
      <c r="S643" s="2549"/>
      <c r="T643" s="2549"/>
      <c r="U643" s="2549"/>
      <c r="V643" s="2549"/>
      <c r="W643" s="2549"/>
      <c r="X643" s="2549"/>
      <c r="Y643" s="2549"/>
      <c r="Z643" s="2549"/>
      <c r="AA643" s="2549"/>
      <c r="AB643" s="2549"/>
      <c r="AC643" s="2549"/>
      <c r="AD643" s="2549"/>
      <c r="AE643" s="532"/>
      <c r="AF643" s="532"/>
      <c r="AG643" s="532"/>
      <c r="AH643" s="532"/>
      <c r="AI643" s="532"/>
      <c r="AJ643" s="532"/>
      <c r="AK643" s="532"/>
      <c r="AL643" s="532"/>
      <c r="AN643" s="590"/>
    </row>
    <row r="644" spans="1:42" s="544" customFormat="1" ht="12.75" customHeight="1">
      <c r="A644" s="630"/>
      <c r="B644" s="609"/>
      <c r="C644" s="931"/>
      <c r="D644" s="654"/>
      <c r="E644" s="2549"/>
      <c r="F644" s="2549"/>
      <c r="G644" s="2549"/>
      <c r="H644" s="2549"/>
      <c r="I644" s="2549"/>
      <c r="J644" s="2549"/>
      <c r="K644" s="2549"/>
      <c r="L644" s="2549"/>
      <c r="M644" s="2549"/>
      <c r="N644" s="2549"/>
      <c r="O644" s="2549"/>
      <c r="P644" s="2549"/>
      <c r="Q644" s="2549"/>
      <c r="R644" s="2549"/>
      <c r="S644" s="2549"/>
      <c r="T644" s="2549"/>
      <c r="U644" s="2549"/>
      <c r="V644" s="2549"/>
      <c r="W644" s="2549"/>
      <c r="X644" s="2549"/>
      <c r="Y644" s="2549"/>
      <c r="Z644" s="2549"/>
      <c r="AA644" s="2549"/>
      <c r="AB644" s="2549"/>
      <c r="AC644" s="2549"/>
      <c r="AD644" s="2549"/>
      <c r="AE644" s="609"/>
      <c r="AF644" s="609"/>
      <c r="AG644" s="609"/>
      <c r="AH644" s="609"/>
      <c r="AI644" s="609"/>
      <c r="AJ644" s="609"/>
      <c r="AK644" s="532"/>
      <c r="AL644" s="532"/>
      <c r="AN644" s="590"/>
    </row>
    <row r="645" spans="1:42" s="544" customFormat="1" ht="12.75" customHeight="1">
      <c r="B645" s="609"/>
      <c r="C645" s="931"/>
      <c r="D645" s="654"/>
      <c r="E645" s="2549"/>
      <c r="F645" s="2549"/>
      <c r="G645" s="2549"/>
      <c r="H645" s="2549"/>
      <c r="I645" s="2549"/>
      <c r="J645" s="2549"/>
      <c r="K645" s="2549"/>
      <c r="L645" s="2549"/>
      <c r="M645" s="2549"/>
      <c r="N645" s="2549"/>
      <c r="O645" s="2549"/>
      <c r="P645" s="2549"/>
      <c r="Q645" s="2549"/>
      <c r="R645" s="2549"/>
      <c r="S645" s="2549"/>
      <c r="T645" s="2549"/>
      <c r="U645" s="2549"/>
      <c r="V645" s="2549"/>
      <c r="W645" s="2549"/>
      <c r="X645" s="2549"/>
      <c r="Y645" s="2549"/>
      <c r="Z645" s="2549"/>
      <c r="AA645" s="2549"/>
      <c r="AB645" s="2549"/>
      <c r="AC645" s="2549"/>
      <c r="AD645" s="2549"/>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82" t="s">
        <v>591</v>
      </c>
      <c r="Y647" s="2482"/>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0" t="s">
        <v>1399</v>
      </c>
      <c r="AG649" s="2470"/>
      <c r="AH649" s="2470"/>
      <c r="AI649" s="2470"/>
      <c r="AJ649" s="2470"/>
      <c r="AK649" s="2470"/>
      <c r="AL649" s="2470"/>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550" t="s">
        <v>687</v>
      </c>
      <c r="I651" s="2550"/>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95">
        <f>VLOOKUP($H$651,$AO$618:$AP$620,2,FALSE)</f>
        <v>3</v>
      </c>
      <c r="AK653" s="2497"/>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87" t="s">
        <v>2047</v>
      </c>
      <c r="F657" s="2487"/>
      <c r="G657" s="2487"/>
      <c r="H657" s="2487"/>
      <c r="I657" s="2487"/>
      <c r="J657" s="2487"/>
      <c r="K657" s="2487"/>
      <c r="L657" s="2487"/>
      <c r="M657" s="2487"/>
      <c r="N657" s="2487"/>
      <c r="O657" s="2487"/>
      <c r="P657" s="2487"/>
      <c r="Q657" s="2487"/>
      <c r="R657" s="2487"/>
      <c r="S657" s="2487"/>
      <c r="T657" s="2487"/>
      <c r="U657" s="2487"/>
      <c r="V657" s="2487"/>
      <c r="W657" s="2487"/>
      <c r="X657" s="2487"/>
      <c r="Y657" s="2487"/>
      <c r="Z657" s="2487"/>
      <c r="AA657" s="2487"/>
      <c r="AB657" s="2487"/>
      <c r="AC657" s="2487"/>
      <c r="AD657" s="2487"/>
      <c r="AE657" s="532"/>
      <c r="AF657" s="2470" t="s">
        <v>1345</v>
      </c>
      <c r="AG657" s="2470"/>
      <c r="AH657" s="2470"/>
      <c r="AI657" s="2470"/>
      <c r="AJ657" s="2470"/>
      <c r="AK657" s="2470"/>
      <c r="AL657" s="2470"/>
      <c r="AN657" s="590"/>
    </row>
    <row r="658" spans="1:42" s="544" customFormat="1" ht="12.75" customHeight="1">
      <c r="B658" s="532"/>
      <c r="C658" s="532"/>
      <c r="D658" s="654"/>
      <c r="E658" s="2487"/>
      <c r="F658" s="2487"/>
      <c r="G658" s="2487"/>
      <c r="H658" s="2487"/>
      <c r="I658" s="2487"/>
      <c r="J658" s="2487"/>
      <c r="K658" s="2487"/>
      <c r="L658" s="2487"/>
      <c r="M658" s="2487"/>
      <c r="N658" s="2487"/>
      <c r="O658" s="2487"/>
      <c r="P658" s="2487"/>
      <c r="Q658" s="2487"/>
      <c r="R658" s="2487"/>
      <c r="S658" s="2487"/>
      <c r="T658" s="2487"/>
      <c r="U658" s="2487"/>
      <c r="V658" s="2487"/>
      <c r="W658" s="2487"/>
      <c r="X658" s="2487"/>
      <c r="Y658" s="2487"/>
      <c r="Z658" s="2487"/>
      <c r="AA658" s="2487"/>
      <c r="AB658" s="2487"/>
      <c r="AC658" s="2487"/>
      <c r="AD658" s="248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0" t="s">
        <v>1399</v>
      </c>
      <c r="AG660" s="2470"/>
      <c r="AH660" s="2470"/>
      <c r="AI660" s="2470"/>
      <c r="AJ660" s="2470"/>
      <c r="AK660" s="2470"/>
      <c r="AL660" s="2470"/>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550" t="s">
        <v>687</v>
      </c>
      <c r="I663" s="2550"/>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95">
        <f>VLOOKUP(H663,AT618:AU620,2,FALSE)</f>
        <v>3</v>
      </c>
      <c r="AK665" s="2497"/>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87" t="s">
        <v>1409</v>
      </c>
      <c r="F670" s="2487"/>
      <c r="G670" s="2487"/>
      <c r="H670" s="2487"/>
      <c r="I670" s="2487"/>
      <c r="J670" s="2487"/>
      <c r="K670" s="2487"/>
      <c r="L670" s="2487"/>
      <c r="M670" s="2487"/>
      <c r="N670" s="2487"/>
      <c r="O670" s="2487"/>
      <c r="P670" s="2487"/>
      <c r="Q670" s="2487"/>
      <c r="R670" s="2487"/>
      <c r="S670" s="2487"/>
      <c r="T670" s="2487"/>
      <c r="U670" s="2487"/>
      <c r="V670" s="2487"/>
      <c r="W670" s="2487"/>
      <c r="X670" s="2487"/>
      <c r="Y670" s="2487"/>
      <c r="Z670" s="2487"/>
      <c r="AA670" s="2487"/>
      <c r="AB670" s="2487"/>
      <c r="AC670" s="2487"/>
      <c r="AD670" s="532"/>
      <c r="AE670" s="532"/>
      <c r="AF670" s="2470" t="s">
        <v>1370</v>
      </c>
      <c r="AG670" s="2470"/>
      <c r="AH670" s="2470"/>
      <c r="AI670" s="2470"/>
      <c r="AJ670" s="2470"/>
      <c r="AK670" s="2470"/>
      <c r="AL670" s="2470"/>
      <c r="AN670" s="590"/>
    </row>
    <row r="671" spans="1:42" s="544" customFormat="1" ht="12.75" customHeight="1">
      <c r="B671" s="532"/>
      <c r="C671" s="535"/>
      <c r="D671" s="532"/>
      <c r="E671" s="2487"/>
      <c r="F671" s="2487"/>
      <c r="G671" s="2487"/>
      <c r="H671" s="2487"/>
      <c r="I671" s="2487"/>
      <c r="J671" s="2487"/>
      <c r="K671" s="2487"/>
      <c r="L671" s="2487"/>
      <c r="M671" s="2487"/>
      <c r="N671" s="2487"/>
      <c r="O671" s="2487"/>
      <c r="P671" s="2487"/>
      <c r="Q671" s="2487"/>
      <c r="R671" s="2487"/>
      <c r="S671" s="2487"/>
      <c r="T671" s="2487"/>
      <c r="U671" s="2487"/>
      <c r="V671" s="2487"/>
      <c r="W671" s="2487"/>
      <c r="X671" s="2487"/>
      <c r="Y671" s="2487"/>
      <c r="Z671" s="2487"/>
      <c r="AA671" s="2487"/>
      <c r="AB671" s="2487"/>
      <c r="AC671" s="2487"/>
      <c r="AD671" s="532"/>
      <c r="AE671" s="532"/>
      <c r="AF671" s="532"/>
      <c r="AG671" s="532"/>
      <c r="AH671" s="532"/>
      <c r="AI671" s="532"/>
      <c r="AJ671" s="532"/>
      <c r="AK671" s="532"/>
      <c r="AL671" s="532"/>
      <c r="AN671" s="590"/>
    </row>
    <row r="672" spans="1:42" s="544" customFormat="1" ht="12.75" customHeight="1">
      <c r="B672" s="532"/>
      <c r="C672" s="535"/>
      <c r="D672" s="654"/>
      <c r="E672" s="2487"/>
      <c r="F672" s="2487"/>
      <c r="G672" s="2487"/>
      <c r="H672" s="2487"/>
      <c r="I672" s="2487"/>
      <c r="J672" s="2487"/>
      <c r="K672" s="2487"/>
      <c r="L672" s="2487"/>
      <c r="M672" s="2487"/>
      <c r="N672" s="2487"/>
      <c r="O672" s="2487"/>
      <c r="P672" s="2487"/>
      <c r="Q672" s="2487"/>
      <c r="R672" s="2487"/>
      <c r="S672" s="2487"/>
      <c r="T672" s="2487"/>
      <c r="U672" s="2487"/>
      <c r="V672" s="2487"/>
      <c r="W672" s="2487"/>
      <c r="X672" s="2487"/>
      <c r="Y672" s="2487"/>
      <c r="Z672" s="2487"/>
      <c r="AA672" s="2487"/>
      <c r="AB672" s="2487"/>
      <c r="AC672" s="248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87" t="s">
        <v>1410</v>
      </c>
      <c r="F674" s="2487"/>
      <c r="G674" s="2487"/>
      <c r="H674" s="2487"/>
      <c r="I674" s="2487"/>
      <c r="J674" s="2487"/>
      <c r="K674" s="2487"/>
      <c r="L674" s="2487"/>
      <c r="M674" s="2487"/>
      <c r="N674" s="2487"/>
      <c r="O674" s="2487"/>
      <c r="P674" s="2487"/>
      <c r="Q674" s="2487"/>
      <c r="R674" s="2487"/>
      <c r="S674" s="2487"/>
      <c r="T674" s="2487"/>
      <c r="U674" s="2487"/>
      <c r="V674" s="2487"/>
      <c r="W674" s="2487"/>
      <c r="X674" s="2487"/>
      <c r="Y674" s="2487"/>
      <c r="Z674" s="2487"/>
      <c r="AA674" s="2487"/>
      <c r="AB674" s="2487"/>
      <c r="AC674" s="2487"/>
      <c r="AD674" s="532"/>
      <c r="AE674" s="532"/>
      <c r="AF674" s="2470" t="s">
        <v>1390</v>
      </c>
      <c r="AG674" s="2470"/>
      <c r="AH674" s="2470"/>
      <c r="AI674" s="2470"/>
      <c r="AJ674" s="2470"/>
      <c r="AK674" s="2470"/>
      <c r="AL674" s="2470"/>
      <c r="AN674" s="590"/>
    </row>
    <row r="675" spans="1:42" s="544" customFormat="1" ht="12.75" customHeight="1">
      <c r="B675" s="532"/>
      <c r="C675" s="535"/>
      <c r="D675" s="532"/>
      <c r="E675" s="2487"/>
      <c r="F675" s="2487"/>
      <c r="G675" s="2487"/>
      <c r="H675" s="2487"/>
      <c r="I675" s="2487"/>
      <c r="J675" s="2487"/>
      <c r="K675" s="2487"/>
      <c r="L675" s="2487"/>
      <c r="M675" s="2487"/>
      <c r="N675" s="2487"/>
      <c r="O675" s="2487"/>
      <c r="P675" s="2487"/>
      <c r="Q675" s="2487"/>
      <c r="R675" s="2487"/>
      <c r="S675" s="2487"/>
      <c r="T675" s="2487"/>
      <c r="U675" s="2487"/>
      <c r="V675" s="2487"/>
      <c r="W675" s="2487"/>
      <c r="X675" s="2487"/>
      <c r="Y675" s="2487"/>
      <c r="Z675" s="2487"/>
      <c r="AA675" s="2487"/>
      <c r="AB675" s="2487"/>
      <c r="AC675" s="2487"/>
      <c r="AD675" s="532"/>
      <c r="AE675" s="532"/>
      <c r="AF675" s="532"/>
      <c r="AG675" s="532"/>
      <c r="AH675" s="532"/>
      <c r="AI675" s="532"/>
      <c r="AJ675" s="532"/>
      <c r="AK675" s="532"/>
      <c r="AL675" s="532"/>
      <c r="AN675" s="590"/>
    </row>
    <row r="676" spans="1:42" s="544" customFormat="1" ht="15" customHeight="1">
      <c r="B676" s="532"/>
      <c r="C676" s="535"/>
      <c r="D676" s="654"/>
      <c r="E676" s="2487"/>
      <c r="F676" s="2487"/>
      <c r="G676" s="2487"/>
      <c r="H676" s="2487"/>
      <c r="I676" s="2487"/>
      <c r="J676" s="2487"/>
      <c r="K676" s="2487"/>
      <c r="L676" s="2487"/>
      <c r="M676" s="2487"/>
      <c r="N676" s="2487"/>
      <c r="O676" s="2487"/>
      <c r="P676" s="2487"/>
      <c r="Q676" s="2487"/>
      <c r="R676" s="2487"/>
      <c r="S676" s="2487"/>
      <c r="T676" s="2487"/>
      <c r="U676" s="2487"/>
      <c r="V676" s="2487"/>
      <c r="W676" s="2487"/>
      <c r="X676" s="2487"/>
      <c r="Y676" s="2487"/>
      <c r="Z676" s="2487"/>
      <c r="AA676" s="2487"/>
      <c r="AB676" s="2487"/>
      <c r="AC676" s="248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87" t="s">
        <v>1411</v>
      </c>
      <c r="F678" s="2487"/>
      <c r="G678" s="2487"/>
      <c r="H678" s="2487"/>
      <c r="I678" s="2487"/>
      <c r="J678" s="2487"/>
      <c r="K678" s="2487"/>
      <c r="L678" s="2487"/>
      <c r="M678" s="2487"/>
      <c r="N678" s="2487"/>
      <c r="O678" s="2487"/>
      <c r="P678" s="2487"/>
      <c r="Q678" s="2487"/>
      <c r="R678" s="2487"/>
      <c r="S678" s="2487"/>
      <c r="T678" s="2487"/>
      <c r="U678" s="2487"/>
      <c r="V678" s="2487"/>
      <c r="W678" s="2487"/>
      <c r="X678" s="2487"/>
      <c r="Y678" s="2487"/>
      <c r="Z678" s="2487"/>
      <c r="AA678" s="2487"/>
      <c r="AB678" s="2487"/>
      <c r="AC678" s="2487"/>
      <c r="AD678" s="532"/>
      <c r="AE678" s="532"/>
      <c r="AF678" s="2470" t="s">
        <v>1345</v>
      </c>
      <c r="AG678" s="2470"/>
      <c r="AH678" s="2470"/>
      <c r="AI678" s="2470"/>
      <c r="AJ678" s="2470"/>
      <c r="AK678" s="2470"/>
      <c r="AL678" s="2470"/>
      <c r="AN678" s="590"/>
    </row>
    <row r="679" spans="1:42" s="544" customFormat="1" ht="12.75" customHeight="1">
      <c r="B679" s="532"/>
      <c r="C679" s="922"/>
      <c r="D679" s="532"/>
      <c r="E679" s="2487"/>
      <c r="F679" s="2487"/>
      <c r="G679" s="2487"/>
      <c r="H679" s="2487"/>
      <c r="I679" s="2487"/>
      <c r="J679" s="2487"/>
      <c r="K679" s="2487"/>
      <c r="L679" s="2487"/>
      <c r="M679" s="2487"/>
      <c r="N679" s="2487"/>
      <c r="O679" s="2487"/>
      <c r="P679" s="2487"/>
      <c r="Q679" s="2487"/>
      <c r="R679" s="2487"/>
      <c r="S679" s="2487"/>
      <c r="T679" s="2487"/>
      <c r="U679" s="2487"/>
      <c r="V679" s="2487"/>
      <c r="W679" s="2487"/>
      <c r="X679" s="2487"/>
      <c r="Y679" s="2487"/>
      <c r="Z679" s="2487"/>
      <c r="AA679" s="2487"/>
      <c r="AB679" s="2487"/>
      <c r="AC679" s="2487"/>
      <c r="AD679" s="532"/>
      <c r="AE679" s="2470"/>
      <c r="AF679" s="2470"/>
      <c r="AG679" s="2470"/>
      <c r="AH679" s="2470"/>
      <c r="AI679" s="2470"/>
      <c r="AJ679" s="2470"/>
      <c r="AK679" s="2470"/>
      <c r="AL679" s="587"/>
      <c r="AN679" s="590"/>
      <c r="AO679" s="544" t="s">
        <v>591</v>
      </c>
      <c r="AP679" s="664">
        <v>0</v>
      </c>
    </row>
    <row r="680" spans="1:42" s="544" customFormat="1" ht="12.75" customHeight="1">
      <c r="A680" s="670"/>
      <c r="B680" s="532"/>
      <c r="C680" s="532"/>
      <c r="D680" s="654"/>
      <c r="E680" s="2487"/>
      <c r="F680" s="2487"/>
      <c r="G680" s="2487"/>
      <c r="H680" s="2487"/>
      <c r="I680" s="2487"/>
      <c r="J680" s="2487"/>
      <c r="K680" s="2487"/>
      <c r="L680" s="2487"/>
      <c r="M680" s="2487"/>
      <c r="N680" s="2487"/>
      <c r="O680" s="2487"/>
      <c r="P680" s="2487"/>
      <c r="Q680" s="2487"/>
      <c r="R680" s="2487"/>
      <c r="S680" s="2487"/>
      <c r="T680" s="2487"/>
      <c r="U680" s="2487"/>
      <c r="V680" s="2487"/>
      <c r="W680" s="2487"/>
      <c r="X680" s="2487"/>
      <c r="Y680" s="2487"/>
      <c r="Z680" s="2487"/>
      <c r="AA680" s="2487"/>
      <c r="AB680" s="2487"/>
      <c r="AC680" s="2487"/>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87" t="s">
        <v>1412</v>
      </c>
      <c r="F682" s="2487"/>
      <c r="G682" s="2487"/>
      <c r="H682" s="2487"/>
      <c r="I682" s="2487"/>
      <c r="J682" s="2487"/>
      <c r="K682" s="2487"/>
      <c r="L682" s="2487"/>
      <c r="M682" s="2487"/>
      <c r="N682" s="2487"/>
      <c r="O682" s="2487"/>
      <c r="P682" s="2487"/>
      <c r="Q682" s="2487"/>
      <c r="R682" s="2487"/>
      <c r="S682" s="2487"/>
      <c r="T682" s="2487"/>
      <c r="U682" s="2487"/>
      <c r="V682" s="2487"/>
      <c r="W682" s="2487"/>
      <c r="X682" s="2487"/>
      <c r="Y682" s="2487"/>
      <c r="Z682" s="2487"/>
      <c r="AA682" s="2487"/>
      <c r="AB682" s="2487"/>
      <c r="AC682" s="2487"/>
      <c r="AD682" s="532"/>
      <c r="AE682" s="532"/>
      <c r="AF682" s="2470" t="s">
        <v>1390</v>
      </c>
      <c r="AG682" s="2470"/>
      <c r="AH682" s="2470"/>
      <c r="AI682" s="2470"/>
      <c r="AJ682" s="2470"/>
      <c r="AK682" s="2470"/>
      <c r="AL682" s="2470"/>
      <c r="AN682" s="590"/>
    </row>
    <row r="683" spans="1:42" s="544" customFormat="1" ht="12.75" customHeight="1">
      <c r="A683" s="661"/>
      <c r="B683" s="532"/>
      <c r="C683" s="938"/>
      <c r="D683" s="654"/>
      <c r="E683" s="2487"/>
      <c r="F683" s="2487"/>
      <c r="G683" s="2487"/>
      <c r="H683" s="2487"/>
      <c r="I683" s="2487"/>
      <c r="J683" s="2487"/>
      <c r="K683" s="2487"/>
      <c r="L683" s="2487"/>
      <c r="M683" s="2487"/>
      <c r="N683" s="2487"/>
      <c r="O683" s="2487"/>
      <c r="P683" s="2487"/>
      <c r="Q683" s="2487"/>
      <c r="R683" s="2487"/>
      <c r="S683" s="2487"/>
      <c r="T683" s="2487"/>
      <c r="U683" s="2487"/>
      <c r="V683" s="2487"/>
      <c r="W683" s="2487"/>
      <c r="X683" s="2487"/>
      <c r="Y683" s="2487"/>
      <c r="Z683" s="2487"/>
      <c r="AA683" s="2487"/>
      <c r="AB683" s="2487"/>
      <c r="AC683" s="248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7"/>
      <c r="F684" s="2487"/>
      <c r="G684" s="2487"/>
      <c r="H684" s="2487"/>
      <c r="I684" s="2487"/>
      <c r="J684" s="2487"/>
      <c r="K684" s="2487"/>
      <c r="L684" s="2487"/>
      <c r="M684" s="2487"/>
      <c r="N684" s="2487"/>
      <c r="O684" s="2487"/>
      <c r="P684" s="2487"/>
      <c r="Q684" s="2487"/>
      <c r="R684" s="2487"/>
      <c r="S684" s="2487"/>
      <c r="T684" s="2487"/>
      <c r="U684" s="2487"/>
      <c r="V684" s="2487"/>
      <c r="W684" s="2487"/>
      <c r="X684" s="2487"/>
      <c r="Y684" s="2487"/>
      <c r="Z684" s="2487"/>
      <c r="AA684" s="2487"/>
      <c r="AB684" s="2487"/>
      <c r="AC684" s="248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87" t="s">
        <v>1413</v>
      </c>
      <c r="F686" s="2487"/>
      <c r="G686" s="2487"/>
      <c r="H686" s="2487"/>
      <c r="I686" s="2487"/>
      <c r="J686" s="2487"/>
      <c r="K686" s="2487"/>
      <c r="L686" s="2487"/>
      <c r="M686" s="2487"/>
      <c r="N686" s="2487"/>
      <c r="O686" s="2487"/>
      <c r="P686" s="2487"/>
      <c r="Q686" s="2487"/>
      <c r="R686" s="2487"/>
      <c r="S686" s="2487"/>
      <c r="T686" s="2487"/>
      <c r="U686" s="2487"/>
      <c r="V686" s="2487"/>
      <c r="W686" s="2487"/>
      <c r="X686" s="2487"/>
      <c r="Y686" s="2487"/>
      <c r="Z686" s="2487"/>
      <c r="AA686" s="2487"/>
      <c r="AB686" s="2487"/>
      <c r="AC686" s="2487"/>
      <c r="AD686" s="532"/>
      <c r="AE686" s="532"/>
      <c r="AF686" s="2470" t="s">
        <v>1345</v>
      </c>
      <c r="AG686" s="2470"/>
      <c r="AH686" s="2470"/>
      <c r="AI686" s="2470"/>
      <c r="AJ686" s="2470"/>
      <c r="AK686" s="2470"/>
      <c r="AL686" s="2470"/>
      <c r="AM686" s="589"/>
      <c r="AN686" s="590"/>
    </row>
    <row r="687" spans="1:42" s="544" customFormat="1" ht="12.75" customHeight="1">
      <c r="B687" s="532"/>
      <c r="C687" s="922"/>
      <c r="D687" s="654"/>
      <c r="E687" s="2487"/>
      <c r="F687" s="2487"/>
      <c r="G687" s="2487"/>
      <c r="H687" s="2487"/>
      <c r="I687" s="2487"/>
      <c r="J687" s="2487"/>
      <c r="K687" s="2487"/>
      <c r="L687" s="2487"/>
      <c r="M687" s="2487"/>
      <c r="N687" s="2487"/>
      <c r="O687" s="2487"/>
      <c r="P687" s="2487"/>
      <c r="Q687" s="2487"/>
      <c r="R687" s="2487"/>
      <c r="S687" s="2487"/>
      <c r="T687" s="2487"/>
      <c r="U687" s="2487"/>
      <c r="V687" s="2487"/>
      <c r="W687" s="2487"/>
      <c r="X687" s="2487"/>
      <c r="Y687" s="2487"/>
      <c r="Z687" s="2487"/>
      <c r="AA687" s="2487"/>
      <c r="AB687" s="2487"/>
      <c r="AC687" s="2487"/>
      <c r="AD687" s="532"/>
      <c r="AE687" s="532"/>
      <c r="AF687" s="532"/>
      <c r="AG687" s="532"/>
      <c r="AH687" s="532"/>
      <c r="AI687" s="532"/>
      <c r="AJ687" s="532"/>
      <c r="AK687" s="532"/>
      <c r="AL687" s="532"/>
      <c r="AM687" s="589"/>
      <c r="AN687" s="590"/>
    </row>
    <row r="688" spans="1:42" s="544" customFormat="1" ht="12.75" customHeight="1">
      <c r="B688" s="532"/>
      <c r="C688" s="922"/>
      <c r="D688" s="654"/>
      <c r="E688" s="2487"/>
      <c r="F688" s="2487"/>
      <c r="G688" s="2487"/>
      <c r="H688" s="2487"/>
      <c r="I688" s="2487"/>
      <c r="J688" s="2487"/>
      <c r="K688" s="2487"/>
      <c r="L688" s="2487"/>
      <c r="M688" s="2487"/>
      <c r="N688" s="2487"/>
      <c r="O688" s="2487"/>
      <c r="P688" s="2487"/>
      <c r="Q688" s="2487"/>
      <c r="R688" s="2487"/>
      <c r="S688" s="2487"/>
      <c r="T688" s="2487"/>
      <c r="U688" s="2487"/>
      <c r="V688" s="2487"/>
      <c r="W688" s="2487"/>
      <c r="X688" s="2487"/>
      <c r="Y688" s="2487"/>
      <c r="Z688" s="2487"/>
      <c r="AA688" s="2487"/>
      <c r="AB688" s="2487"/>
      <c r="AC688" s="248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87" t="s">
        <v>1414</v>
      </c>
      <c r="F690" s="2487"/>
      <c r="G690" s="2487"/>
      <c r="H690" s="2487"/>
      <c r="I690" s="2487"/>
      <c r="J690" s="2487"/>
      <c r="K690" s="2487"/>
      <c r="L690" s="2487"/>
      <c r="M690" s="2487"/>
      <c r="N690" s="2487"/>
      <c r="O690" s="2487"/>
      <c r="P690" s="2487"/>
      <c r="Q690" s="2487"/>
      <c r="R690" s="2487"/>
      <c r="S690" s="2487"/>
      <c r="T690" s="2487"/>
      <c r="U690" s="2487"/>
      <c r="V690" s="2487"/>
      <c r="W690" s="2487"/>
      <c r="X690" s="2487"/>
      <c r="Y690" s="2487"/>
      <c r="Z690" s="2487"/>
      <c r="AA690" s="2487"/>
      <c r="AB690" s="2487"/>
      <c r="AC690" s="2487"/>
      <c r="AD690" s="532"/>
      <c r="AE690" s="532"/>
      <c r="AF690" s="2470" t="s">
        <v>1399</v>
      </c>
      <c r="AG690" s="2470"/>
      <c r="AH690" s="2470"/>
      <c r="AI690" s="2470"/>
      <c r="AJ690" s="2470"/>
      <c r="AK690" s="2470"/>
      <c r="AL690" s="2470"/>
      <c r="AM690" s="589"/>
      <c r="AN690" s="590"/>
    </row>
    <row r="691" spans="1:50" s="544" customFormat="1" ht="12.75" customHeight="1">
      <c r="A691" s="670"/>
      <c r="B691" s="532"/>
      <c r="C691" s="922"/>
      <c r="D691" s="654"/>
      <c r="E691" s="2487"/>
      <c r="F691" s="2487"/>
      <c r="G691" s="2487"/>
      <c r="H691" s="2487"/>
      <c r="I691" s="2487"/>
      <c r="J691" s="2487"/>
      <c r="K691" s="2487"/>
      <c r="L691" s="2487"/>
      <c r="M691" s="2487"/>
      <c r="N691" s="2487"/>
      <c r="O691" s="2487"/>
      <c r="P691" s="2487"/>
      <c r="Q691" s="2487"/>
      <c r="R691" s="2487"/>
      <c r="S691" s="2487"/>
      <c r="T691" s="2487"/>
      <c r="U691" s="2487"/>
      <c r="V691" s="2487"/>
      <c r="W691" s="2487"/>
      <c r="X691" s="2487"/>
      <c r="Y691" s="2487"/>
      <c r="Z691" s="2487"/>
      <c r="AA691" s="2487"/>
      <c r="AB691" s="2487"/>
      <c r="AC691" s="248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7"/>
      <c r="F692" s="2487"/>
      <c r="G692" s="2487"/>
      <c r="H692" s="2487"/>
      <c r="I692" s="2487"/>
      <c r="J692" s="2487"/>
      <c r="K692" s="2487"/>
      <c r="L692" s="2487"/>
      <c r="M692" s="2487"/>
      <c r="N692" s="2487"/>
      <c r="O692" s="2487"/>
      <c r="P692" s="2487"/>
      <c r="Q692" s="2487"/>
      <c r="R692" s="2487"/>
      <c r="S692" s="2487"/>
      <c r="T692" s="2487"/>
      <c r="U692" s="2487"/>
      <c r="V692" s="2487"/>
      <c r="W692" s="2487"/>
      <c r="X692" s="2487"/>
      <c r="Y692" s="2487"/>
      <c r="Z692" s="2487"/>
      <c r="AA692" s="2487"/>
      <c r="AB692" s="2487"/>
      <c r="AC692" s="248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87" t="s">
        <v>1415</v>
      </c>
      <c r="F694" s="2487"/>
      <c r="G694" s="2487"/>
      <c r="H694" s="2487"/>
      <c r="I694" s="2487"/>
      <c r="J694" s="2487"/>
      <c r="K694" s="2487"/>
      <c r="L694" s="2487"/>
      <c r="M694" s="2487"/>
      <c r="N694" s="2487"/>
      <c r="O694" s="2487"/>
      <c r="P694" s="2487"/>
      <c r="Q694" s="2487"/>
      <c r="R694" s="2487"/>
      <c r="S694" s="2487"/>
      <c r="T694" s="2487"/>
      <c r="U694" s="2487"/>
      <c r="V694" s="2487"/>
      <c r="W694" s="2487"/>
      <c r="X694" s="2487"/>
      <c r="Y694" s="2487"/>
      <c r="Z694" s="2487"/>
      <c r="AA694" s="2487"/>
      <c r="AB694" s="2487"/>
      <c r="AC694" s="2487"/>
      <c r="AD694" s="532"/>
      <c r="AE694" s="532"/>
      <c r="AF694" s="2470" t="s">
        <v>1416</v>
      </c>
      <c r="AG694" s="2470"/>
      <c r="AH694" s="2470"/>
      <c r="AI694" s="2470"/>
      <c r="AJ694" s="2470"/>
      <c r="AK694" s="2470"/>
      <c r="AL694" s="2470"/>
      <c r="AM694" s="589"/>
      <c r="AN694" s="590"/>
      <c r="AO694" s="604" t="s">
        <v>687</v>
      </c>
      <c r="AP694" s="544">
        <v>3</v>
      </c>
    </row>
    <row r="695" spans="1:50" s="544" customFormat="1" ht="12.75" customHeight="1">
      <c r="A695" s="670"/>
      <c r="B695" s="532"/>
      <c r="C695" s="922"/>
      <c r="D695" s="654"/>
      <c r="E695" s="2487"/>
      <c r="F695" s="2487"/>
      <c r="G695" s="2487"/>
      <c r="H695" s="2487"/>
      <c r="I695" s="2487"/>
      <c r="J695" s="2487"/>
      <c r="K695" s="2487"/>
      <c r="L695" s="2487"/>
      <c r="M695" s="2487"/>
      <c r="N695" s="2487"/>
      <c r="O695" s="2487"/>
      <c r="P695" s="2487"/>
      <c r="Q695" s="2487"/>
      <c r="R695" s="2487"/>
      <c r="S695" s="2487"/>
      <c r="T695" s="2487"/>
      <c r="U695" s="2487"/>
      <c r="V695" s="2487"/>
      <c r="W695" s="2487"/>
      <c r="X695" s="2487"/>
      <c r="Y695" s="2487"/>
      <c r="Z695" s="2487"/>
      <c r="AA695" s="2487"/>
      <c r="AB695" s="2487"/>
      <c r="AC695" s="2487"/>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87"/>
      <c r="F696" s="2487"/>
      <c r="G696" s="2487"/>
      <c r="H696" s="2487"/>
      <c r="I696" s="2487"/>
      <c r="J696" s="2487"/>
      <c r="K696" s="2487"/>
      <c r="L696" s="2487"/>
      <c r="M696" s="2487"/>
      <c r="N696" s="2487"/>
      <c r="O696" s="2487"/>
      <c r="P696" s="2487"/>
      <c r="Q696" s="2487"/>
      <c r="R696" s="2487"/>
      <c r="S696" s="2487"/>
      <c r="T696" s="2487"/>
      <c r="U696" s="2487"/>
      <c r="V696" s="2487"/>
      <c r="W696" s="2487"/>
      <c r="X696" s="2487"/>
      <c r="Y696" s="2487"/>
      <c r="Z696" s="2487"/>
      <c r="AA696" s="2487"/>
      <c r="AB696" s="2487"/>
      <c r="AC696" s="248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550" t="s">
        <v>509</v>
      </c>
      <c r="I698" s="2550"/>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95">
        <f>VLOOKUP($H$698,$AO$646:$AP$653,2,FALSE)</f>
        <v>4</v>
      </c>
      <c r="AK700" s="2497"/>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107</v>
      </c>
    </row>
    <row r="704" spans="1:50" s="544" customFormat="1" ht="12.75" customHeight="1">
      <c r="A704" s="670"/>
      <c r="B704" s="532"/>
      <c r="C704" s="939"/>
      <c r="D704" s="654" t="s">
        <v>687</v>
      </c>
      <c r="E704" s="2557" t="s">
        <v>2138</v>
      </c>
      <c r="F704" s="2557"/>
      <c r="G704" s="2557"/>
      <c r="H704" s="2557"/>
      <c r="I704" s="2557"/>
      <c r="J704" s="2557"/>
      <c r="K704" s="2557"/>
      <c r="L704" s="2557"/>
      <c r="M704" s="2557"/>
      <c r="N704" s="2557"/>
      <c r="O704" s="2557"/>
      <c r="P704" s="2557"/>
      <c r="Q704" s="2557"/>
      <c r="R704" s="2557"/>
      <c r="S704" s="2557"/>
      <c r="T704" s="2557"/>
      <c r="U704" s="2557"/>
      <c r="V704" s="2557"/>
      <c r="W704" s="2557"/>
      <c r="X704" s="2557"/>
      <c r="Y704" s="2557"/>
      <c r="Z704" s="2557"/>
      <c r="AA704" s="2557"/>
      <c r="AB704" s="2557"/>
      <c r="AC704" s="532"/>
      <c r="AD704" s="532"/>
      <c r="AE704" s="532"/>
      <c r="AF704" s="2470" t="s">
        <v>1345</v>
      </c>
      <c r="AG704" s="2470"/>
      <c r="AH704" s="2470"/>
      <c r="AI704" s="2470"/>
      <c r="AJ704" s="2470"/>
      <c r="AK704" s="2470"/>
      <c r="AL704" s="2470"/>
      <c r="AN704" s="590"/>
      <c r="AW704" s="22" t="s">
        <v>2133</v>
      </c>
      <c r="AX704" s="544">
        <f>Application!DE761</f>
        <v>0</v>
      </c>
    </row>
    <row r="705" spans="1:53" s="544" customFormat="1" ht="12.75" customHeight="1">
      <c r="A705" s="670"/>
      <c r="B705" s="532"/>
      <c r="C705" s="939"/>
      <c r="D705" s="654"/>
      <c r="E705" s="2557"/>
      <c r="F705" s="2557"/>
      <c r="G705" s="2557"/>
      <c r="H705" s="2557"/>
      <c r="I705" s="2557"/>
      <c r="J705" s="2557"/>
      <c r="K705" s="2557"/>
      <c r="L705" s="2557"/>
      <c r="M705" s="2557"/>
      <c r="N705" s="2557"/>
      <c r="O705" s="2557"/>
      <c r="P705" s="2557"/>
      <c r="Q705" s="2557"/>
      <c r="R705" s="2557"/>
      <c r="S705" s="2557"/>
      <c r="T705" s="2557"/>
      <c r="U705" s="2557"/>
      <c r="V705" s="2557"/>
      <c r="W705" s="2557"/>
      <c r="X705" s="2557"/>
      <c r="Y705" s="2557"/>
      <c r="Z705" s="2557"/>
      <c r="AA705" s="2557"/>
      <c r="AB705" s="2557"/>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87" t="s">
        <v>2083</v>
      </c>
      <c r="F707" s="2487"/>
      <c r="G707" s="2487"/>
      <c r="H707" s="2487"/>
      <c r="I707" s="2487"/>
      <c r="J707" s="2487"/>
      <c r="K707" s="2487"/>
      <c r="L707" s="2487"/>
      <c r="M707" s="2487"/>
      <c r="N707" s="2487"/>
      <c r="O707" s="2487"/>
      <c r="P707" s="2487"/>
      <c r="Q707" s="2487"/>
      <c r="R707" s="2487"/>
      <c r="S707" s="2487"/>
      <c r="T707" s="2487"/>
      <c r="U707" s="2487"/>
      <c r="V707" s="2487"/>
      <c r="W707" s="2487"/>
      <c r="X707" s="2487"/>
      <c r="Y707" s="2487"/>
      <c r="Z707" s="2487"/>
      <c r="AA707" s="2487"/>
      <c r="AB707" s="2487"/>
      <c r="AC707" s="532"/>
      <c r="AD707" s="532"/>
      <c r="AE707" s="532"/>
      <c r="AF707" s="2470" t="s">
        <v>1345</v>
      </c>
      <c r="AG707" s="2470"/>
      <c r="AH707" s="2470"/>
      <c r="AI707" s="2470"/>
      <c r="AJ707" s="2470"/>
      <c r="AK707" s="2470"/>
      <c r="AL707" s="2470"/>
      <c r="AN707" s="590"/>
      <c r="AW707" s="22" t="s">
        <v>2136</v>
      </c>
      <c r="AX707" s="544">
        <f>AX704+AX705+AX706</f>
        <v>0</v>
      </c>
    </row>
    <row r="708" spans="1:53" s="544" customFormat="1" ht="12.75" customHeight="1">
      <c r="B708" s="532"/>
      <c r="C708" s="931"/>
      <c r="D708" s="654"/>
      <c r="E708" s="2487"/>
      <c r="F708" s="2487"/>
      <c r="G708" s="2487"/>
      <c r="H708" s="2487"/>
      <c r="I708" s="2487"/>
      <c r="J708" s="2487"/>
      <c r="K708" s="2487"/>
      <c r="L708" s="2487"/>
      <c r="M708" s="2487"/>
      <c r="N708" s="2487"/>
      <c r="O708" s="2487"/>
      <c r="P708" s="2487"/>
      <c r="Q708" s="2487"/>
      <c r="R708" s="2487"/>
      <c r="S708" s="2487"/>
      <c r="T708" s="2487"/>
      <c r="U708" s="2487"/>
      <c r="V708" s="2487"/>
      <c r="W708" s="2487"/>
      <c r="X708" s="2487"/>
      <c r="Y708" s="2487"/>
      <c r="Z708" s="2487"/>
      <c r="AA708" s="2487"/>
      <c r="AB708" s="2487"/>
      <c r="AC708" s="532"/>
      <c r="AD708" s="532"/>
      <c r="AE708" s="609"/>
      <c r="AF708" s="532"/>
      <c r="AG708" s="532"/>
      <c r="AH708" s="532"/>
      <c r="AI708" s="532"/>
      <c r="AJ708" s="532"/>
      <c r="AK708" s="532"/>
      <c r="AL708" s="532"/>
      <c r="AN708" s="590"/>
      <c r="AO708" s="2556" t="b">
        <f>IF(Application!D211="Special Needs",IF(AY708&gt;=0.25,TRUE,FALSE),IF(AX708&gt;=0.25,TRUE,FALSE))</f>
        <v>0</v>
      </c>
      <c r="AP708" s="2556"/>
      <c r="AW708" s="22" t="s">
        <v>2137</v>
      </c>
      <c r="AX708" s="544">
        <f>IFERROR(AX707/AX703,0)</f>
        <v>0</v>
      </c>
      <c r="AY708" s="544">
        <f>IFERROR(AX707/(AX703-AX702),0)</f>
        <v>0</v>
      </c>
    </row>
    <row r="709" spans="1:53" s="544" customFormat="1" ht="12.75" customHeight="1">
      <c r="B709" s="532"/>
      <c r="C709" s="931"/>
      <c r="E709" s="2487"/>
      <c r="F709" s="2487"/>
      <c r="G709" s="2487"/>
      <c r="H709" s="2487"/>
      <c r="I709" s="2487"/>
      <c r="J709" s="2487"/>
      <c r="K709" s="2487"/>
      <c r="L709" s="2487"/>
      <c r="M709" s="2487"/>
      <c r="N709" s="2487"/>
      <c r="O709" s="2487"/>
      <c r="P709" s="2487"/>
      <c r="Q709" s="2487"/>
      <c r="R709" s="2487"/>
      <c r="S709" s="2487"/>
      <c r="T709" s="2487"/>
      <c r="U709" s="2487"/>
      <c r="V709" s="2487"/>
      <c r="W709" s="2487"/>
      <c r="X709" s="2487"/>
      <c r="Y709" s="2487"/>
      <c r="Z709" s="2487"/>
      <c r="AA709" s="2487"/>
      <c r="AB709" s="248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7"/>
      <c r="F710" s="2487"/>
      <c r="G710" s="2487"/>
      <c r="H710" s="2487"/>
      <c r="I710" s="2487"/>
      <c r="J710" s="2487"/>
      <c r="K710" s="2487"/>
      <c r="L710" s="2487"/>
      <c r="M710" s="2487"/>
      <c r="N710" s="2487"/>
      <c r="O710" s="2487"/>
      <c r="P710" s="2487"/>
      <c r="Q710" s="2487"/>
      <c r="R710" s="2487"/>
      <c r="S710" s="2487"/>
      <c r="T710" s="2487"/>
      <c r="U710" s="2487"/>
      <c r="V710" s="2487"/>
      <c r="W710" s="2487"/>
      <c r="X710" s="2487"/>
      <c r="Y710" s="2487"/>
      <c r="Z710" s="2487"/>
      <c r="AA710" s="2487"/>
      <c r="AB710" s="2487"/>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87" t="s">
        <v>2084</v>
      </c>
      <c r="F712" s="2487"/>
      <c r="G712" s="2487"/>
      <c r="H712" s="2487"/>
      <c r="I712" s="2487"/>
      <c r="J712" s="2487"/>
      <c r="K712" s="2487"/>
      <c r="L712" s="2487"/>
      <c r="M712" s="2487"/>
      <c r="N712" s="2487"/>
      <c r="O712" s="2487"/>
      <c r="P712" s="2487"/>
      <c r="Q712" s="2487"/>
      <c r="R712" s="2487"/>
      <c r="S712" s="2487"/>
      <c r="T712" s="2487"/>
      <c r="U712" s="2487"/>
      <c r="V712" s="2487"/>
      <c r="W712" s="2487"/>
      <c r="X712" s="2487"/>
      <c r="Y712" s="2487"/>
      <c r="Z712" s="2487"/>
      <c r="AA712" s="2487"/>
      <c r="AB712" s="2487"/>
      <c r="AC712" s="532"/>
      <c r="AD712" s="532"/>
      <c r="AE712" s="532"/>
      <c r="AF712" s="2470" t="s">
        <v>1399</v>
      </c>
      <c r="AG712" s="2470"/>
      <c r="AH712" s="2470"/>
      <c r="AI712" s="2470"/>
      <c r="AJ712" s="2470"/>
      <c r="AK712" s="2470"/>
      <c r="AL712" s="2470"/>
      <c r="AN712" s="590"/>
      <c r="AO712" s="604" t="s">
        <v>509</v>
      </c>
      <c r="AP712" s="544">
        <v>1</v>
      </c>
    </row>
    <row r="713" spans="1:53" s="544" customFormat="1" ht="12" customHeight="1">
      <c r="B713" s="532"/>
      <c r="C713" s="922"/>
      <c r="E713" s="2487"/>
      <c r="F713" s="2487"/>
      <c r="G713" s="2487"/>
      <c r="H713" s="2487"/>
      <c r="I713" s="2487"/>
      <c r="J713" s="2487"/>
      <c r="K713" s="2487"/>
      <c r="L713" s="2487"/>
      <c r="M713" s="2487"/>
      <c r="N713" s="2487"/>
      <c r="O713" s="2487"/>
      <c r="P713" s="2487"/>
      <c r="Q713" s="2487"/>
      <c r="R713" s="2487"/>
      <c r="S713" s="2487"/>
      <c r="T713" s="2487"/>
      <c r="U713" s="2487"/>
      <c r="V713" s="2487"/>
      <c r="W713" s="2487"/>
      <c r="X713" s="2487"/>
      <c r="Y713" s="2487"/>
      <c r="Z713" s="2487"/>
      <c r="AA713" s="2487"/>
      <c r="AB713" s="2487"/>
      <c r="AC713" s="532"/>
      <c r="AD713" s="532"/>
      <c r="AE713" s="609"/>
      <c r="AF713" s="532"/>
      <c r="AG713" s="532"/>
      <c r="AH713" s="532"/>
      <c r="AI713" s="532"/>
      <c r="AJ713" s="532"/>
      <c r="AK713" s="532"/>
      <c r="AL713" s="532"/>
      <c r="AN713" s="590"/>
    </row>
    <row r="714" spans="1:53" s="544" customFormat="1" ht="12" customHeight="1">
      <c r="B714" s="532"/>
      <c r="C714" s="922"/>
      <c r="D714" s="532"/>
      <c r="E714" s="2487"/>
      <c r="F714" s="2487"/>
      <c r="G714" s="2487"/>
      <c r="H714" s="2487"/>
      <c r="I714" s="2487"/>
      <c r="J714" s="2487"/>
      <c r="K714" s="2487"/>
      <c r="L714" s="2487"/>
      <c r="M714" s="2487"/>
      <c r="N714" s="2487"/>
      <c r="O714" s="2487"/>
      <c r="P714" s="2487"/>
      <c r="Q714" s="2487"/>
      <c r="R714" s="2487"/>
      <c r="S714" s="2487"/>
      <c r="T714" s="2487"/>
      <c r="U714" s="2487"/>
      <c r="V714" s="2487"/>
      <c r="W714" s="2487"/>
      <c r="X714" s="2487"/>
      <c r="Y714" s="2487"/>
      <c r="Z714" s="2487"/>
      <c r="AA714" s="2487"/>
      <c r="AB714" s="2487"/>
      <c r="AC714" s="532"/>
      <c r="AD714" s="532"/>
      <c r="AE714" s="609"/>
      <c r="AF714" s="532"/>
      <c r="AG714" s="532"/>
      <c r="AH714" s="532"/>
      <c r="AI714" s="532"/>
      <c r="AJ714" s="532"/>
      <c r="AK714" s="532"/>
      <c r="AL714" s="532"/>
      <c r="AN714" s="590"/>
    </row>
    <row r="715" spans="1:53" s="544" customFormat="1" ht="12" customHeight="1">
      <c r="B715" s="532"/>
      <c r="C715" s="922"/>
      <c r="D715" s="532"/>
      <c r="E715" s="2487"/>
      <c r="F715" s="2487"/>
      <c r="G715" s="2487"/>
      <c r="H715" s="2487"/>
      <c r="I715" s="2487"/>
      <c r="J715" s="2487"/>
      <c r="K715" s="2487"/>
      <c r="L715" s="2487"/>
      <c r="M715" s="2487"/>
      <c r="N715" s="2487"/>
      <c r="O715" s="2487"/>
      <c r="P715" s="2487"/>
      <c r="Q715" s="2487"/>
      <c r="R715" s="2487"/>
      <c r="S715" s="2487"/>
      <c r="T715" s="2487"/>
      <c r="U715" s="2487"/>
      <c r="V715" s="2487"/>
      <c r="W715" s="2487"/>
      <c r="X715" s="2487"/>
      <c r="Y715" s="2487"/>
      <c r="Z715" s="2487"/>
      <c r="AA715" s="2487"/>
      <c r="AB715" s="2487"/>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87"/>
      <c r="F716" s="2487"/>
      <c r="G716" s="2487"/>
      <c r="H716" s="2487"/>
      <c r="I716" s="2487"/>
      <c r="J716" s="2487"/>
      <c r="K716" s="2487"/>
      <c r="L716" s="2487"/>
      <c r="M716" s="2487"/>
      <c r="N716" s="2487"/>
      <c r="O716" s="2487"/>
      <c r="P716" s="2487"/>
      <c r="Q716" s="2487"/>
      <c r="R716" s="2487"/>
      <c r="S716" s="2487"/>
      <c r="T716" s="2487"/>
      <c r="U716" s="2487"/>
      <c r="V716" s="2487"/>
      <c r="W716" s="2487"/>
      <c r="X716" s="2487"/>
      <c r="Y716" s="2487"/>
      <c r="Z716" s="2487"/>
      <c r="AA716" s="2487"/>
      <c r="AB716" s="2487"/>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12" t="s">
        <v>2633</v>
      </c>
      <c r="F718" s="1312"/>
      <c r="G718" s="1312"/>
      <c r="H718" s="1312"/>
      <c r="I718" s="1312"/>
      <c r="J718" s="1312"/>
      <c r="K718" s="1312"/>
      <c r="L718" s="1312"/>
      <c r="M718" s="1312"/>
      <c r="N718" s="1312"/>
      <c r="O718" s="1312"/>
      <c r="P718" s="1312"/>
      <c r="Q718" s="1312"/>
      <c r="R718" s="1312"/>
      <c r="S718" s="1312"/>
      <c r="T718" s="1312"/>
      <c r="U718" s="1312"/>
      <c r="V718" s="1312"/>
      <c r="W718" s="1312"/>
      <c r="X718" s="1312"/>
      <c r="Y718" s="1312"/>
      <c r="Z718" s="1312"/>
      <c r="AA718" s="1312"/>
      <c r="AB718" s="1312"/>
      <c r="AC718" s="22"/>
      <c r="AD718" s="3"/>
      <c r="AE718" s="22"/>
      <c r="AF718" s="1416" t="s">
        <v>1399</v>
      </c>
      <c r="AG718" s="1416"/>
      <c r="AH718" s="1416"/>
      <c r="AI718" s="1416"/>
      <c r="AJ718" s="1416"/>
      <c r="AK718" s="1416"/>
      <c r="AL718" s="1416"/>
      <c r="AM718" s="22"/>
      <c r="AN718" s="114"/>
      <c r="AO718" s="604" t="s">
        <v>509</v>
      </c>
      <c r="AP718" s="544">
        <f>3*$AO$708</f>
        <v>0</v>
      </c>
      <c r="AY718" s="14"/>
      <c r="AZ718" s="14"/>
      <c r="BA718" s="14"/>
    </row>
    <row r="719" spans="1:53" customFormat="1" ht="12.75" customHeight="1">
      <c r="A719" s="22"/>
      <c r="B719" s="3"/>
      <c r="C719" s="36"/>
      <c r="D719" s="17"/>
      <c r="E719" s="1312"/>
      <c r="F719" s="1312"/>
      <c r="G719" s="1312"/>
      <c r="H719" s="1312"/>
      <c r="I719" s="1312"/>
      <c r="J719" s="1312"/>
      <c r="K719" s="1312"/>
      <c r="L719" s="1312"/>
      <c r="M719" s="1312"/>
      <c r="N719" s="1312"/>
      <c r="O719" s="1312"/>
      <c r="P719" s="1312"/>
      <c r="Q719" s="1312"/>
      <c r="R719" s="1312"/>
      <c r="S719" s="1312"/>
      <c r="T719" s="1312"/>
      <c r="U719" s="1312"/>
      <c r="V719" s="1312"/>
      <c r="W719" s="1312"/>
      <c r="X719" s="1312"/>
      <c r="Y719" s="1312"/>
      <c r="Z719" s="1312"/>
      <c r="AA719" s="1312"/>
      <c r="AB719" s="1312"/>
      <c r="AC719" s="22"/>
      <c r="AD719" s="3"/>
      <c r="AE719" s="22"/>
      <c r="AF719" s="1416"/>
      <c r="AG719" s="1416"/>
      <c r="AH719" s="1416"/>
      <c r="AI719" s="1416"/>
      <c r="AJ719" s="1416"/>
      <c r="AK719" s="1416"/>
      <c r="AL719" s="1416"/>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87" t="s">
        <v>1681</v>
      </c>
      <c r="F721" s="2487"/>
      <c r="G721" s="2487"/>
      <c r="H721" s="2487"/>
      <c r="I721" s="2487"/>
      <c r="J721" s="2487"/>
      <c r="K721" s="2487"/>
      <c r="L721" s="2487"/>
      <c r="M721" s="2487"/>
      <c r="N721" s="2487"/>
      <c r="O721" s="2487"/>
      <c r="P721" s="2487"/>
      <c r="Q721" s="2487"/>
      <c r="R721" s="2487"/>
      <c r="S721" s="2487"/>
      <c r="T721" s="2487"/>
      <c r="U721" s="2487"/>
      <c r="V721" s="2487"/>
      <c r="W721" s="2487"/>
      <c r="X721" s="2487"/>
      <c r="Y721" s="2487"/>
      <c r="Z721" s="2487"/>
      <c r="AA721" s="2487"/>
      <c r="AB721" s="248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7"/>
      <c r="F722" s="2487"/>
      <c r="G722" s="2487"/>
      <c r="H722" s="2487"/>
      <c r="I722" s="2487"/>
      <c r="J722" s="2487"/>
      <c r="K722" s="2487"/>
      <c r="L722" s="2487"/>
      <c r="M722" s="2487"/>
      <c r="N722" s="2487"/>
      <c r="O722" s="2487"/>
      <c r="P722" s="2487"/>
      <c r="Q722" s="2487"/>
      <c r="R722" s="2487"/>
      <c r="S722" s="2487"/>
      <c r="T722" s="2487"/>
      <c r="U722" s="2487"/>
      <c r="V722" s="2487"/>
      <c r="W722" s="2487"/>
      <c r="X722" s="2487"/>
      <c r="Y722" s="2487"/>
      <c r="Z722" s="2487"/>
      <c r="AA722" s="2487"/>
      <c r="AB722" s="248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7"/>
      <c r="F723" s="2487"/>
      <c r="G723" s="2487"/>
      <c r="H723" s="2487"/>
      <c r="I723" s="2487"/>
      <c r="J723" s="2487"/>
      <c r="K723" s="2487"/>
      <c r="L723" s="2487"/>
      <c r="M723" s="2487"/>
      <c r="N723" s="2487"/>
      <c r="O723" s="2487"/>
      <c r="P723" s="2487"/>
      <c r="Q723" s="2487"/>
      <c r="R723" s="2487"/>
      <c r="S723" s="2487"/>
      <c r="T723" s="2487"/>
      <c r="U723" s="2487"/>
      <c r="V723" s="2487"/>
      <c r="W723" s="2487"/>
      <c r="X723" s="2487"/>
      <c r="Y723" s="2487"/>
      <c r="Z723" s="2487"/>
      <c r="AA723" s="2487"/>
      <c r="AB723" s="248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550" t="s">
        <v>591</v>
      </c>
      <c r="I725" s="2550"/>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95">
        <f>VLOOKUP($H$725,$AO$716:$AP$720,2,FALSE)</f>
        <v>0</v>
      </c>
      <c r="AK727" s="2497"/>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58" t="s">
        <v>1683</v>
      </c>
      <c r="F731" s="2558"/>
      <c r="G731" s="2558"/>
      <c r="H731" s="2558"/>
      <c r="I731" s="2558"/>
      <c r="J731" s="2558"/>
      <c r="K731" s="2558"/>
      <c r="L731" s="2558"/>
      <c r="M731" s="2558"/>
      <c r="N731" s="2558"/>
      <c r="O731" s="2558"/>
      <c r="P731" s="2558"/>
      <c r="Q731" s="2558"/>
      <c r="R731" s="2558"/>
      <c r="S731" s="2558"/>
      <c r="T731" s="2558"/>
      <c r="U731" s="2558"/>
      <c r="V731" s="2558"/>
      <c r="W731" s="2558"/>
      <c r="X731" s="2558"/>
      <c r="Y731" s="2558"/>
      <c r="Z731" s="2558"/>
      <c r="AA731" s="2558"/>
      <c r="AB731" s="2558"/>
      <c r="AC731" s="532"/>
      <c r="AD731" s="532"/>
      <c r="AE731" s="532"/>
      <c r="AF731" s="2470" t="s">
        <v>1345</v>
      </c>
      <c r="AG731" s="2470"/>
      <c r="AH731" s="2470"/>
      <c r="AI731" s="2470"/>
      <c r="AJ731" s="2470"/>
      <c r="AK731" s="2470"/>
      <c r="AL731" s="2470"/>
      <c r="AM731" s="544"/>
      <c r="AN731" s="675"/>
      <c r="AP731" s="563" t="s">
        <v>1423</v>
      </c>
    </row>
    <row r="732" spans="1:43" s="563" customFormat="1" ht="11.85" customHeight="1">
      <c r="A732" s="544"/>
      <c r="B732" s="532"/>
      <c r="C732" s="924"/>
      <c r="D732" s="654"/>
      <c r="E732" s="2558"/>
      <c r="F732" s="2558"/>
      <c r="G732" s="2558"/>
      <c r="H732" s="2558"/>
      <c r="I732" s="2558"/>
      <c r="J732" s="2558"/>
      <c r="K732" s="2558"/>
      <c r="L732" s="2558"/>
      <c r="M732" s="2558"/>
      <c r="N732" s="2558"/>
      <c r="O732" s="2558"/>
      <c r="P732" s="2558"/>
      <c r="Q732" s="2558"/>
      <c r="R732" s="2558"/>
      <c r="S732" s="2558"/>
      <c r="T732" s="2558"/>
      <c r="U732" s="2558"/>
      <c r="V732" s="2558"/>
      <c r="W732" s="2558"/>
      <c r="X732" s="2558"/>
      <c r="Y732" s="2558"/>
      <c r="Z732" s="2558"/>
      <c r="AA732" s="2558"/>
      <c r="AB732" s="2558"/>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58"/>
      <c r="F733" s="2558"/>
      <c r="G733" s="2558"/>
      <c r="H733" s="2558"/>
      <c r="I733" s="2558"/>
      <c r="J733" s="2558"/>
      <c r="K733" s="2558"/>
      <c r="L733" s="2558"/>
      <c r="M733" s="2558"/>
      <c r="N733" s="2558"/>
      <c r="O733" s="2558"/>
      <c r="P733" s="2558"/>
      <c r="Q733" s="2558"/>
      <c r="R733" s="2558"/>
      <c r="S733" s="2558"/>
      <c r="T733" s="2558"/>
      <c r="U733" s="2558"/>
      <c r="V733" s="2558"/>
      <c r="W733" s="2558"/>
      <c r="X733" s="2558"/>
      <c r="Y733" s="2558"/>
      <c r="Z733" s="2558"/>
      <c r="AA733" s="2558"/>
      <c r="AB733" s="2558"/>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59" t="s">
        <v>1426</v>
      </c>
      <c r="F735" s="2559"/>
      <c r="G735" s="2559"/>
      <c r="H735" s="2559"/>
      <c r="I735" s="2559"/>
      <c r="J735" s="2559"/>
      <c r="K735" s="2559"/>
      <c r="L735" s="2559"/>
      <c r="M735" s="2559"/>
      <c r="N735" s="2559"/>
      <c r="O735" s="2559"/>
      <c r="P735" s="2559"/>
      <c r="Q735" s="2559"/>
      <c r="R735" s="2559"/>
      <c r="S735" s="2559"/>
      <c r="T735" s="2559"/>
      <c r="U735" s="2559"/>
      <c r="V735" s="2559"/>
      <c r="W735" s="2559"/>
      <c r="X735" s="2559"/>
      <c r="Y735" s="2559"/>
      <c r="Z735" s="2559"/>
      <c r="AA735" s="2559"/>
      <c r="AB735" s="2559"/>
      <c r="AC735" s="532"/>
      <c r="AD735" s="532"/>
      <c r="AE735" s="532"/>
      <c r="AF735" s="2470" t="s">
        <v>1399</v>
      </c>
      <c r="AG735" s="2470"/>
      <c r="AH735" s="2470"/>
      <c r="AI735" s="2470"/>
      <c r="AJ735" s="2470"/>
      <c r="AK735" s="2470"/>
      <c r="AL735" s="2470"/>
      <c r="AM735" s="544"/>
      <c r="AN735" s="676"/>
    </row>
    <row r="736" spans="1:43" s="563" customFormat="1" ht="12.75" customHeight="1">
      <c r="A736" s="544"/>
      <c r="B736" s="532"/>
      <c r="C736" s="924"/>
      <c r="D736" s="532"/>
      <c r="E736" s="2559"/>
      <c r="F736" s="2559"/>
      <c r="G736" s="2559"/>
      <c r="H736" s="2559"/>
      <c r="I736" s="2559"/>
      <c r="J736" s="2559"/>
      <c r="K736" s="2559"/>
      <c r="L736" s="2559"/>
      <c r="M736" s="2559"/>
      <c r="N736" s="2559"/>
      <c r="O736" s="2559"/>
      <c r="P736" s="2559"/>
      <c r="Q736" s="2559"/>
      <c r="R736" s="2559"/>
      <c r="S736" s="2559"/>
      <c r="T736" s="2559"/>
      <c r="U736" s="2559"/>
      <c r="V736" s="2559"/>
      <c r="W736" s="2559"/>
      <c r="X736" s="2559"/>
      <c r="Y736" s="2559"/>
      <c r="Z736" s="2559"/>
      <c r="AA736" s="2559"/>
      <c r="AB736" s="2559"/>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9"/>
      <c r="F737" s="2559"/>
      <c r="G737" s="2559"/>
      <c r="H737" s="2559"/>
      <c r="I737" s="2559"/>
      <c r="J737" s="2559"/>
      <c r="K737" s="2559"/>
      <c r="L737" s="2559"/>
      <c r="M737" s="2559"/>
      <c r="N737" s="2559"/>
      <c r="O737" s="2559"/>
      <c r="P737" s="2559"/>
      <c r="Q737" s="2559"/>
      <c r="R737" s="2559"/>
      <c r="S737" s="2559"/>
      <c r="T737" s="2559"/>
      <c r="U737" s="2559"/>
      <c r="V737" s="2559"/>
      <c r="W737" s="2559"/>
      <c r="X737" s="2559"/>
      <c r="Y737" s="2559"/>
      <c r="Z737" s="2559"/>
      <c r="AA737" s="2559"/>
      <c r="AB737" s="2559"/>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550" t="s">
        <v>591</v>
      </c>
      <c r="I739" s="2550"/>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95">
        <f>VLOOKUP($H$739,$AP$736:$AQ$738,2,FALSE)</f>
        <v>0</v>
      </c>
      <c r="AK741" s="2497"/>
      <c r="AL741" s="588"/>
      <c r="AM741" s="544"/>
      <c r="AN741" s="675"/>
      <c r="AP741" s="2495"/>
      <c r="AQ741" s="2497"/>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87" t="s">
        <v>1684</v>
      </c>
      <c r="F745" s="2487"/>
      <c r="G745" s="2487"/>
      <c r="H745" s="2487"/>
      <c r="I745" s="2487"/>
      <c r="J745" s="2487"/>
      <c r="K745" s="2487"/>
      <c r="L745" s="2487"/>
      <c r="M745" s="2487"/>
      <c r="N745" s="2487"/>
      <c r="O745" s="2487"/>
      <c r="P745" s="2487"/>
      <c r="Q745" s="2487"/>
      <c r="R745" s="2487"/>
      <c r="S745" s="2487"/>
      <c r="T745" s="2487"/>
      <c r="U745" s="2487"/>
      <c r="V745" s="2487"/>
      <c r="W745" s="2487"/>
      <c r="X745" s="2487"/>
      <c r="Y745" s="2487"/>
      <c r="Z745" s="2487"/>
      <c r="AA745" s="2487"/>
      <c r="AB745" s="2487"/>
      <c r="AC745" s="532"/>
      <c r="AD745" s="532"/>
      <c r="AE745" s="532"/>
      <c r="AF745" s="2470" t="s">
        <v>1345</v>
      </c>
      <c r="AG745" s="2470"/>
      <c r="AH745" s="2470"/>
      <c r="AI745" s="2470"/>
      <c r="AJ745" s="2470"/>
      <c r="AK745" s="2470"/>
      <c r="AL745" s="2470"/>
      <c r="AM745" s="544"/>
      <c r="AN745" s="675"/>
      <c r="AT745" s="14"/>
      <c r="AU745" s="14"/>
      <c r="AV745" s="14"/>
      <c r="AW745" s="14"/>
      <c r="AX745" s="14"/>
      <c r="AY745" s="14"/>
      <c r="AZ745" s="14"/>
    </row>
    <row r="746" spans="1:81" s="563" customFormat="1">
      <c r="A746" s="544"/>
      <c r="B746" s="532"/>
      <c r="C746" s="924"/>
      <c r="D746" s="654"/>
      <c r="E746" s="2487"/>
      <c r="F746" s="2487"/>
      <c r="G746" s="2487"/>
      <c r="H746" s="2487"/>
      <c r="I746" s="2487"/>
      <c r="J746" s="2487"/>
      <c r="K746" s="2487"/>
      <c r="L746" s="2487"/>
      <c r="M746" s="2487"/>
      <c r="N746" s="2487"/>
      <c r="O746" s="2487"/>
      <c r="P746" s="2487"/>
      <c r="Q746" s="2487"/>
      <c r="R746" s="2487"/>
      <c r="S746" s="2487"/>
      <c r="T746" s="2487"/>
      <c r="U746" s="2487"/>
      <c r="V746" s="2487"/>
      <c r="W746" s="2487"/>
      <c r="X746" s="2487"/>
      <c r="Y746" s="2487"/>
      <c r="Z746" s="2487"/>
      <c r="AA746" s="2487"/>
      <c r="AB746" s="2487"/>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87" t="s">
        <v>1430</v>
      </c>
      <c r="F748" s="2487"/>
      <c r="G748" s="2487"/>
      <c r="H748" s="2487"/>
      <c r="I748" s="2487"/>
      <c r="J748" s="2487"/>
      <c r="K748" s="2487"/>
      <c r="L748" s="2487"/>
      <c r="M748" s="2487"/>
      <c r="N748" s="2487"/>
      <c r="O748" s="2487"/>
      <c r="P748" s="2487"/>
      <c r="Q748" s="2487"/>
      <c r="R748" s="2487"/>
      <c r="S748" s="2487"/>
      <c r="T748" s="2487"/>
      <c r="U748" s="2487"/>
      <c r="V748" s="2487"/>
      <c r="W748" s="2487"/>
      <c r="X748" s="2487"/>
      <c r="Y748" s="2487"/>
      <c r="Z748" s="2487"/>
      <c r="AA748" s="2487"/>
      <c r="AB748" s="2487"/>
      <c r="AC748" s="532"/>
      <c r="AD748" s="532"/>
      <c r="AE748" s="532"/>
      <c r="AF748" s="2470" t="s">
        <v>1399</v>
      </c>
      <c r="AG748" s="2470"/>
      <c r="AH748" s="2470"/>
      <c r="AI748" s="2470"/>
      <c r="AJ748" s="2470"/>
      <c r="AK748" s="2470"/>
      <c r="AL748" s="2470"/>
      <c r="AM748" s="544"/>
      <c r="AN748" s="675"/>
      <c r="AT748" s="14"/>
      <c r="AU748" s="14"/>
      <c r="AV748" s="14"/>
      <c r="AW748" s="14"/>
      <c r="AX748" s="14"/>
      <c r="AY748" s="14"/>
      <c r="AZ748" s="14"/>
    </row>
    <row r="749" spans="1:81" s="563" customFormat="1">
      <c r="A749" s="544"/>
      <c r="B749" s="532"/>
      <c r="C749" s="924"/>
      <c r="D749" s="532"/>
      <c r="E749" s="2487"/>
      <c r="F749" s="2487"/>
      <c r="G749" s="2487"/>
      <c r="H749" s="2487"/>
      <c r="I749" s="2487"/>
      <c r="J749" s="2487"/>
      <c r="K749" s="2487"/>
      <c r="L749" s="2487"/>
      <c r="M749" s="2487"/>
      <c r="N749" s="2487"/>
      <c r="O749" s="2487"/>
      <c r="P749" s="2487"/>
      <c r="Q749" s="2487"/>
      <c r="R749" s="2487"/>
      <c r="S749" s="2487"/>
      <c r="T749" s="2487"/>
      <c r="U749" s="2487"/>
      <c r="V749" s="2487"/>
      <c r="W749" s="2487"/>
      <c r="X749" s="2487"/>
      <c r="Y749" s="2487"/>
      <c r="Z749" s="2487"/>
      <c r="AA749" s="2487"/>
      <c r="AB749" s="2487"/>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550" t="s">
        <v>591</v>
      </c>
      <c r="I751" s="2550"/>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95">
        <f>VLOOKUP($H$751,$AO$679:$AP$681,2,FALSE)</f>
        <v>0</v>
      </c>
      <c r="AK753" s="2497"/>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87" t="s">
        <v>1433</v>
      </c>
      <c r="F757" s="2487"/>
      <c r="G757" s="2487"/>
      <c r="H757" s="2487"/>
      <c r="I757" s="2487"/>
      <c r="J757" s="2487"/>
      <c r="K757" s="2487"/>
      <c r="L757" s="2487"/>
      <c r="M757" s="2487"/>
      <c r="N757" s="2487"/>
      <c r="O757" s="2487"/>
      <c r="P757" s="2487"/>
      <c r="Q757" s="2487"/>
      <c r="R757" s="2487"/>
      <c r="S757" s="2487"/>
      <c r="T757" s="2487"/>
      <c r="U757" s="2487"/>
      <c r="V757" s="2487"/>
      <c r="W757" s="2487"/>
      <c r="X757" s="2487"/>
      <c r="Y757" s="2487"/>
      <c r="Z757" s="2487"/>
      <c r="AA757" s="2487"/>
      <c r="AB757" s="2487"/>
      <c r="AC757" s="532"/>
      <c r="AD757" s="532"/>
      <c r="AE757" s="532"/>
      <c r="AF757" s="2470" t="s">
        <v>1345</v>
      </c>
      <c r="AG757" s="2470"/>
      <c r="AH757" s="2470"/>
      <c r="AI757" s="2470"/>
      <c r="AJ757" s="2470"/>
      <c r="AK757" s="2470"/>
      <c r="AL757" s="2470"/>
      <c r="AM757" s="544"/>
      <c r="AN757" s="675"/>
      <c r="AT757" s="14"/>
      <c r="AU757" s="14"/>
      <c r="AV757" s="14"/>
      <c r="AW757" s="14"/>
      <c r="AX757" s="14"/>
      <c r="AY757" s="14"/>
      <c r="AZ757" s="14"/>
    </row>
    <row r="758" spans="1:81" s="563" customFormat="1">
      <c r="A758" s="544"/>
      <c r="B758" s="532"/>
      <c r="C758" s="922"/>
      <c r="D758" s="654"/>
      <c r="E758" s="2487"/>
      <c r="F758" s="2487"/>
      <c r="G758" s="2487"/>
      <c r="H758" s="2487"/>
      <c r="I758" s="2487"/>
      <c r="J758" s="2487"/>
      <c r="K758" s="2487"/>
      <c r="L758" s="2487"/>
      <c r="M758" s="2487"/>
      <c r="N758" s="2487"/>
      <c r="O758" s="2487"/>
      <c r="P758" s="2487"/>
      <c r="Q758" s="2487"/>
      <c r="R758" s="2487"/>
      <c r="S758" s="2487"/>
      <c r="T758" s="2487"/>
      <c r="U758" s="2487"/>
      <c r="V758" s="2487"/>
      <c r="W758" s="2487"/>
      <c r="X758" s="2487"/>
      <c r="Y758" s="2487"/>
      <c r="Z758" s="2487"/>
      <c r="AA758" s="2487"/>
      <c r="AB758" s="248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87"/>
      <c r="F759" s="2487"/>
      <c r="G759" s="2487"/>
      <c r="H759" s="2487"/>
      <c r="I759" s="2487"/>
      <c r="J759" s="2487"/>
      <c r="K759" s="2487"/>
      <c r="L759" s="2487"/>
      <c r="M759" s="2487"/>
      <c r="N759" s="2487"/>
      <c r="O759" s="2487"/>
      <c r="P759" s="2487"/>
      <c r="Q759" s="2487"/>
      <c r="R759" s="2487"/>
      <c r="S759" s="2487"/>
      <c r="T759" s="2487"/>
      <c r="U759" s="2487"/>
      <c r="V759" s="2487"/>
      <c r="W759" s="2487"/>
      <c r="X759" s="2487"/>
      <c r="Y759" s="2487"/>
      <c r="Z759" s="2487"/>
      <c r="AA759" s="2487"/>
      <c r="AB759" s="248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7"/>
      <c r="F760" s="2487"/>
      <c r="G760" s="2487"/>
      <c r="H760" s="2487"/>
      <c r="I760" s="2487"/>
      <c r="J760" s="2487"/>
      <c r="K760" s="2487"/>
      <c r="L760" s="2487"/>
      <c r="M760" s="2487"/>
      <c r="N760" s="2487"/>
      <c r="O760" s="2487"/>
      <c r="P760" s="2487"/>
      <c r="Q760" s="2487"/>
      <c r="R760" s="2487"/>
      <c r="S760" s="2487"/>
      <c r="T760" s="2487"/>
      <c r="U760" s="2487"/>
      <c r="V760" s="2487"/>
      <c r="W760" s="2487"/>
      <c r="X760" s="2487"/>
      <c r="Y760" s="2487"/>
      <c r="Z760" s="2487"/>
      <c r="AA760" s="2487"/>
      <c r="AB760" s="248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87" t="s">
        <v>1434</v>
      </c>
      <c r="F762" s="2487"/>
      <c r="G762" s="2487"/>
      <c r="H762" s="2487"/>
      <c r="I762" s="2487"/>
      <c r="J762" s="2487"/>
      <c r="K762" s="2487"/>
      <c r="L762" s="2487"/>
      <c r="M762" s="2487"/>
      <c r="N762" s="2487"/>
      <c r="O762" s="2487"/>
      <c r="P762" s="2487"/>
      <c r="Q762" s="2487"/>
      <c r="R762" s="2487"/>
      <c r="S762" s="2487"/>
      <c r="T762" s="2487"/>
      <c r="U762" s="2487"/>
      <c r="V762" s="2487"/>
      <c r="W762" s="2487"/>
      <c r="X762" s="2487"/>
      <c r="Y762" s="2487"/>
      <c r="Z762" s="2487"/>
      <c r="AA762" s="2487"/>
      <c r="AB762" s="568"/>
      <c r="AC762" s="532"/>
      <c r="AD762" s="532"/>
      <c r="AE762" s="532"/>
      <c r="AF762" s="2470" t="s">
        <v>1399</v>
      </c>
      <c r="AG762" s="2470"/>
      <c r="AH762" s="2470"/>
      <c r="AI762" s="2470"/>
      <c r="AJ762" s="2470"/>
      <c r="AK762" s="2470"/>
      <c r="AL762" s="2470"/>
      <c r="AM762" s="544"/>
      <c r="AN762" s="675"/>
      <c r="AO762" s="30"/>
      <c r="AP762" s="14"/>
    </row>
    <row r="763" spans="1:81" s="563" customFormat="1">
      <c r="A763" s="544"/>
      <c r="B763" s="532"/>
      <c r="C763" s="922"/>
      <c r="D763" s="654"/>
      <c r="E763" s="2487"/>
      <c r="F763" s="2487"/>
      <c r="G763" s="2487"/>
      <c r="H763" s="2487"/>
      <c r="I763" s="2487"/>
      <c r="J763" s="2487"/>
      <c r="K763" s="2487"/>
      <c r="L763" s="2487"/>
      <c r="M763" s="2487"/>
      <c r="N763" s="2487"/>
      <c r="O763" s="2487"/>
      <c r="P763" s="2487"/>
      <c r="Q763" s="2487"/>
      <c r="R763" s="2487"/>
      <c r="S763" s="2487"/>
      <c r="T763" s="2487"/>
      <c r="U763" s="2487"/>
      <c r="V763" s="2487"/>
      <c r="W763" s="2487"/>
      <c r="X763" s="2487"/>
      <c r="Y763" s="2487"/>
      <c r="Z763" s="2487"/>
      <c r="AA763" s="2487"/>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7"/>
      <c r="F764" s="2487"/>
      <c r="G764" s="2487"/>
      <c r="H764" s="2487"/>
      <c r="I764" s="2487"/>
      <c r="J764" s="2487"/>
      <c r="K764" s="2487"/>
      <c r="L764" s="2487"/>
      <c r="M764" s="2487"/>
      <c r="N764" s="2487"/>
      <c r="O764" s="2487"/>
      <c r="P764" s="2487"/>
      <c r="Q764" s="2487"/>
      <c r="R764" s="2487"/>
      <c r="S764" s="2487"/>
      <c r="T764" s="2487"/>
      <c r="U764" s="2487"/>
      <c r="V764" s="2487"/>
      <c r="W764" s="2487"/>
      <c r="X764" s="2487"/>
      <c r="Y764" s="2487"/>
      <c r="Z764" s="2487"/>
      <c r="AA764" s="2487"/>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7"/>
      <c r="F765" s="2487"/>
      <c r="G765" s="2487"/>
      <c r="H765" s="2487"/>
      <c r="I765" s="2487"/>
      <c r="J765" s="2487"/>
      <c r="K765" s="2487"/>
      <c r="L765" s="2487"/>
      <c r="M765" s="2487"/>
      <c r="N765" s="2487"/>
      <c r="O765" s="2487"/>
      <c r="P765" s="2487"/>
      <c r="Q765" s="2487"/>
      <c r="R765" s="2487"/>
      <c r="S765" s="2487"/>
      <c r="T765" s="2487"/>
      <c r="U765" s="2487"/>
      <c r="V765" s="2487"/>
      <c r="W765" s="2487"/>
      <c r="X765" s="2487"/>
      <c r="Y765" s="2487"/>
      <c r="Z765" s="2487"/>
      <c r="AA765" s="2487"/>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550" t="s">
        <v>509</v>
      </c>
      <c r="I767" s="2550"/>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95">
        <f>VLOOKUP($H$767,$AO$693:$AP$695,2,FALSE)</f>
        <v>2</v>
      </c>
      <c r="AK769" s="2497"/>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87" t="s">
        <v>1436</v>
      </c>
      <c r="F773" s="2487"/>
      <c r="G773" s="2487"/>
      <c r="H773" s="2487"/>
      <c r="I773" s="2487"/>
      <c r="J773" s="2487"/>
      <c r="K773" s="2487"/>
      <c r="L773" s="2487"/>
      <c r="M773" s="2487"/>
      <c r="N773" s="2487"/>
      <c r="O773" s="2487"/>
      <c r="P773" s="2487"/>
      <c r="Q773" s="2487"/>
      <c r="R773" s="2487"/>
      <c r="S773" s="2487"/>
      <c r="T773" s="2487"/>
      <c r="U773" s="2487"/>
      <c r="V773" s="2487"/>
      <c r="W773" s="2487"/>
      <c r="X773" s="2487"/>
      <c r="Y773" s="2487"/>
      <c r="Z773" s="2487"/>
      <c r="AA773" s="2487"/>
      <c r="AB773" s="2487"/>
      <c r="AC773" s="532"/>
      <c r="AD773" s="532"/>
      <c r="AE773" s="532"/>
      <c r="AF773" s="2470" t="s">
        <v>1399</v>
      </c>
      <c r="AG773" s="2470"/>
      <c r="AH773" s="2470"/>
      <c r="AI773" s="2470"/>
      <c r="AJ773" s="2470"/>
      <c r="AK773" s="2470"/>
      <c r="AL773" s="247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87"/>
      <c r="F774" s="2487"/>
      <c r="G774" s="2487"/>
      <c r="H774" s="2487"/>
      <c r="I774" s="2487"/>
      <c r="J774" s="2487"/>
      <c r="K774" s="2487"/>
      <c r="L774" s="2487"/>
      <c r="M774" s="2487"/>
      <c r="N774" s="2487"/>
      <c r="O774" s="2487"/>
      <c r="P774" s="2487"/>
      <c r="Q774" s="2487"/>
      <c r="R774" s="2487"/>
      <c r="S774" s="2487"/>
      <c r="T774" s="2487"/>
      <c r="U774" s="2487"/>
      <c r="V774" s="2487"/>
      <c r="W774" s="2487"/>
      <c r="X774" s="2487"/>
      <c r="Y774" s="2487"/>
      <c r="Z774" s="2487"/>
      <c r="AA774" s="2487"/>
      <c r="AB774" s="248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87" t="s">
        <v>1437</v>
      </c>
      <c r="F776" s="2487"/>
      <c r="G776" s="2487"/>
      <c r="H776" s="2487"/>
      <c r="I776" s="2487"/>
      <c r="J776" s="2487"/>
      <c r="K776" s="2487"/>
      <c r="L776" s="2487"/>
      <c r="M776" s="2487"/>
      <c r="N776" s="2487"/>
      <c r="O776" s="2487"/>
      <c r="P776" s="2487"/>
      <c r="Q776" s="2487"/>
      <c r="R776" s="2487"/>
      <c r="S776" s="2487"/>
      <c r="T776" s="2487"/>
      <c r="U776" s="2487"/>
      <c r="V776" s="2487"/>
      <c r="W776" s="2487"/>
      <c r="X776" s="2487"/>
      <c r="Y776" s="2487"/>
      <c r="Z776" s="2487"/>
      <c r="AA776" s="2487"/>
      <c r="AB776" s="2487"/>
      <c r="AC776" s="532"/>
      <c r="AD776" s="532"/>
      <c r="AE776" s="532"/>
      <c r="AF776" s="2470" t="s">
        <v>1416</v>
      </c>
      <c r="AG776" s="2470"/>
      <c r="AH776" s="2470"/>
      <c r="AI776" s="2470"/>
      <c r="AJ776" s="2470"/>
      <c r="AK776" s="2470"/>
      <c r="AL776" s="247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7"/>
      <c r="F777" s="2487"/>
      <c r="G777" s="2487"/>
      <c r="H777" s="2487"/>
      <c r="I777" s="2487"/>
      <c r="J777" s="2487"/>
      <c r="K777" s="2487"/>
      <c r="L777" s="2487"/>
      <c r="M777" s="2487"/>
      <c r="N777" s="2487"/>
      <c r="O777" s="2487"/>
      <c r="P777" s="2487"/>
      <c r="Q777" s="2487"/>
      <c r="R777" s="2487"/>
      <c r="S777" s="2487"/>
      <c r="T777" s="2487"/>
      <c r="U777" s="2487"/>
      <c r="V777" s="2487"/>
      <c r="W777" s="2487"/>
      <c r="X777" s="2487"/>
      <c r="Y777" s="2487"/>
      <c r="Z777" s="2487"/>
      <c r="AA777" s="2487"/>
      <c r="AB777" s="248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550" t="s">
        <v>509</v>
      </c>
      <c r="I779" s="2550"/>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95">
        <f>VLOOKUP($H$779,$AO$710:$AP$712,2,FALSE)</f>
        <v>1</v>
      </c>
      <c r="AK781" s="2497"/>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87" t="s">
        <v>1680</v>
      </c>
      <c r="F785" s="2487"/>
      <c r="G785" s="2487"/>
      <c r="H785" s="2487"/>
      <c r="I785" s="2487"/>
      <c r="J785" s="2487"/>
      <c r="K785" s="2487"/>
      <c r="L785" s="2487"/>
      <c r="M785" s="2487"/>
      <c r="N785" s="2487"/>
      <c r="O785" s="2487"/>
      <c r="P785" s="2487"/>
      <c r="Q785" s="2487"/>
      <c r="R785" s="2487"/>
      <c r="S785" s="2487"/>
      <c r="T785" s="2487"/>
      <c r="U785" s="2487"/>
      <c r="V785" s="2487"/>
      <c r="W785" s="2487"/>
      <c r="X785" s="2487"/>
      <c r="Y785" s="2487"/>
      <c r="Z785" s="2487"/>
      <c r="AA785" s="2487"/>
      <c r="AB785" s="2487"/>
      <c r="AC785" s="2487"/>
      <c r="AD785" s="2487"/>
      <c r="AE785" s="532"/>
      <c r="AF785" s="2470" t="s">
        <v>1399</v>
      </c>
      <c r="AG785" s="2470"/>
      <c r="AH785" s="2470"/>
      <c r="AI785" s="2470"/>
      <c r="AJ785" s="2470"/>
      <c r="AK785" s="2470"/>
      <c r="AL785" s="2470"/>
      <c r="AM785" s="606"/>
      <c r="AN785" s="675"/>
      <c r="AO785" s="544" t="s">
        <v>591</v>
      </c>
      <c r="AP785" s="664">
        <v>0</v>
      </c>
    </row>
    <row r="786" spans="1:81" s="563" customFormat="1" ht="13.7" customHeight="1">
      <c r="A786" s="544"/>
      <c r="B786" s="609"/>
      <c r="C786" s="931"/>
      <c r="D786" s="654"/>
      <c r="E786" s="2487"/>
      <c r="F786" s="2487"/>
      <c r="G786" s="2487"/>
      <c r="H786" s="2487"/>
      <c r="I786" s="2487"/>
      <c r="J786" s="2487"/>
      <c r="K786" s="2487"/>
      <c r="L786" s="2487"/>
      <c r="M786" s="2487"/>
      <c r="N786" s="2487"/>
      <c r="O786" s="2487"/>
      <c r="P786" s="2487"/>
      <c r="Q786" s="2487"/>
      <c r="R786" s="2487"/>
      <c r="S786" s="2487"/>
      <c r="T786" s="2487"/>
      <c r="U786" s="2487"/>
      <c r="V786" s="2487"/>
      <c r="W786" s="2487"/>
      <c r="X786" s="2487"/>
      <c r="Y786" s="2487"/>
      <c r="Z786" s="2487"/>
      <c r="AA786" s="2487"/>
      <c r="AB786" s="2487"/>
      <c r="AC786" s="2487"/>
      <c r="AD786" s="2487"/>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87"/>
      <c r="F787" s="2487"/>
      <c r="G787" s="2487"/>
      <c r="H787" s="2487"/>
      <c r="I787" s="2487"/>
      <c r="J787" s="2487"/>
      <c r="K787" s="2487"/>
      <c r="L787" s="2487"/>
      <c r="M787" s="2487"/>
      <c r="N787" s="2487"/>
      <c r="O787" s="2487"/>
      <c r="P787" s="2487"/>
      <c r="Q787" s="2487"/>
      <c r="R787" s="2487"/>
      <c r="S787" s="2487"/>
      <c r="T787" s="2487"/>
      <c r="U787" s="2487"/>
      <c r="V787" s="2487"/>
      <c r="W787" s="2487"/>
      <c r="X787" s="2487"/>
      <c r="Y787" s="2487"/>
      <c r="Z787" s="2487"/>
      <c r="AA787" s="2487"/>
      <c r="AB787" s="2487"/>
      <c r="AC787" s="2487"/>
      <c r="AD787" s="2487"/>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7"/>
      <c r="F788" s="2487"/>
      <c r="G788" s="2487"/>
      <c r="H788" s="2487"/>
      <c r="I788" s="2487"/>
      <c r="J788" s="2487"/>
      <c r="K788" s="2487"/>
      <c r="L788" s="2487"/>
      <c r="M788" s="2487"/>
      <c r="N788" s="2487"/>
      <c r="O788" s="2487"/>
      <c r="P788" s="2487"/>
      <c r="Q788" s="2487"/>
      <c r="R788" s="2487"/>
      <c r="S788" s="2487"/>
      <c r="T788" s="2487"/>
      <c r="U788" s="2487"/>
      <c r="V788" s="2487"/>
      <c r="W788" s="2487"/>
      <c r="X788" s="2487"/>
      <c r="Y788" s="2487"/>
      <c r="Z788" s="2487"/>
      <c r="AA788" s="2487"/>
      <c r="AB788" s="2487"/>
      <c r="AC788" s="2487"/>
      <c r="AD788" s="248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60" t="s">
        <v>1685</v>
      </c>
      <c r="F790" s="2560"/>
      <c r="G790" s="2560"/>
      <c r="H790" s="2560"/>
      <c r="I790" s="2560"/>
      <c r="J790" s="2560"/>
      <c r="K790" s="2560"/>
      <c r="L790" s="2560"/>
      <c r="M790" s="2560"/>
      <c r="N790" s="2560"/>
      <c r="O790" s="2560"/>
      <c r="P790" s="2560"/>
      <c r="Q790" s="2560"/>
      <c r="R790" s="2560"/>
      <c r="S790" s="2560"/>
      <c r="T790" s="2560"/>
      <c r="U790" s="2560"/>
      <c r="V790" s="2560"/>
      <c r="W790" s="2560"/>
      <c r="X790" s="2560"/>
      <c r="Y790" s="2560"/>
      <c r="Z790" s="2560"/>
      <c r="AA790" s="2560"/>
      <c r="AB790" s="2560"/>
      <c r="AC790" s="2560"/>
      <c r="AD790" s="2560"/>
      <c r="AE790" s="532"/>
      <c r="AF790" s="2470" t="s">
        <v>1345</v>
      </c>
      <c r="AG790" s="2470"/>
      <c r="AH790" s="2470"/>
      <c r="AI790" s="2470"/>
      <c r="AJ790" s="2470"/>
      <c r="AK790" s="2470"/>
      <c r="AL790" s="2470"/>
      <c r="AM790" s="606"/>
      <c r="AN790" s="590"/>
    </row>
    <row r="791" spans="1:81" s="544" customFormat="1" ht="12.75" customHeight="1">
      <c r="B791" s="609"/>
      <c r="C791" s="931"/>
      <c r="D791" s="654"/>
      <c r="E791" s="2560"/>
      <c r="F791" s="2560"/>
      <c r="G791" s="2560"/>
      <c r="H791" s="2560"/>
      <c r="I791" s="2560"/>
      <c r="J791" s="2560"/>
      <c r="K791" s="2560"/>
      <c r="L791" s="2560"/>
      <c r="M791" s="2560"/>
      <c r="N791" s="2560"/>
      <c r="O791" s="2560"/>
      <c r="P791" s="2560"/>
      <c r="Q791" s="2560"/>
      <c r="R791" s="2560"/>
      <c r="S791" s="2560"/>
      <c r="T791" s="2560"/>
      <c r="U791" s="2560"/>
      <c r="V791" s="2560"/>
      <c r="W791" s="2560"/>
      <c r="X791" s="2560"/>
      <c r="Y791" s="2560"/>
      <c r="Z791" s="2560"/>
      <c r="AA791" s="2560"/>
      <c r="AB791" s="2560"/>
      <c r="AC791" s="2560"/>
      <c r="AD791" s="2560"/>
      <c r="AE791" s="587"/>
      <c r="AF791" s="587"/>
      <c r="AG791" s="587"/>
      <c r="AH791" s="587"/>
      <c r="AI791" s="587"/>
      <c r="AJ791" s="587"/>
      <c r="AK791" s="587"/>
      <c r="AL791" s="587"/>
      <c r="AM791" s="606"/>
      <c r="AN791" s="590"/>
    </row>
    <row r="792" spans="1:81" s="544" customFormat="1" ht="12.75" customHeight="1">
      <c r="B792" s="609"/>
      <c r="C792" s="931"/>
      <c r="D792" s="654"/>
      <c r="E792" s="2560"/>
      <c r="F792" s="2560"/>
      <c r="G792" s="2560"/>
      <c r="H792" s="2560"/>
      <c r="I792" s="2560"/>
      <c r="J792" s="2560"/>
      <c r="K792" s="2560"/>
      <c r="L792" s="2560"/>
      <c r="M792" s="2560"/>
      <c r="N792" s="2560"/>
      <c r="O792" s="2560"/>
      <c r="P792" s="2560"/>
      <c r="Q792" s="2560"/>
      <c r="R792" s="2560"/>
      <c r="S792" s="2560"/>
      <c r="T792" s="2560"/>
      <c r="U792" s="2560"/>
      <c r="V792" s="2560"/>
      <c r="W792" s="2560"/>
      <c r="X792" s="2560"/>
      <c r="Y792" s="2560"/>
      <c r="Z792" s="2560"/>
      <c r="AA792" s="2560"/>
      <c r="AB792" s="2560"/>
      <c r="AC792" s="2560"/>
      <c r="AD792" s="2560"/>
      <c r="AE792" s="587"/>
      <c r="AF792" s="587"/>
      <c r="AG792" s="587"/>
      <c r="AH792" s="587"/>
      <c r="AI792" s="587"/>
      <c r="AJ792" s="587"/>
      <c r="AK792" s="587"/>
      <c r="AL792" s="587"/>
      <c r="AM792" s="606"/>
      <c r="AN792" s="590"/>
    </row>
    <row r="793" spans="1:81" s="544" customFormat="1" ht="12.75" customHeight="1">
      <c r="B793" s="609"/>
      <c r="C793" s="931"/>
      <c r="D793" s="654"/>
      <c r="E793" s="2560"/>
      <c r="F793" s="2560"/>
      <c r="G793" s="2560"/>
      <c r="H793" s="2560"/>
      <c r="I793" s="2560"/>
      <c r="J793" s="2560"/>
      <c r="K793" s="2560"/>
      <c r="L793" s="2560"/>
      <c r="M793" s="2560"/>
      <c r="N793" s="2560"/>
      <c r="O793" s="2560"/>
      <c r="P793" s="2560"/>
      <c r="Q793" s="2560"/>
      <c r="R793" s="2560"/>
      <c r="S793" s="2560"/>
      <c r="T793" s="2560"/>
      <c r="U793" s="2560"/>
      <c r="V793" s="2560"/>
      <c r="W793" s="2560"/>
      <c r="X793" s="2560"/>
      <c r="Y793" s="2560"/>
      <c r="Z793" s="2560"/>
      <c r="AA793" s="2560"/>
      <c r="AB793" s="2560"/>
      <c r="AC793" s="2560"/>
      <c r="AD793" s="256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550" t="s">
        <v>591</v>
      </c>
      <c r="I795" s="2550"/>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95">
        <f>VLOOKUP($H$795,$AO$785:$AP$787,2,FALSE)</f>
        <v>0</v>
      </c>
      <c r="AK797" s="2497"/>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87" t="s">
        <v>2627</v>
      </c>
      <c r="F801" s="2487"/>
      <c r="G801" s="2487"/>
      <c r="H801" s="2487"/>
      <c r="I801" s="2487"/>
      <c r="J801" s="2487"/>
      <c r="K801" s="2487"/>
      <c r="L801" s="2487"/>
      <c r="M801" s="2487"/>
      <c r="N801" s="2487"/>
      <c r="O801" s="2487"/>
      <c r="P801" s="2487"/>
      <c r="Q801" s="2487"/>
      <c r="R801" s="2487"/>
      <c r="S801" s="2487"/>
      <c r="T801" s="2487"/>
      <c r="U801" s="2487"/>
      <c r="V801" s="2487"/>
      <c r="W801" s="2487"/>
      <c r="X801" s="2487"/>
      <c r="Y801" s="2487"/>
      <c r="Z801" s="2487"/>
      <c r="AA801" s="2487"/>
      <c r="AB801" s="2487"/>
      <c r="AC801" s="2487"/>
      <c r="AD801" s="2487"/>
      <c r="AE801" s="532"/>
      <c r="AF801" s="2470" t="s">
        <v>1345</v>
      </c>
      <c r="AG801" s="2470"/>
      <c r="AH801" s="2470"/>
      <c r="AI801" s="2470"/>
      <c r="AJ801" s="2470"/>
      <c r="AK801" s="2470"/>
      <c r="AL801" s="2470"/>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87"/>
      <c r="F802" s="2487"/>
      <c r="G802" s="2487"/>
      <c r="H802" s="2487"/>
      <c r="I802" s="2487"/>
      <c r="J802" s="2487"/>
      <c r="K802" s="2487"/>
      <c r="L802" s="2487"/>
      <c r="M802" s="2487"/>
      <c r="N802" s="2487"/>
      <c r="O802" s="2487"/>
      <c r="P802" s="2487"/>
      <c r="Q802" s="2487"/>
      <c r="R802" s="2487"/>
      <c r="S802" s="2487"/>
      <c r="T802" s="2487"/>
      <c r="U802" s="2487"/>
      <c r="V802" s="2487"/>
      <c r="W802" s="2487"/>
      <c r="X802" s="2487"/>
      <c r="Y802" s="2487"/>
      <c r="Z802" s="2487"/>
      <c r="AA802" s="2487"/>
      <c r="AB802" s="2487"/>
      <c r="AC802" s="2487"/>
      <c r="AD802" s="248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7"/>
      <c r="F803" s="2487"/>
      <c r="G803" s="2487"/>
      <c r="H803" s="2487"/>
      <c r="I803" s="2487"/>
      <c r="J803" s="2487"/>
      <c r="K803" s="2487"/>
      <c r="L803" s="2487"/>
      <c r="M803" s="2487"/>
      <c r="N803" s="2487"/>
      <c r="O803" s="2487"/>
      <c r="P803" s="2487"/>
      <c r="Q803" s="2487"/>
      <c r="R803" s="2487"/>
      <c r="S803" s="2487"/>
      <c r="T803" s="2487"/>
      <c r="U803" s="2487"/>
      <c r="V803" s="2487"/>
      <c r="W803" s="2487"/>
      <c r="X803" s="2487"/>
      <c r="Y803" s="2487"/>
      <c r="Z803" s="2487"/>
      <c r="AA803" s="2487"/>
      <c r="AB803" s="2487"/>
      <c r="AC803" s="2487"/>
      <c r="AD803" s="248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7"/>
      <c r="F804" s="2487"/>
      <c r="G804" s="2487"/>
      <c r="H804" s="2487"/>
      <c r="I804" s="2487"/>
      <c r="J804" s="2487"/>
      <c r="K804" s="2487"/>
      <c r="L804" s="2487"/>
      <c r="M804" s="2487"/>
      <c r="N804" s="2487"/>
      <c r="O804" s="2487"/>
      <c r="P804" s="2487"/>
      <c r="Q804" s="2487"/>
      <c r="R804" s="2487"/>
      <c r="S804" s="2487"/>
      <c r="T804" s="2487"/>
      <c r="U804" s="2487"/>
      <c r="V804" s="2487"/>
      <c r="W804" s="2487"/>
      <c r="X804" s="2487"/>
      <c r="Y804" s="2487"/>
      <c r="Z804" s="2487"/>
      <c r="AA804" s="2487"/>
      <c r="AB804" s="2487"/>
      <c r="AC804" s="2487"/>
      <c r="AD804" s="248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550" t="s">
        <v>591</v>
      </c>
      <c r="I806" s="2550"/>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95">
        <f>VLOOKUP($H$806,$AO$800:$AP$801,2,FALSE)</f>
        <v>0</v>
      </c>
      <c r="AK808" s="2497"/>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87" t="s">
        <v>2590</v>
      </c>
      <c r="F812" s="2487"/>
      <c r="G812" s="2487"/>
      <c r="H812" s="2487"/>
      <c r="I812" s="2487"/>
      <c r="J812" s="2487"/>
      <c r="K812" s="2487"/>
      <c r="L812" s="2487"/>
      <c r="M812" s="2487"/>
      <c r="N812" s="2487"/>
      <c r="O812" s="2487"/>
      <c r="P812" s="2487"/>
      <c r="Q812" s="2487"/>
      <c r="R812" s="2487"/>
      <c r="S812" s="2487"/>
      <c r="T812" s="2487"/>
      <c r="U812" s="2487"/>
      <c r="V812" s="2487"/>
      <c r="W812" s="2487"/>
      <c r="X812" s="2487"/>
      <c r="Y812" s="2487"/>
      <c r="Z812" s="2487"/>
      <c r="AA812" s="2487"/>
      <c r="AB812" s="2487"/>
      <c r="AC812" s="2487"/>
      <c r="AD812" s="2487"/>
      <c r="AE812" s="545"/>
      <c r="AF812" s="2470" t="s">
        <v>1370</v>
      </c>
      <c r="AG812" s="2470"/>
      <c r="AH812" s="2470"/>
      <c r="AI812" s="2470"/>
      <c r="AJ812" s="2470"/>
      <c r="AK812" s="2470"/>
      <c r="AL812" s="2470"/>
      <c r="AN812" s="590"/>
    </row>
    <row r="813" spans="1:81" s="544" customFormat="1" ht="12.75" customHeight="1">
      <c r="B813" s="609"/>
      <c r="C813" s="679"/>
      <c r="D813" s="654"/>
      <c r="E813" s="2487"/>
      <c r="F813" s="2487"/>
      <c r="G813" s="2487"/>
      <c r="H813" s="2487"/>
      <c r="I813" s="2487"/>
      <c r="J813" s="2487"/>
      <c r="K813" s="2487"/>
      <c r="L813" s="2487"/>
      <c r="M813" s="2487"/>
      <c r="N813" s="2487"/>
      <c r="O813" s="2487"/>
      <c r="P813" s="2487"/>
      <c r="Q813" s="2487"/>
      <c r="R813" s="2487"/>
      <c r="S813" s="2487"/>
      <c r="T813" s="2487"/>
      <c r="U813" s="2487"/>
      <c r="V813" s="2487"/>
      <c r="W813" s="2487"/>
      <c r="X813" s="2487"/>
      <c r="Y813" s="2487"/>
      <c r="Z813" s="2487"/>
      <c r="AA813" s="2487"/>
      <c r="AB813" s="2487"/>
      <c r="AC813" s="2487"/>
      <c r="AD813" s="248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550" t="s">
        <v>591</v>
      </c>
      <c r="I815" s="2550"/>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95">
        <f>IF(H815="Yes",5,0)</f>
        <v>0</v>
      </c>
      <c r="AK817" s="2497"/>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95">
        <f>IF(($AJ$634+$AJ$653+$AJ$665+$AJ$700+$AJ$727+$AJ$741+$AJ$753+$AJ$769+$AJ$781+$AJ$797+AJ808+AJ817)&gt;10,10,($AJ$634+$AJ$653+$AJ$665+$AJ$700+$AJ$727+$AJ$741+$AJ$753+$AJ$769+$AJ$781+$AJ$797+AJ808+AJ817))</f>
        <v>10</v>
      </c>
      <c r="AL819" s="2496"/>
      <c r="AM819" s="2497"/>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28" t="s">
        <v>2768</v>
      </c>
      <c r="I823" s="1428"/>
      <c r="J823" s="1428"/>
      <c r="K823" s="1428"/>
      <c r="L823" s="1428"/>
      <c r="M823" s="1428"/>
      <c r="N823" s="1428"/>
      <c r="O823" s="1428"/>
      <c r="P823" s="1428"/>
      <c r="Q823" s="1428"/>
      <c r="R823" s="1428"/>
      <c r="S823"/>
      <c r="T823" s="3" t="s">
        <v>2657</v>
      </c>
      <c r="U823"/>
      <c r="V823" s="3"/>
      <c r="W823" s="3"/>
      <c r="X823" s="3"/>
      <c r="Y823" s="3"/>
      <c r="Z823"/>
      <c r="AA823" s="1428" t="s">
        <v>2773</v>
      </c>
      <c r="AB823" s="1428"/>
      <c r="AC823" s="1428"/>
      <c r="AD823" s="1428"/>
      <c r="AE823" s="1428"/>
      <c r="AF823" s="1428"/>
      <c r="AG823" s="1428"/>
      <c r="AH823" s="1428"/>
      <c r="AI823" s="1428"/>
      <c r="AJ823" s="1428"/>
      <c r="AK823" s="1428"/>
      <c r="AL823" s="350"/>
      <c r="AN823" s="1272"/>
      <c r="AP823" t="s">
        <v>1418</v>
      </c>
    </row>
    <row r="824" spans="1:81" s="22" customFormat="1" ht="12.75" customHeight="1">
      <c r="B824" s="3" t="s">
        <v>471</v>
      </c>
      <c r="C824" s="3"/>
      <c r="D824" s="3"/>
      <c r="E824" s="3"/>
      <c r="F824" s="3"/>
      <c r="G824"/>
      <c r="H824" s="1408" t="s">
        <v>2769</v>
      </c>
      <c r="I824" s="1408"/>
      <c r="J824" s="1408"/>
      <c r="K824" s="1408"/>
      <c r="L824" s="1408"/>
      <c r="M824" s="1408"/>
      <c r="N824" s="1408"/>
      <c r="O824" s="1408"/>
      <c r="P824" s="1408"/>
      <c r="Q824" s="1408"/>
      <c r="R824" s="1408"/>
      <c r="S824"/>
      <c r="T824" s="3" t="s">
        <v>471</v>
      </c>
      <c r="U824"/>
      <c r="V824" s="3"/>
      <c r="W824" s="3"/>
      <c r="X824" s="3"/>
      <c r="Y824" s="3"/>
      <c r="Z824"/>
      <c r="AA824" s="1408" t="s">
        <v>2774</v>
      </c>
      <c r="AB824" s="1408"/>
      <c r="AC824" s="1408"/>
      <c r="AD824" s="1408"/>
      <c r="AE824" s="1408"/>
      <c r="AF824" s="1408"/>
      <c r="AG824" s="1408"/>
      <c r="AH824" s="1408"/>
      <c r="AI824" s="1408"/>
      <c r="AJ824" s="1408"/>
      <c r="AK824" s="1408"/>
      <c r="AL824" s="350"/>
      <c r="AN824" s="1272"/>
      <c r="AP824" t="s">
        <v>1396</v>
      </c>
    </row>
    <row r="825" spans="1:81" s="22" customFormat="1" ht="12.75" customHeight="1">
      <c r="B825" s="3" t="s">
        <v>2658</v>
      </c>
      <c r="C825" s="3"/>
      <c r="D825" s="3"/>
      <c r="E825" s="3"/>
      <c r="F825" s="3"/>
      <c r="G825"/>
      <c r="H825" s="1408" t="s">
        <v>2770</v>
      </c>
      <c r="I825" s="1408"/>
      <c r="J825" s="1408"/>
      <c r="K825" s="1408"/>
      <c r="L825" s="1408"/>
      <c r="M825" s="1408"/>
      <c r="N825" s="1408"/>
      <c r="O825" s="1408"/>
      <c r="P825" s="1408"/>
      <c r="Q825" s="1408"/>
      <c r="R825" s="1408"/>
      <c r="S825"/>
      <c r="T825" s="3" t="s">
        <v>2658</v>
      </c>
      <c r="U825"/>
      <c r="V825" s="3"/>
      <c r="W825" s="3"/>
      <c r="X825" s="3"/>
      <c r="Y825" s="3"/>
      <c r="Z825"/>
      <c r="AA825" s="1408" t="s">
        <v>2770</v>
      </c>
      <c r="AB825" s="1408"/>
      <c r="AC825" s="1408"/>
      <c r="AD825" s="1408"/>
      <c r="AE825" s="1408"/>
      <c r="AF825" s="1408"/>
      <c r="AG825" s="1408"/>
      <c r="AH825" s="1408"/>
      <c r="AI825" s="1408"/>
      <c r="AJ825" s="1408"/>
      <c r="AK825" s="1408"/>
      <c r="AL825" s="350"/>
      <c r="AN825" s="1272"/>
      <c r="AO825" s="1273"/>
      <c r="AP825" t="s">
        <v>1403</v>
      </c>
    </row>
    <row r="826" spans="1:81" s="22" customFormat="1" ht="12.75" customHeight="1">
      <c r="B826" s="3" t="s">
        <v>87</v>
      </c>
      <c r="C826" s="3"/>
      <c r="D826" s="3"/>
      <c r="E826" s="3"/>
      <c r="F826" s="3"/>
      <c r="G826"/>
      <c r="H826" s="1408"/>
      <c r="I826" s="1408"/>
      <c r="J826" s="1408"/>
      <c r="K826" s="1408"/>
      <c r="L826" s="1408"/>
      <c r="M826" s="1408"/>
      <c r="N826" s="1408"/>
      <c r="O826" s="1408"/>
      <c r="P826" s="1408"/>
      <c r="Q826" s="1408"/>
      <c r="R826" s="1408"/>
      <c r="S826"/>
      <c r="T826" s="3" t="s">
        <v>87</v>
      </c>
      <c r="U826"/>
      <c r="V826" s="3"/>
      <c r="W826" s="3"/>
      <c r="X826" s="3"/>
      <c r="Y826" s="3"/>
      <c r="Z826"/>
      <c r="AA826" s="1408"/>
      <c r="AB826" s="1408"/>
      <c r="AC826" s="1408"/>
      <c r="AD826" s="1408"/>
      <c r="AE826" s="1408"/>
      <c r="AF826" s="1408"/>
      <c r="AG826" s="1408"/>
      <c r="AH826" s="1408"/>
      <c r="AI826" s="1408"/>
      <c r="AJ826" s="1408"/>
      <c r="AK826" s="1408"/>
      <c r="AL826" s="350"/>
      <c r="AN826" s="1272"/>
      <c r="AO826" s="1273"/>
      <c r="AP826" t="s">
        <v>1419</v>
      </c>
    </row>
    <row r="827" spans="1:81" s="22" customFormat="1" ht="12.75" customHeight="1">
      <c r="B827" s="3" t="s">
        <v>88</v>
      </c>
      <c r="C827" s="3"/>
      <c r="D827" s="3"/>
      <c r="E827" s="3"/>
      <c r="F827" s="3"/>
      <c r="G827" s="3"/>
      <c r="H827" s="1494" t="s">
        <v>2775</v>
      </c>
      <c r="I827" s="1494"/>
      <c r="J827" s="1494"/>
      <c r="K827" s="1494"/>
      <c r="L827" s="1494"/>
      <c r="M827" s="1494"/>
      <c r="N827" s="3" t="s">
        <v>206</v>
      </c>
      <c r="O827" s="3"/>
      <c r="P827" s="1467"/>
      <c r="Q827" s="1467"/>
      <c r="R827" s="1467"/>
      <c r="S827" s="3"/>
      <c r="T827" s="3" t="s">
        <v>88</v>
      </c>
      <c r="U827"/>
      <c r="V827" s="3"/>
      <c r="W827" s="3"/>
      <c r="X827" s="3"/>
      <c r="Y827" s="3"/>
      <c r="Z827"/>
      <c r="AA827" s="1494" t="s">
        <v>2776</v>
      </c>
      <c r="AB827" s="1494"/>
      <c r="AC827" s="1494"/>
      <c r="AD827" s="1494"/>
      <c r="AE827" s="1494"/>
      <c r="AF827" s="1494"/>
      <c r="AG827" s="3" t="s">
        <v>206</v>
      </c>
      <c r="AH827" s="3"/>
      <c r="AI827" s="1467"/>
      <c r="AJ827" s="1467"/>
      <c r="AK827" s="1467"/>
      <c r="AL827" s="350"/>
      <c r="AN827" s="1272"/>
      <c r="AO827" s="1273"/>
      <c r="AP827" t="s">
        <v>2684</v>
      </c>
    </row>
    <row r="828" spans="1:81" s="22" customFormat="1" ht="12.75" customHeight="1">
      <c r="B828" s="3" t="s">
        <v>2659</v>
      </c>
      <c r="C828" s="3"/>
      <c r="D828" s="3"/>
      <c r="E828" s="3"/>
      <c r="F828" s="3"/>
      <c r="G828" s="3"/>
      <c r="H828" s="1408" t="s">
        <v>1418</v>
      </c>
      <c r="I828" s="1408"/>
      <c r="J828" s="1408"/>
      <c r="K828" s="1408"/>
      <c r="L828" s="1408"/>
      <c r="M828" s="1408"/>
      <c r="N828" s="1408"/>
      <c r="O828" s="1408"/>
      <c r="P828" s="1408"/>
      <c r="Q828" s="1408"/>
      <c r="R828" s="1408"/>
      <c r="S828" s="3"/>
      <c r="T828" s="3" t="s">
        <v>2659</v>
      </c>
      <c r="U828"/>
      <c r="V828" s="3"/>
      <c r="W828" s="3"/>
      <c r="X828" s="3"/>
      <c r="Y828" s="3"/>
      <c r="Z828"/>
      <c r="AA828" s="1408" t="s">
        <v>1396</v>
      </c>
      <c r="AB828" s="1408"/>
      <c r="AC828" s="1408"/>
      <c r="AD828" s="1408"/>
      <c r="AE828" s="1408"/>
      <c r="AF828" s="1408"/>
      <c r="AG828" s="1408"/>
      <c r="AH828" s="1408"/>
      <c r="AI828" s="1408"/>
      <c r="AJ828" s="1408"/>
      <c r="AK828" s="1408"/>
      <c r="AL828" s="350"/>
      <c r="AN828" s="1272"/>
      <c r="AO828" s="1273"/>
      <c r="AP828" t="s">
        <v>1421</v>
      </c>
    </row>
    <row r="829" spans="1:81" s="22" customFormat="1" ht="12.75" customHeight="1">
      <c r="B829" s="3" t="s">
        <v>2660</v>
      </c>
      <c r="C829" s="3"/>
      <c r="D829" s="3"/>
      <c r="E829" s="3"/>
      <c r="F829" s="3"/>
      <c r="G829" s="3"/>
      <c r="H829" s="1408" t="s">
        <v>2771</v>
      </c>
      <c r="I829" s="1408"/>
      <c r="J829" s="1408"/>
      <c r="K829" s="1408"/>
      <c r="L829" s="1408"/>
      <c r="M829" s="1408"/>
      <c r="N829" s="1408"/>
      <c r="O829" s="1408"/>
      <c r="P829" s="1408"/>
      <c r="Q829" s="1408"/>
      <c r="R829" s="1408"/>
      <c r="S829" s="3"/>
      <c r="T829" s="3" t="s">
        <v>2660</v>
      </c>
      <c r="U829"/>
      <c r="V829" s="3"/>
      <c r="W829" s="3"/>
      <c r="X829" s="3"/>
      <c r="Y829" s="3"/>
      <c r="Z829"/>
      <c r="AA829" s="1408" t="s">
        <v>2777</v>
      </c>
      <c r="AB829" s="1408"/>
      <c r="AC829" s="1408"/>
      <c r="AD829" s="1408"/>
      <c r="AE829" s="1408"/>
      <c r="AF829" s="1408"/>
      <c r="AG829" s="1408"/>
      <c r="AH829" s="1408"/>
      <c r="AI829" s="1408"/>
      <c r="AJ829" s="1408"/>
      <c r="AK829" s="1408"/>
      <c r="AL829" s="350"/>
      <c r="AN829" s="1272"/>
      <c r="AP829" t="s">
        <v>1422</v>
      </c>
    </row>
    <row r="830" spans="1:81" s="22" customFormat="1" ht="12.75" customHeight="1">
      <c r="B830" s="3" t="s">
        <v>2661</v>
      </c>
      <c r="C830" s="3"/>
      <c r="D830" s="3"/>
      <c r="E830" s="3"/>
      <c r="F830" s="3"/>
      <c r="G830" s="3"/>
      <c r="H830" s="2407" t="s">
        <v>2772</v>
      </c>
      <c r="I830" s="2407"/>
      <c r="J830" s="2407"/>
      <c r="K830" s="2407"/>
      <c r="L830" s="2407"/>
      <c r="M830" s="2407"/>
      <c r="N830" s="2407"/>
      <c r="O830" s="2407"/>
      <c r="P830" s="2407"/>
      <c r="Q830" s="2407"/>
      <c r="R830" s="2407"/>
      <c r="S830" s="3"/>
      <c r="T830" s="3" t="s">
        <v>2661</v>
      </c>
      <c r="U830" s="3"/>
      <c r="V830" s="3"/>
      <c r="W830" s="3"/>
      <c r="X830" s="3"/>
      <c r="Y830" s="3"/>
      <c r="Z830" s="8"/>
      <c r="AA830" s="2407" t="s">
        <v>2778</v>
      </c>
      <c r="AB830" s="2407"/>
      <c r="AC830" s="2407"/>
      <c r="AD830" s="2407"/>
      <c r="AE830" s="2407"/>
      <c r="AF830" s="2407"/>
      <c r="AG830" s="2407"/>
      <c r="AH830" s="2407"/>
      <c r="AI830" s="2407"/>
      <c r="AJ830" s="2407"/>
      <c r="AK830" s="2407"/>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428" t="s">
        <v>2779</v>
      </c>
      <c r="I832" s="1428"/>
      <c r="J832" s="1428"/>
      <c r="K832" s="1428"/>
      <c r="L832" s="1428"/>
      <c r="M832" s="1428"/>
      <c r="N832" s="1428"/>
      <c r="O832" s="1428"/>
      <c r="P832" s="1428"/>
      <c r="Q832" s="1428"/>
      <c r="R832" s="1428"/>
      <c r="S832"/>
      <c r="T832" s="3" t="s">
        <v>2657</v>
      </c>
      <c r="U832"/>
      <c r="V832" s="3"/>
      <c r="W832" s="3"/>
      <c r="X832" s="3"/>
      <c r="Y832" s="3"/>
      <c r="Z832"/>
      <c r="AA832" s="1428" t="s">
        <v>2784</v>
      </c>
      <c r="AB832" s="1428"/>
      <c r="AC832" s="1428"/>
      <c r="AD832" s="1428"/>
      <c r="AE832" s="1428"/>
      <c r="AF832" s="1428"/>
      <c r="AG832" s="1428"/>
      <c r="AH832" s="1428"/>
      <c r="AI832" s="1428"/>
      <c r="AJ832" s="1428"/>
      <c r="AK832" s="1428"/>
      <c r="AL832" s="350"/>
      <c r="AN832" s="1272"/>
      <c r="AP832" t="s">
        <v>1425</v>
      </c>
    </row>
    <row r="833" spans="1:42" s="1277" customFormat="1" ht="12.75" customHeight="1">
      <c r="A833" s="22"/>
      <c r="B833" s="3" t="s">
        <v>471</v>
      </c>
      <c r="C833" s="3"/>
      <c r="D833" s="3"/>
      <c r="E833" s="3"/>
      <c r="F833" s="3"/>
      <c r="G833"/>
      <c r="H833" s="1408" t="s">
        <v>2780</v>
      </c>
      <c r="I833" s="1408"/>
      <c r="J833" s="1408"/>
      <c r="K833" s="1408"/>
      <c r="L833" s="1408"/>
      <c r="M833" s="1408"/>
      <c r="N833" s="1408"/>
      <c r="O833" s="1408"/>
      <c r="P833" s="1408"/>
      <c r="Q833" s="1408"/>
      <c r="R833" s="1408"/>
      <c r="S833"/>
      <c r="T833" s="3" t="s">
        <v>471</v>
      </c>
      <c r="U833"/>
      <c r="V833" s="3"/>
      <c r="W833" s="3"/>
      <c r="X833" s="3"/>
      <c r="Y833" s="3"/>
      <c r="Z833"/>
      <c r="AA833" s="1408" t="s">
        <v>2785</v>
      </c>
      <c r="AB833" s="1408"/>
      <c r="AC833" s="1408"/>
      <c r="AD833" s="1408"/>
      <c r="AE833" s="1408"/>
      <c r="AF833" s="1408"/>
      <c r="AG833" s="1408"/>
      <c r="AH833" s="1408"/>
      <c r="AI833" s="1408"/>
      <c r="AJ833" s="1408"/>
      <c r="AK833" s="1408"/>
      <c r="AL833" s="350"/>
      <c r="AM833" s="22"/>
      <c r="AN833" s="1272"/>
      <c r="AO833" s="22"/>
      <c r="AP833" s="39" t="s">
        <v>1427</v>
      </c>
    </row>
    <row r="834" spans="1:42" s="1277" customFormat="1" ht="12.75" customHeight="1">
      <c r="A834" s="22"/>
      <c r="B834" s="3" t="s">
        <v>2658</v>
      </c>
      <c r="C834" s="3"/>
      <c r="D834" s="3"/>
      <c r="E834" s="3"/>
      <c r="F834" s="3"/>
      <c r="G834"/>
      <c r="H834" s="1408" t="s">
        <v>2770</v>
      </c>
      <c r="I834" s="1408"/>
      <c r="J834" s="1408"/>
      <c r="K834" s="1408"/>
      <c r="L834" s="1408"/>
      <c r="M834" s="1408"/>
      <c r="N834" s="1408"/>
      <c r="O834" s="1408"/>
      <c r="P834" s="1408"/>
      <c r="Q834" s="1408"/>
      <c r="R834" s="1408"/>
      <c r="S834"/>
      <c r="T834" s="3" t="s">
        <v>2658</v>
      </c>
      <c r="U834"/>
      <c r="V834" s="3"/>
      <c r="W834" s="3"/>
      <c r="X834" s="3"/>
      <c r="Y834" s="3"/>
      <c r="Z834"/>
      <c r="AA834" s="1408" t="s">
        <v>2770</v>
      </c>
      <c r="AB834" s="1408"/>
      <c r="AC834" s="1408"/>
      <c r="AD834" s="1408"/>
      <c r="AE834" s="1408"/>
      <c r="AF834" s="1408"/>
      <c r="AG834" s="1408"/>
      <c r="AH834" s="1408"/>
      <c r="AI834" s="1408"/>
      <c r="AJ834" s="1408"/>
      <c r="AK834" s="1408"/>
      <c r="AL834" s="350"/>
      <c r="AM834" s="22"/>
      <c r="AN834" s="1272"/>
      <c r="AO834" s="22"/>
    </row>
    <row r="835" spans="1:42" s="22" customFormat="1" ht="12.75" customHeight="1">
      <c r="B835" s="3" t="s">
        <v>87</v>
      </c>
      <c r="C835" s="3"/>
      <c r="D835" s="3"/>
      <c r="E835" s="3"/>
      <c r="F835" s="3"/>
      <c r="G835"/>
      <c r="H835" s="1408"/>
      <c r="I835" s="1408"/>
      <c r="J835" s="1408"/>
      <c r="K835" s="1408"/>
      <c r="L835" s="1408"/>
      <c r="M835" s="1408"/>
      <c r="N835" s="1408"/>
      <c r="O835" s="1408"/>
      <c r="P835" s="1408"/>
      <c r="Q835" s="1408"/>
      <c r="R835" s="1408"/>
      <c r="S835"/>
      <c r="T835" s="3" t="s">
        <v>87</v>
      </c>
      <c r="U835"/>
      <c r="V835" s="3"/>
      <c r="W835" s="3"/>
      <c r="X835" s="3"/>
      <c r="Y835" s="3"/>
      <c r="Z835"/>
      <c r="AA835" s="1408"/>
      <c r="AB835" s="1408"/>
      <c r="AC835" s="1408"/>
      <c r="AD835" s="1408"/>
      <c r="AE835" s="1408"/>
      <c r="AF835" s="1408"/>
      <c r="AG835" s="1408"/>
      <c r="AH835" s="1408"/>
      <c r="AI835" s="1408"/>
      <c r="AJ835" s="1408"/>
      <c r="AK835" s="1408"/>
      <c r="AL835" s="350"/>
      <c r="AN835" s="1272"/>
    </row>
    <row r="836" spans="1:42" s="22" customFormat="1" ht="12.75" customHeight="1">
      <c r="B836" s="3" t="s">
        <v>88</v>
      </c>
      <c r="C836" s="3"/>
      <c r="D836" s="3"/>
      <c r="E836" s="3"/>
      <c r="F836" s="3"/>
      <c r="G836" s="3"/>
      <c r="H836" s="1494" t="s">
        <v>2781</v>
      </c>
      <c r="I836" s="1494"/>
      <c r="J836" s="1494"/>
      <c r="K836" s="1494"/>
      <c r="L836" s="1494"/>
      <c r="M836" s="1494"/>
      <c r="N836" s="3" t="s">
        <v>206</v>
      </c>
      <c r="O836" s="3"/>
      <c r="P836" s="1467"/>
      <c r="Q836" s="1467"/>
      <c r="R836" s="1467"/>
      <c r="S836" s="3"/>
      <c r="T836" s="3" t="s">
        <v>88</v>
      </c>
      <c r="U836"/>
      <c r="V836" s="3"/>
      <c r="W836" s="3"/>
      <c r="X836" s="3"/>
      <c r="Y836" s="3"/>
      <c r="Z836"/>
      <c r="AA836" s="1494" t="s">
        <v>2788</v>
      </c>
      <c r="AB836" s="1494"/>
      <c r="AC836" s="1494"/>
      <c r="AD836" s="1494"/>
      <c r="AE836" s="1494"/>
      <c r="AF836" s="1494"/>
      <c r="AG836" s="3" t="s">
        <v>206</v>
      </c>
      <c r="AH836" s="3"/>
      <c r="AI836" s="1467"/>
      <c r="AJ836" s="1467"/>
      <c r="AK836" s="1467"/>
      <c r="AL836" s="350"/>
      <c r="AN836" s="1272"/>
    </row>
    <row r="837" spans="1:42" s="22" customFormat="1" ht="12.75" customHeight="1">
      <c r="B837" s="3" t="s">
        <v>2659</v>
      </c>
      <c r="C837" s="3"/>
      <c r="D837" s="3"/>
      <c r="E837" s="3"/>
      <c r="F837" s="3"/>
      <c r="G837" s="3"/>
      <c r="H837" s="1408" t="s">
        <v>1403</v>
      </c>
      <c r="I837" s="1408"/>
      <c r="J837" s="1408"/>
      <c r="K837" s="1408"/>
      <c r="L837" s="1408"/>
      <c r="M837" s="1408"/>
      <c r="N837" s="1408"/>
      <c r="O837" s="1408"/>
      <c r="P837" s="1408"/>
      <c r="Q837" s="1408"/>
      <c r="R837" s="1408"/>
      <c r="S837" s="3"/>
      <c r="T837" s="3" t="s">
        <v>2659</v>
      </c>
      <c r="U837"/>
      <c r="V837" s="3"/>
      <c r="W837" s="3"/>
      <c r="X837" s="3"/>
      <c r="Y837" s="3"/>
      <c r="Z837"/>
      <c r="AA837" s="1408" t="s">
        <v>1419</v>
      </c>
      <c r="AB837" s="1408"/>
      <c r="AC837" s="1408"/>
      <c r="AD837" s="1408"/>
      <c r="AE837" s="1408"/>
      <c r="AF837" s="1408"/>
      <c r="AG837" s="1408"/>
      <c r="AH837" s="1408"/>
      <c r="AI837" s="1408"/>
      <c r="AJ837" s="1408"/>
      <c r="AK837" s="1408"/>
      <c r="AL837" s="350"/>
      <c r="AN837" s="1272"/>
    </row>
    <row r="838" spans="1:42" s="22" customFormat="1" ht="12.75" customHeight="1">
      <c r="B838" s="3" t="s">
        <v>2660</v>
      </c>
      <c r="C838" s="3"/>
      <c r="D838" s="3"/>
      <c r="E838" s="3"/>
      <c r="F838" s="3"/>
      <c r="G838" s="3"/>
      <c r="H838" s="1408" t="s">
        <v>2782</v>
      </c>
      <c r="I838" s="1408"/>
      <c r="J838" s="1408"/>
      <c r="K838" s="1408"/>
      <c r="L838" s="1408"/>
      <c r="M838" s="1408"/>
      <c r="N838" s="1408"/>
      <c r="O838" s="1408"/>
      <c r="P838" s="1408"/>
      <c r="Q838" s="1408"/>
      <c r="R838" s="1408"/>
      <c r="S838" s="3"/>
      <c r="T838" s="3" t="s">
        <v>2660</v>
      </c>
      <c r="U838"/>
      <c r="V838" s="3"/>
      <c r="W838" s="3"/>
      <c r="X838" s="3"/>
      <c r="Y838" s="3"/>
      <c r="Z838"/>
      <c r="AA838" s="1408" t="s">
        <v>2786</v>
      </c>
      <c r="AB838" s="1408"/>
      <c r="AC838" s="1408"/>
      <c r="AD838" s="1408"/>
      <c r="AE838" s="1408"/>
      <c r="AF838" s="1408"/>
      <c r="AG838" s="1408"/>
      <c r="AH838" s="1408"/>
      <c r="AI838" s="1408"/>
      <c r="AJ838" s="1408"/>
      <c r="AK838" s="1408"/>
      <c r="AL838" s="350"/>
      <c r="AN838" s="1272"/>
    </row>
    <row r="839" spans="1:42" s="22" customFormat="1" ht="12.75" customHeight="1">
      <c r="B839" s="3" t="s">
        <v>2661</v>
      </c>
      <c r="C839" s="3"/>
      <c r="D839" s="3"/>
      <c r="E839" s="3"/>
      <c r="F839" s="3"/>
      <c r="G839" s="3"/>
      <c r="H839" s="2407" t="s">
        <v>2783</v>
      </c>
      <c r="I839" s="2407"/>
      <c r="J839" s="2407"/>
      <c r="K839" s="2407"/>
      <c r="L839" s="2407"/>
      <c r="M839" s="2407"/>
      <c r="N839" s="2407"/>
      <c r="O839" s="2407"/>
      <c r="P839" s="2407"/>
      <c r="Q839" s="2407"/>
      <c r="R839" s="2407"/>
      <c r="S839" s="3"/>
      <c r="T839" s="3" t="s">
        <v>2661</v>
      </c>
      <c r="U839" s="3"/>
      <c r="V839" s="3"/>
      <c r="W839" s="3"/>
      <c r="X839" s="3"/>
      <c r="Y839" s="3"/>
      <c r="Z839" s="8"/>
      <c r="AA839" s="2407" t="s">
        <v>2787</v>
      </c>
      <c r="AB839" s="2407"/>
      <c r="AC839" s="2407"/>
      <c r="AD839" s="2407"/>
      <c r="AE839" s="2407"/>
      <c r="AF839" s="2407"/>
      <c r="AG839" s="2407"/>
      <c r="AH839" s="2407"/>
      <c r="AI839" s="2407"/>
      <c r="AJ839" s="2407"/>
      <c r="AK839" s="2407"/>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428" t="s">
        <v>2789</v>
      </c>
      <c r="I841" s="1428"/>
      <c r="J841" s="1428"/>
      <c r="K841" s="1428"/>
      <c r="L841" s="1428"/>
      <c r="M841" s="1428"/>
      <c r="N841" s="1428"/>
      <c r="O841" s="1428"/>
      <c r="P841" s="1428"/>
      <c r="Q841" s="1428"/>
      <c r="R841" s="1428"/>
      <c r="S841"/>
      <c r="T841" s="3" t="s">
        <v>2657</v>
      </c>
      <c r="U841"/>
      <c r="V841" s="3"/>
      <c r="W841" s="3"/>
      <c r="X841" s="3"/>
      <c r="Y841" s="3"/>
      <c r="Z841"/>
      <c r="AA841" s="1428" t="s">
        <v>2794</v>
      </c>
      <c r="AB841" s="1428"/>
      <c r="AC841" s="1428"/>
      <c r="AD841" s="1428"/>
      <c r="AE841" s="1428"/>
      <c r="AF841" s="1428"/>
      <c r="AG841" s="1428"/>
      <c r="AH841" s="1428"/>
      <c r="AI841" s="1428"/>
      <c r="AJ841" s="1428"/>
      <c r="AK841" s="1428"/>
      <c r="AL841" s="350"/>
      <c r="AN841" s="1272"/>
    </row>
    <row r="842" spans="1:42" s="22" customFormat="1" ht="12.75" customHeight="1">
      <c r="B842" s="3" t="s">
        <v>471</v>
      </c>
      <c r="C842" s="3"/>
      <c r="D842" s="3"/>
      <c r="E842" s="3"/>
      <c r="F842" s="3"/>
      <c r="G842"/>
      <c r="H842" s="1408" t="s">
        <v>2790</v>
      </c>
      <c r="I842" s="1408"/>
      <c r="J842" s="1408"/>
      <c r="K842" s="1408"/>
      <c r="L842" s="1408"/>
      <c r="M842" s="1408"/>
      <c r="N842" s="1408"/>
      <c r="O842" s="1408"/>
      <c r="P842" s="1408"/>
      <c r="Q842" s="1408"/>
      <c r="R842" s="1408"/>
      <c r="S842"/>
      <c r="T842" s="3" t="s">
        <v>471</v>
      </c>
      <c r="U842"/>
      <c r="V842" s="3"/>
      <c r="W842" s="3"/>
      <c r="X842" s="3"/>
      <c r="Y842" s="3"/>
      <c r="Z842"/>
      <c r="AA842" s="1408" t="s">
        <v>2795</v>
      </c>
      <c r="AB842" s="1408"/>
      <c r="AC842" s="1408"/>
      <c r="AD842" s="1408"/>
      <c r="AE842" s="1408"/>
      <c r="AF842" s="1408"/>
      <c r="AG842" s="1408"/>
      <c r="AH842" s="1408"/>
      <c r="AI842" s="1408"/>
      <c r="AJ842" s="1408"/>
      <c r="AK842" s="1408"/>
      <c r="AL842" s="350"/>
      <c r="AN842" s="1272"/>
    </row>
    <row r="843" spans="1:42" s="22" customFormat="1" ht="12.75" customHeight="1">
      <c r="B843" s="3" t="s">
        <v>2658</v>
      </c>
      <c r="C843" s="3"/>
      <c r="D843" s="3"/>
      <c r="E843" s="3"/>
      <c r="F843" s="3"/>
      <c r="G843"/>
      <c r="H843" s="1408" t="s">
        <v>2770</v>
      </c>
      <c r="I843" s="1408"/>
      <c r="J843" s="1408"/>
      <c r="K843" s="1408"/>
      <c r="L843" s="1408"/>
      <c r="M843" s="1408"/>
      <c r="N843" s="1408"/>
      <c r="O843" s="1408"/>
      <c r="P843" s="1408"/>
      <c r="Q843" s="1408"/>
      <c r="R843" s="1408"/>
      <c r="S843"/>
      <c r="T843" s="3" t="s">
        <v>2658</v>
      </c>
      <c r="U843"/>
      <c r="V843" s="3"/>
      <c r="W843" s="3"/>
      <c r="X843" s="3"/>
      <c r="Y843" s="3"/>
      <c r="Z843"/>
      <c r="AA843" s="1408" t="s">
        <v>2770</v>
      </c>
      <c r="AB843" s="1408"/>
      <c r="AC843" s="1408"/>
      <c r="AD843" s="1408"/>
      <c r="AE843" s="1408"/>
      <c r="AF843" s="1408"/>
      <c r="AG843" s="1408"/>
      <c r="AH843" s="1408"/>
      <c r="AI843" s="1408"/>
      <c r="AJ843" s="1408"/>
      <c r="AK843" s="1408"/>
      <c r="AL843" s="350"/>
      <c r="AN843" s="1272"/>
    </row>
    <row r="844" spans="1:42" s="22" customFormat="1" ht="12.75" customHeight="1">
      <c r="B844" s="3" t="s">
        <v>87</v>
      </c>
      <c r="C844" s="3"/>
      <c r="D844" s="3"/>
      <c r="E844" s="3"/>
      <c r="F844" s="3"/>
      <c r="G844"/>
      <c r="H844" s="1408"/>
      <c r="I844" s="1408"/>
      <c r="J844" s="1408"/>
      <c r="K844" s="1408"/>
      <c r="L844" s="1408"/>
      <c r="M844" s="1408"/>
      <c r="N844" s="1408"/>
      <c r="O844" s="1408"/>
      <c r="P844" s="1408"/>
      <c r="Q844" s="1408"/>
      <c r="R844" s="1408"/>
      <c r="S844"/>
      <c r="T844" s="3" t="s">
        <v>87</v>
      </c>
      <c r="U844"/>
      <c r="V844" s="3"/>
      <c r="W844" s="3"/>
      <c r="X844" s="3"/>
      <c r="Y844" s="3"/>
      <c r="Z844"/>
      <c r="AA844" s="1408"/>
      <c r="AB844" s="1408"/>
      <c r="AC844" s="1408"/>
      <c r="AD844" s="1408"/>
      <c r="AE844" s="1408"/>
      <c r="AF844" s="1408"/>
      <c r="AG844" s="1408"/>
      <c r="AH844" s="1408"/>
      <c r="AI844" s="1408"/>
      <c r="AJ844" s="1408"/>
      <c r="AK844" s="1408"/>
      <c r="AL844" s="350"/>
      <c r="AN844" s="1272"/>
    </row>
    <row r="845" spans="1:42" s="22" customFormat="1" ht="12.75" customHeight="1">
      <c r="B845" s="3" t="s">
        <v>88</v>
      </c>
      <c r="C845" s="3"/>
      <c r="D845" s="3"/>
      <c r="E845" s="3"/>
      <c r="F845" s="3"/>
      <c r="G845" s="3"/>
      <c r="H845" s="1494" t="s">
        <v>2791</v>
      </c>
      <c r="I845" s="1494"/>
      <c r="J845" s="1494"/>
      <c r="K845" s="1494"/>
      <c r="L845" s="1494"/>
      <c r="M845" s="1494"/>
      <c r="N845" s="3" t="s">
        <v>206</v>
      </c>
      <c r="O845" s="3"/>
      <c r="P845" s="1467"/>
      <c r="Q845" s="1467"/>
      <c r="R845" s="1467"/>
      <c r="S845" s="3"/>
      <c r="T845" s="3" t="s">
        <v>88</v>
      </c>
      <c r="U845"/>
      <c r="V845" s="3"/>
      <c r="W845" s="3"/>
      <c r="X845" s="3"/>
      <c r="Y845" s="3"/>
      <c r="Z845"/>
      <c r="AA845" s="1494" t="s">
        <v>2796</v>
      </c>
      <c r="AB845" s="1494"/>
      <c r="AC845" s="1494"/>
      <c r="AD845" s="1494"/>
      <c r="AE845" s="1494"/>
      <c r="AF845" s="1494"/>
      <c r="AG845" s="3" t="s">
        <v>206</v>
      </c>
      <c r="AH845" s="3"/>
      <c r="AI845" s="1467"/>
      <c r="AJ845" s="1467"/>
      <c r="AK845" s="1467"/>
      <c r="AL845" s="350"/>
      <c r="AN845" s="1272"/>
    </row>
    <row r="846" spans="1:42" s="22" customFormat="1" ht="12.75" customHeight="1">
      <c r="B846" s="3" t="s">
        <v>2659</v>
      </c>
      <c r="C846" s="3"/>
      <c r="D846" s="3"/>
      <c r="E846" s="3"/>
      <c r="F846" s="3"/>
      <c r="G846" s="3"/>
      <c r="H846" s="1408" t="s">
        <v>1424</v>
      </c>
      <c r="I846" s="1408"/>
      <c r="J846" s="1408"/>
      <c r="K846" s="1408"/>
      <c r="L846" s="1408"/>
      <c r="M846" s="1408"/>
      <c r="N846" s="1408"/>
      <c r="O846" s="1408"/>
      <c r="P846" s="1408"/>
      <c r="Q846" s="1408"/>
      <c r="R846" s="1408"/>
      <c r="S846" s="3"/>
      <c r="T846" s="3" t="s">
        <v>2659</v>
      </c>
      <c r="U846"/>
      <c r="V846" s="3"/>
      <c r="W846" s="3"/>
      <c r="X846" s="3"/>
      <c r="Y846" s="3"/>
      <c r="Z846"/>
      <c r="AA846" s="1408" t="s">
        <v>1425</v>
      </c>
      <c r="AB846" s="1408"/>
      <c r="AC846" s="1408"/>
      <c r="AD846" s="1408"/>
      <c r="AE846" s="1408"/>
      <c r="AF846" s="1408"/>
      <c r="AG846" s="1408"/>
      <c r="AH846" s="1408"/>
      <c r="AI846" s="1408"/>
      <c r="AJ846" s="1408"/>
      <c r="AK846" s="1408"/>
      <c r="AL846" s="350"/>
      <c r="AN846" s="1272"/>
    </row>
    <row r="847" spans="1:42" s="22" customFormat="1" ht="12.75" customHeight="1">
      <c r="B847" s="3" t="s">
        <v>2660</v>
      </c>
      <c r="C847" s="3"/>
      <c r="D847" s="3"/>
      <c r="E847" s="3"/>
      <c r="F847" s="3"/>
      <c r="G847" s="3"/>
      <c r="H847" s="1408" t="s">
        <v>2792</v>
      </c>
      <c r="I847" s="1408"/>
      <c r="J847" s="1408"/>
      <c r="K847" s="1408"/>
      <c r="L847" s="1408"/>
      <c r="M847" s="1408"/>
      <c r="N847" s="1408"/>
      <c r="O847" s="1408"/>
      <c r="P847" s="1408"/>
      <c r="Q847" s="1408"/>
      <c r="R847" s="1408"/>
      <c r="S847" s="3"/>
      <c r="T847" s="3" t="s">
        <v>2660</v>
      </c>
      <c r="U847"/>
      <c r="V847" s="3"/>
      <c r="W847" s="3"/>
      <c r="X847" s="3"/>
      <c r="Y847" s="3"/>
      <c r="Z847"/>
      <c r="AA847" s="1408" t="s">
        <v>2797</v>
      </c>
      <c r="AB847" s="1408"/>
      <c r="AC847" s="1408"/>
      <c r="AD847" s="1408"/>
      <c r="AE847" s="1408"/>
      <c r="AF847" s="1408"/>
      <c r="AG847" s="1408"/>
      <c r="AH847" s="1408"/>
      <c r="AI847" s="1408"/>
      <c r="AJ847" s="1408"/>
      <c r="AK847" s="1408"/>
      <c r="AL847" s="350"/>
      <c r="AN847" s="1272"/>
    </row>
    <row r="848" spans="1:42" s="22" customFormat="1" ht="12.75" customHeight="1">
      <c r="B848" s="3" t="s">
        <v>2661</v>
      </c>
      <c r="C848" s="3"/>
      <c r="D848" s="3"/>
      <c r="E848" s="3"/>
      <c r="F848" s="3"/>
      <c r="G848" s="3"/>
      <c r="H848" s="2407" t="s">
        <v>2793</v>
      </c>
      <c r="I848" s="2407"/>
      <c r="J848" s="2407"/>
      <c r="K848" s="2407"/>
      <c r="L848" s="2407"/>
      <c r="M848" s="2407"/>
      <c r="N848" s="2407"/>
      <c r="O848" s="2407"/>
      <c r="P848" s="2407"/>
      <c r="Q848" s="2407"/>
      <c r="R848" s="2407"/>
      <c r="S848" s="3"/>
      <c r="T848" s="3" t="s">
        <v>2661</v>
      </c>
      <c r="U848" s="3"/>
      <c r="V848" s="3"/>
      <c r="W848" s="3"/>
      <c r="X848" s="3"/>
      <c r="Y848" s="3"/>
      <c r="Z848" s="8"/>
      <c r="AA848" s="2407" t="s">
        <v>2798</v>
      </c>
      <c r="AB848" s="2407"/>
      <c r="AC848" s="2407"/>
      <c r="AD848" s="2407"/>
      <c r="AE848" s="2407"/>
      <c r="AF848" s="2407"/>
      <c r="AG848" s="2407"/>
      <c r="AH848" s="2407"/>
      <c r="AI848" s="2407"/>
      <c r="AJ848" s="2407"/>
      <c r="AK848" s="2407"/>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428"/>
      <c r="I850" s="1428"/>
      <c r="J850" s="1428"/>
      <c r="K850" s="1428"/>
      <c r="L850" s="1428"/>
      <c r="M850" s="1428"/>
      <c r="N850" s="1428"/>
      <c r="O850" s="1428"/>
      <c r="P850" s="1428"/>
      <c r="Q850" s="1428"/>
      <c r="R850" s="1428"/>
      <c r="S850"/>
      <c r="T850" s="3" t="s">
        <v>2657</v>
      </c>
      <c r="U850"/>
      <c r="V850" s="3"/>
      <c r="W850" s="3"/>
      <c r="X850" s="3"/>
      <c r="Y850" s="3"/>
      <c r="Z850"/>
      <c r="AA850" s="1428"/>
      <c r="AB850" s="1428"/>
      <c r="AC850" s="1428"/>
      <c r="AD850" s="1428"/>
      <c r="AE850" s="1428"/>
      <c r="AF850" s="1428"/>
      <c r="AG850" s="1428"/>
      <c r="AH850" s="1428"/>
      <c r="AI850" s="1428"/>
      <c r="AJ850" s="1428"/>
      <c r="AK850" s="1428"/>
      <c r="AL850" s="350"/>
      <c r="AN850" s="1272"/>
    </row>
    <row r="851" spans="2:40" s="22" customFormat="1" ht="12.75" customHeight="1">
      <c r="B851" s="3" t="s">
        <v>471</v>
      </c>
      <c r="C851" s="3"/>
      <c r="D851" s="3"/>
      <c r="E851" s="3"/>
      <c r="F851" s="3"/>
      <c r="G851"/>
      <c r="H851" s="1408"/>
      <c r="I851" s="1408"/>
      <c r="J851" s="1408"/>
      <c r="K851" s="1408"/>
      <c r="L851" s="1408"/>
      <c r="M851" s="1408"/>
      <c r="N851" s="1408"/>
      <c r="O851" s="1408"/>
      <c r="P851" s="1408"/>
      <c r="Q851" s="1408"/>
      <c r="R851" s="1408"/>
      <c r="S851"/>
      <c r="T851" s="3" t="s">
        <v>471</v>
      </c>
      <c r="U851"/>
      <c r="V851" s="3"/>
      <c r="W851" s="3"/>
      <c r="X851" s="3"/>
      <c r="Y851" s="3"/>
      <c r="Z851"/>
      <c r="AA851" s="1408"/>
      <c r="AB851" s="1408"/>
      <c r="AC851" s="1408"/>
      <c r="AD851" s="1408"/>
      <c r="AE851" s="1408"/>
      <c r="AF851" s="1408"/>
      <c r="AG851" s="1408"/>
      <c r="AH851" s="1408"/>
      <c r="AI851" s="1408"/>
      <c r="AJ851" s="1408"/>
      <c r="AK851" s="1408"/>
      <c r="AL851" s="350"/>
      <c r="AN851" s="1272"/>
    </row>
    <row r="852" spans="2:40" s="22" customFormat="1" ht="12.75" customHeight="1">
      <c r="B852" s="3" t="s">
        <v>2658</v>
      </c>
      <c r="C852" s="3"/>
      <c r="D852" s="3"/>
      <c r="E852" s="3"/>
      <c r="F852" s="3"/>
      <c r="G852"/>
      <c r="H852" s="1408"/>
      <c r="I852" s="1408"/>
      <c r="J852" s="1408"/>
      <c r="K852" s="1408"/>
      <c r="L852" s="1408"/>
      <c r="M852" s="1408"/>
      <c r="N852" s="1408"/>
      <c r="O852" s="1408"/>
      <c r="P852" s="1408"/>
      <c r="Q852" s="1408"/>
      <c r="R852" s="1408"/>
      <c r="S852"/>
      <c r="T852" s="3" t="s">
        <v>2658</v>
      </c>
      <c r="U852"/>
      <c r="V852" s="3"/>
      <c r="W852" s="3"/>
      <c r="X852" s="3"/>
      <c r="Y852" s="3"/>
      <c r="Z852"/>
      <c r="AA852" s="1408"/>
      <c r="AB852" s="1408"/>
      <c r="AC852" s="1408"/>
      <c r="AD852" s="1408"/>
      <c r="AE852" s="1408"/>
      <c r="AF852" s="1408"/>
      <c r="AG852" s="1408"/>
      <c r="AH852" s="1408"/>
      <c r="AI852" s="1408"/>
      <c r="AJ852" s="1408"/>
      <c r="AK852" s="1408"/>
      <c r="AL852" s="350"/>
      <c r="AN852" s="1272"/>
    </row>
    <row r="853" spans="2:40" s="22" customFormat="1" ht="12.75" customHeight="1">
      <c r="B853" s="3" t="s">
        <v>87</v>
      </c>
      <c r="C853" s="3"/>
      <c r="D853" s="3"/>
      <c r="E853" s="3"/>
      <c r="F853" s="3"/>
      <c r="G853"/>
      <c r="H853" s="1408"/>
      <c r="I853" s="1408"/>
      <c r="J853" s="1408"/>
      <c r="K853" s="1408"/>
      <c r="L853" s="1408"/>
      <c r="M853" s="1408"/>
      <c r="N853" s="1408"/>
      <c r="O853" s="1408"/>
      <c r="P853" s="1408"/>
      <c r="Q853" s="1408"/>
      <c r="R853" s="1408"/>
      <c r="S853"/>
      <c r="T853" s="3" t="s">
        <v>87</v>
      </c>
      <c r="U853"/>
      <c r="V853" s="3"/>
      <c r="W853" s="3"/>
      <c r="X853" s="3"/>
      <c r="Y853" s="3"/>
      <c r="Z853"/>
      <c r="AA853" s="1408"/>
      <c r="AB853" s="1408"/>
      <c r="AC853" s="1408"/>
      <c r="AD853" s="1408"/>
      <c r="AE853" s="1408"/>
      <c r="AF853" s="1408"/>
      <c r="AG853" s="1408"/>
      <c r="AH853" s="1408"/>
      <c r="AI853" s="1408"/>
      <c r="AJ853" s="1408"/>
      <c r="AK853" s="1408"/>
      <c r="AL853" s="350"/>
      <c r="AN853" s="1272"/>
    </row>
    <row r="854" spans="2:40" s="22" customFormat="1" ht="12.75" customHeight="1">
      <c r="B854" s="3" t="s">
        <v>88</v>
      </c>
      <c r="C854" s="3"/>
      <c r="D854" s="3"/>
      <c r="E854" s="3"/>
      <c r="F854" s="3"/>
      <c r="G854" s="3"/>
      <c r="H854" s="1494"/>
      <c r="I854" s="1494"/>
      <c r="J854" s="1494"/>
      <c r="K854" s="1494"/>
      <c r="L854" s="1494"/>
      <c r="M854" s="1494"/>
      <c r="N854" s="3" t="s">
        <v>206</v>
      </c>
      <c r="O854" s="3"/>
      <c r="P854" s="1467"/>
      <c r="Q854" s="1467"/>
      <c r="R854" s="1467"/>
      <c r="S854" s="3"/>
      <c r="T854" s="3" t="s">
        <v>88</v>
      </c>
      <c r="U854"/>
      <c r="V854" s="3"/>
      <c r="W854" s="3"/>
      <c r="X854" s="3"/>
      <c r="Y854" s="3"/>
      <c r="Z854"/>
      <c r="AA854" s="1494"/>
      <c r="AB854" s="1494"/>
      <c r="AC854" s="1494"/>
      <c r="AD854" s="1494"/>
      <c r="AE854" s="1494"/>
      <c r="AF854" s="1494"/>
      <c r="AG854" s="3" t="s">
        <v>206</v>
      </c>
      <c r="AH854" s="3"/>
      <c r="AI854" s="1467"/>
      <c r="AJ854" s="1467"/>
      <c r="AK854" s="1467"/>
      <c r="AL854" s="350"/>
      <c r="AN854" s="1272"/>
    </row>
    <row r="855" spans="2:40" s="22" customFormat="1" ht="12.75" customHeight="1">
      <c r="B855" s="3" t="s">
        <v>2659</v>
      </c>
      <c r="C855" s="3"/>
      <c r="D855" s="3"/>
      <c r="E855" s="3"/>
      <c r="F855" s="3"/>
      <c r="G855" s="3"/>
      <c r="H855" s="1408"/>
      <c r="I855" s="1408"/>
      <c r="J855" s="1408"/>
      <c r="K855" s="1408"/>
      <c r="L855" s="1408"/>
      <c r="M855" s="1408"/>
      <c r="N855" s="1408"/>
      <c r="O855" s="1408"/>
      <c r="P855" s="1408"/>
      <c r="Q855" s="1408"/>
      <c r="R855" s="1408"/>
      <c r="S855" s="3"/>
      <c r="T855" s="3" t="s">
        <v>2659</v>
      </c>
      <c r="U855"/>
      <c r="V855" s="3"/>
      <c r="W855" s="3"/>
      <c r="X855" s="3"/>
      <c r="Y855" s="3"/>
      <c r="Z855"/>
      <c r="AA855" s="1408"/>
      <c r="AB855" s="1408"/>
      <c r="AC855" s="1408"/>
      <c r="AD855" s="1408"/>
      <c r="AE855" s="1408"/>
      <c r="AF855" s="1408"/>
      <c r="AG855" s="1408"/>
      <c r="AH855" s="1408"/>
      <c r="AI855" s="1408"/>
      <c r="AJ855" s="1408"/>
      <c r="AK855" s="1408"/>
      <c r="AL855" s="350"/>
      <c r="AN855" s="1272"/>
    </row>
    <row r="856" spans="2:40" s="22" customFormat="1" ht="12.75" customHeight="1">
      <c r="B856" s="3" t="s">
        <v>2660</v>
      </c>
      <c r="C856" s="3"/>
      <c r="D856" s="3"/>
      <c r="E856" s="3"/>
      <c r="F856" s="3"/>
      <c r="G856" s="3"/>
      <c r="H856" s="1408"/>
      <c r="I856" s="1408"/>
      <c r="J856" s="1408"/>
      <c r="K856" s="1408"/>
      <c r="L856" s="1408"/>
      <c r="M856" s="1408"/>
      <c r="N856" s="1408"/>
      <c r="O856" s="1408"/>
      <c r="P856" s="1408"/>
      <c r="Q856" s="1408"/>
      <c r="R856" s="1408"/>
      <c r="S856" s="3"/>
      <c r="T856" s="3" t="s">
        <v>2660</v>
      </c>
      <c r="U856"/>
      <c r="V856" s="3"/>
      <c r="W856" s="3"/>
      <c r="X856" s="3"/>
      <c r="Y856" s="3"/>
      <c r="Z856"/>
      <c r="AA856" s="1408"/>
      <c r="AB856" s="1408"/>
      <c r="AC856" s="1408"/>
      <c r="AD856" s="1408"/>
      <c r="AE856" s="1408"/>
      <c r="AF856" s="1408"/>
      <c r="AG856" s="1408"/>
      <c r="AH856" s="1408"/>
      <c r="AI856" s="1408"/>
      <c r="AJ856" s="1408"/>
      <c r="AK856" s="1408"/>
      <c r="AL856" s="350"/>
      <c r="AN856" s="1272"/>
    </row>
    <row r="857" spans="2:40" s="22" customFormat="1" ht="12.75" customHeight="1">
      <c r="B857" s="3" t="s">
        <v>2661</v>
      </c>
      <c r="C857" s="3"/>
      <c r="D857" s="3"/>
      <c r="E857" s="3"/>
      <c r="F857" s="3"/>
      <c r="G857" s="3"/>
      <c r="H857" s="2407"/>
      <c r="I857" s="2407"/>
      <c r="J857" s="2407"/>
      <c r="K857" s="2407"/>
      <c r="L857" s="2407"/>
      <c r="M857" s="2407"/>
      <c r="N857" s="2407"/>
      <c r="O857" s="2407"/>
      <c r="P857" s="2407"/>
      <c r="Q857" s="2407"/>
      <c r="R857" s="2407"/>
      <c r="S857" s="3"/>
      <c r="T857" s="3" t="s">
        <v>2661</v>
      </c>
      <c r="U857" s="3"/>
      <c r="V857" s="3"/>
      <c r="W857" s="3"/>
      <c r="X857" s="3"/>
      <c r="Y857" s="3"/>
      <c r="Z857" s="8"/>
      <c r="AA857" s="2407"/>
      <c r="AB857" s="2407"/>
      <c r="AC857" s="2407"/>
      <c r="AD857" s="2407"/>
      <c r="AE857" s="2407"/>
      <c r="AF857" s="2407"/>
      <c r="AG857" s="2407"/>
      <c r="AH857" s="2407"/>
      <c r="AI857" s="2407"/>
      <c r="AJ857" s="2407"/>
      <c r="AK857" s="2407"/>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428"/>
      <c r="I859" s="1428"/>
      <c r="J859" s="1428"/>
      <c r="K859" s="1428"/>
      <c r="L859" s="1428"/>
      <c r="M859" s="1428"/>
      <c r="N859" s="1428"/>
      <c r="O859" s="1428"/>
      <c r="P859" s="1428"/>
      <c r="Q859" s="1428"/>
      <c r="R859" s="1428"/>
      <c r="S859"/>
      <c r="T859" s="3" t="s">
        <v>2657</v>
      </c>
      <c r="U859"/>
      <c r="V859" s="3"/>
      <c r="W859" s="3"/>
      <c r="X859" s="3"/>
      <c r="Y859" s="3"/>
      <c r="Z859"/>
      <c r="AA859" s="1428"/>
      <c r="AB859" s="1428"/>
      <c r="AC859" s="1428"/>
      <c r="AD859" s="1428"/>
      <c r="AE859" s="1428"/>
      <c r="AF859" s="1428"/>
      <c r="AG859" s="1428"/>
      <c r="AH859" s="1428"/>
      <c r="AI859" s="1428"/>
      <c r="AJ859" s="1428"/>
      <c r="AK859" s="1428"/>
      <c r="AL859" s="3"/>
      <c r="AN859" s="1272"/>
    </row>
    <row r="860" spans="2:40" s="22" customFormat="1" ht="12.75" customHeight="1">
      <c r="B860" s="3" t="s">
        <v>471</v>
      </c>
      <c r="C860" s="3"/>
      <c r="D860" s="3"/>
      <c r="E860" s="3"/>
      <c r="F860" s="3"/>
      <c r="G860"/>
      <c r="H860" s="1408"/>
      <c r="I860" s="1408"/>
      <c r="J860" s="1408"/>
      <c r="K860" s="1408"/>
      <c r="L860" s="1408"/>
      <c r="M860" s="1408"/>
      <c r="N860" s="1408"/>
      <c r="O860" s="1408"/>
      <c r="P860" s="1408"/>
      <c r="Q860" s="1408"/>
      <c r="R860" s="1408"/>
      <c r="S860"/>
      <c r="T860" s="3" t="s">
        <v>471</v>
      </c>
      <c r="U860"/>
      <c r="V860" s="3"/>
      <c r="W860" s="3"/>
      <c r="X860" s="3"/>
      <c r="Y860" s="3"/>
      <c r="Z860"/>
      <c r="AA860" s="1408"/>
      <c r="AB860" s="1408"/>
      <c r="AC860" s="1408"/>
      <c r="AD860" s="1408"/>
      <c r="AE860" s="1408"/>
      <c r="AF860" s="1408"/>
      <c r="AG860" s="1408"/>
      <c r="AH860" s="1408"/>
      <c r="AI860" s="1408"/>
      <c r="AJ860" s="1408"/>
      <c r="AK860" s="1408"/>
      <c r="AL860" s="3"/>
      <c r="AN860" s="1272"/>
    </row>
    <row r="861" spans="2:40" s="22" customFormat="1" ht="18" customHeight="1">
      <c r="B861" s="3" t="s">
        <v>2658</v>
      </c>
      <c r="C861" s="3"/>
      <c r="D861" s="3"/>
      <c r="E861" s="3"/>
      <c r="F861" s="3"/>
      <c r="G861"/>
      <c r="H861" s="1408"/>
      <c r="I861" s="1408"/>
      <c r="J861" s="1408"/>
      <c r="K861" s="1408"/>
      <c r="L861" s="1408"/>
      <c r="M861" s="1408"/>
      <c r="N861" s="1408"/>
      <c r="O861" s="1408"/>
      <c r="P861" s="1408"/>
      <c r="Q861" s="1408"/>
      <c r="R861" s="1408"/>
      <c r="S861"/>
      <c r="T861" s="3" t="s">
        <v>2658</v>
      </c>
      <c r="U861"/>
      <c r="V861" s="3"/>
      <c r="W861" s="3"/>
      <c r="X861" s="3"/>
      <c r="Y861" s="3"/>
      <c r="Z861"/>
      <c r="AA861" s="1408"/>
      <c r="AB861" s="1408"/>
      <c r="AC861" s="1408"/>
      <c r="AD861" s="1408"/>
      <c r="AE861" s="1408"/>
      <c r="AF861" s="1408"/>
      <c r="AG861" s="1408"/>
      <c r="AH861" s="1408"/>
      <c r="AI861" s="1408"/>
      <c r="AJ861" s="1408"/>
      <c r="AK861" s="1408"/>
      <c r="AL861" s="3"/>
      <c r="AN861" s="1272"/>
    </row>
    <row r="862" spans="2:40" s="22" customFormat="1" ht="12.75" customHeight="1">
      <c r="B862" s="3" t="s">
        <v>87</v>
      </c>
      <c r="C862" s="3"/>
      <c r="D862" s="3"/>
      <c r="E862" s="3"/>
      <c r="F862" s="3"/>
      <c r="G862"/>
      <c r="H862" s="1408"/>
      <c r="I862" s="1408"/>
      <c r="J862" s="1408"/>
      <c r="K862" s="1408"/>
      <c r="L862" s="1408"/>
      <c r="M862" s="1408"/>
      <c r="N862" s="1408"/>
      <c r="O862" s="1408"/>
      <c r="P862" s="1408"/>
      <c r="Q862" s="1408"/>
      <c r="R862" s="1408"/>
      <c r="S862"/>
      <c r="T862" s="3" t="s">
        <v>87</v>
      </c>
      <c r="U862"/>
      <c r="V862" s="3"/>
      <c r="W862" s="3"/>
      <c r="X862" s="3"/>
      <c r="Y862" s="3"/>
      <c r="Z862"/>
      <c r="AA862" s="1408"/>
      <c r="AB862" s="1408"/>
      <c r="AC862" s="1408"/>
      <c r="AD862" s="1408"/>
      <c r="AE862" s="1408"/>
      <c r="AF862" s="1408"/>
      <c r="AG862" s="1408"/>
      <c r="AH862" s="1408"/>
      <c r="AI862" s="1408"/>
      <c r="AJ862" s="1408"/>
      <c r="AK862" s="1408"/>
      <c r="AL862" s="3"/>
      <c r="AN862" s="1272"/>
    </row>
    <row r="863" spans="2:40" s="22" customFormat="1" ht="12.75" customHeight="1">
      <c r="B863" s="3" t="s">
        <v>88</v>
      </c>
      <c r="C863" s="3"/>
      <c r="D863" s="3"/>
      <c r="E863" s="3"/>
      <c r="F863" s="3"/>
      <c r="G863" s="3"/>
      <c r="H863" s="1494"/>
      <c r="I863" s="1494"/>
      <c r="J863" s="1494"/>
      <c r="K863" s="1494"/>
      <c r="L863" s="1494"/>
      <c r="M863" s="1494"/>
      <c r="N863" s="3" t="s">
        <v>206</v>
      </c>
      <c r="O863" s="3"/>
      <c r="P863" s="1467"/>
      <c r="Q863" s="1467"/>
      <c r="R863" s="1467"/>
      <c r="S863" s="3"/>
      <c r="T863" s="3" t="s">
        <v>88</v>
      </c>
      <c r="U863"/>
      <c r="V863" s="3"/>
      <c r="W863" s="3"/>
      <c r="X863" s="3"/>
      <c r="Y863" s="3"/>
      <c r="Z863"/>
      <c r="AA863" s="1494"/>
      <c r="AB863" s="1494"/>
      <c r="AC863" s="1494"/>
      <c r="AD863" s="1494"/>
      <c r="AE863" s="1494"/>
      <c r="AF863" s="1494"/>
      <c r="AG863" s="3" t="s">
        <v>206</v>
      </c>
      <c r="AH863" s="3"/>
      <c r="AI863" s="1467"/>
      <c r="AJ863" s="1467"/>
      <c r="AK863" s="1467"/>
      <c r="AL863" s="3"/>
      <c r="AN863" s="1272"/>
    </row>
    <row r="864" spans="2:40" s="22" customFormat="1" ht="12.75" customHeight="1">
      <c r="B864" s="3" t="s">
        <v>2659</v>
      </c>
      <c r="C864" s="3"/>
      <c r="D864" s="3"/>
      <c r="E864" s="3"/>
      <c r="F864" s="3"/>
      <c r="G864" s="3"/>
      <c r="H864" s="1408"/>
      <c r="I864" s="1408"/>
      <c r="J864" s="1408"/>
      <c r="K864" s="1408"/>
      <c r="L864" s="1408"/>
      <c r="M864" s="1408"/>
      <c r="N864" s="1408"/>
      <c r="O864" s="1408"/>
      <c r="P864" s="1408"/>
      <c r="Q864" s="1408"/>
      <c r="R864" s="1408"/>
      <c r="S864" s="3"/>
      <c r="T864" s="3" t="s">
        <v>2659</v>
      </c>
      <c r="U864"/>
      <c r="V864" s="3"/>
      <c r="W864" s="3"/>
      <c r="X864" s="3"/>
      <c r="Y864" s="3"/>
      <c r="Z864"/>
      <c r="AA864" s="1408"/>
      <c r="AB864" s="1408"/>
      <c r="AC864" s="1408"/>
      <c r="AD864" s="1408"/>
      <c r="AE864" s="1408"/>
      <c r="AF864" s="1408"/>
      <c r="AG864" s="1408"/>
      <c r="AH864" s="1408"/>
      <c r="AI864" s="1408"/>
      <c r="AJ864" s="1408"/>
      <c r="AK864" s="1408"/>
      <c r="AL864" s="3"/>
      <c r="AN864" s="1272"/>
    </row>
    <row r="865" spans="1:43" s="22" customFormat="1" ht="12.75" customHeight="1">
      <c r="B865" s="3" t="s">
        <v>2660</v>
      </c>
      <c r="C865" s="3"/>
      <c r="D865" s="3"/>
      <c r="E865" s="3"/>
      <c r="F865" s="3"/>
      <c r="G865" s="3"/>
      <c r="H865" s="1408"/>
      <c r="I865" s="1408"/>
      <c r="J865" s="1408"/>
      <c r="K865" s="1408"/>
      <c r="L865" s="1408"/>
      <c r="M865" s="1408"/>
      <c r="N865" s="1408"/>
      <c r="O865" s="1408"/>
      <c r="P865" s="1408"/>
      <c r="Q865" s="1408"/>
      <c r="R865" s="1408"/>
      <c r="S865" s="3"/>
      <c r="T865" s="3" t="s">
        <v>2660</v>
      </c>
      <c r="U865"/>
      <c r="V865" s="3"/>
      <c r="W865" s="3"/>
      <c r="X865" s="3"/>
      <c r="Y865" s="3"/>
      <c r="Z865"/>
      <c r="AA865" s="1408"/>
      <c r="AB865" s="1408"/>
      <c r="AC865" s="1408"/>
      <c r="AD865" s="1408"/>
      <c r="AE865" s="1408"/>
      <c r="AF865" s="1408"/>
      <c r="AG865" s="1408"/>
      <c r="AH865" s="1408"/>
      <c r="AI865" s="1408"/>
      <c r="AJ865" s="1408"/>
      <c r="AK865" s="1408"/>
      <c r="AL865" s="3"/>
      <c r="AN865" s="1272"/>
    </row>
    <row r="866" spans="1:43" s="22" customFormat="1" ht="12.75" customHeight="1">
      <c r="B866" s="3" t="s">
        <v>2661</v>
      </c>
      <c r="C866" s="3"/>
      <c r="D866" s="3"/>
      <c r="E866" s="3"/>
      <c r="F866" s="3"/>
      <c r="G866" s="3"/>
      <c r="H866" s="2407"/>
      <c r="I866" s="2407"/>
      <c r="J866" s="2407"/>
      <c r="K866" s="2407"/>
      <c r="L866" s="2407"/>
      <c r="M866" s="2407"/>
      <c r="N866" s="2407"/>
      <c r="O866" s="2407"/>
      <c r="P866" s="2407"/>
      <c r="Q866" s="2407"/>
      <c r="R866" s="2407"/>
      <c r="S866" s="3"/>
      <c r="T866" s="3" t="s">
        <v>2661</v>
      </c>
      <c r="U866" s="3"/>
      <c r="V866" s="3"/>
      <c r="W866" s="3"/>
      <c r="X866" s="3"/>
      <c r="Y866" s="3"/>
      <c r="Z866" s="8"/>
      <c r="AA866" s="2407"/>
      <c r="AB866" s="2407"/>
      <c r="AC866" s="2407"/>
      <c r="AD866" s="2407"/>
      <c r="AE866" s="2407"/>
      <c r="AF866" s="2407"/>
      <c r="AG866" s="2407"/>
      <c r="AH866" s="2407"/>
      <c r="AI866" s="2407"/>
      <c r="AJ866" s="2407"/>
      <c r="AK866" s="2407"/>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2" t="s">
        <v>1557</v>
      </c>
      <c r="B869" s="2583"/>
      <c r="C869" s="2583"/>
      <c r="D869" s="2583"/>
      <c r="E869" s="2583"/>
      <c r="F869" s="2583"/>
      <c r="G869" s="2583"/>
      <c r="H869" s="2583"/>
      <c r="I869" s="2583"/>
      <c r="J869" s="2583"/>
      <c r="K869" s="2583"/>
      <c r="L869" s="2583"/>
      <c r="M869" s="2583"/>
      <c r="N869" s="2583"/>
      <c r="O869" s="2583"/>
      <c r="P869" s="2583"/>
      <c r="Q869" s="2583"/>
      <c r="R869" s="2583"/>
      <c r="S869" s="2583"/>
      <c r="T869" s="2583"/>
      <c r="U869" s="2583"/>
      <c r="V869" s="2583"/>
      <c r="W869" s="2583"/>
      <c r="X869" s="2583"/>
      <c r="Y869" s="2583"/>
      <c r="Z869" s="2583"/>
      <c r="AA869" s="2583"/>
      <c r="AB869" s="2583"/>
      <c r="AC869" s="2583"/>
      <c r="AD869" s="2583"/>
      <c r="AE869" s="2583"/>
      <c r="AF869" s="2583"/>
      <c r="AG869" s="2583"/>
      <c r="AH869" s="2583"/>
      <c r="AI869" s="2583"/>
      <c r="AJ869" s="2583"/>
      <c r="AK869" s="2583"/>
      <c r="AL869" s="2583"/>
      <c r="AM869" s="2583"/>
    </row>
    <row r="870" spans="1:43">
      <c r="A870" s="2584"/>
      <c r="B870" s="2584"/>
      <c r="C870" s="2584"/>
      <c r="D870" s="2584"/>
      <c r="E870" s="2584"/>
      <c r="F870" s="2584"/>
      <c r="G870" s="2584"/>
      <c r="H870" s="2584"/>
      <c r="I870" s="2584"/>
      <c r="J870" s="2584"/>
      <c r="K870" s="2584"/>
      <c r="L870" s="2584"/>
      <c r="M870" s="2584"/>
      <c r="N870" s="2584"/>
      <c r="O870" s="2584"/>
      <c r="P870" s="2584"/>
      <c r="Q870" s="2584"/>
      <c r="R870" s="2584"/>
      <c r="S870" s="2584"/>
      <c r="T870" s="2584"/>
      <c r="U870" s="2584"/>
      <c r="V870" s="2584"/>
      <c r="W870" s="2584"/>
      <c r="X870" s="2584"/>
      <c r="Y870" s="2584"/>
      <c r="Z870" s="2584"/>
      <c r="AA870" s="2584"/>
      <c r="AB870" s="2584"/>
      <c r="AC870" s="2584"/>
      <c r="AD870" s="2584"/>
      <c r="AE870" s="2584"/>
      <c r="AF870" s="2584"/>
      <c r="AG870" s="2584"/>
      <c r="AH870" s="2584"/>
      <c r="AI870" s="2584"/>
      <c r="AJ870" s="2584"/>
      <c r="AK870" s="2584"/>
      <c r="AL870" s="2584"/>
      <c r="AM870" s="2584"/>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3"/>
      <c r="B872" s="2533"/>
      <c r="C872" s="2533"/>
      <c r="D872" s="2533"/>
      <c r="E872" s="2533"/>
      <c r="F872" s="2533"/>
      <c r="G872" s="2533"/>
      <c r="H872" s="2533"/>
      <c r="I872" s="2533"/>
      <c r="J872" s="2533"/>
      <c r="K872" s="2533"/>
      <c r="L872" s="2533"/>
      <c r="M872" s="2533"/>
      <c r="N872" s="2533"/>
      <c r="O872" s="2533"/>
      <c r="P872" s="2533"/>
      <c r="Q872" s="2533"/>
      <c r="R872" s="2533"/>
      <c r="S872" s="2533"/>
      <c r="T872" s="2533"/>
      <c r="U872" s="2533"/>
      <c r="V872" s="2533"/>
      <c r="W872" s="2533"/>
      <c r="X872" s="2533"/>
      <c r="Y872" s="2533"/>
      <c r="Z872" s="2533"/>
      <c r="AA872" s="2533"/>
      <c r="AB872" s="2533"/>
      <c r="AC872" s="2533"/>
      <c r="AD872" s="2533"/>
      <c r="AE872" s="2533"/>
      <c r="AF872" s="2533"/>
      <c r="AG872" s="2533"/>
      <c r="AH872" s="2533"/>
      <c r="AI872" s="2533"/>
      <c r="AJ872" s="2533"/>
      <c r="AK872" s="2533"/>
      <c r="AL872" s="2533"/>
      <c r="AM872" s="2533"/>
      <c r="AP872" s="807"/>
      <c r="AQ872" s="807"/>
    </row>
    <row r="873" spans="1:43">
      <c r="A873" s="2533"/>
      <c r="B873" s="2533"/>
      <c r="C873" s="2533"/>
      <c r="D873" s="2533"/>
      <c r="E873" s="2533"/>
      <c r="F873" s="2533"/>
      <c r="G873" s="2533"/>
      <c r="H873" s="2533"/>
      <c r="I873" s="2533"/>
      <c r="J873" s="2533"/>
      <c r="K873" s="2533"/>
      <c r="L873" s="2533"/>
      <c r="M873" s="2533"/>
      <c r="N873" s="2533"/>
      <c r="O873" s="2533"/>
      <c r="P873" s="2533"/>
      <c r="Q873" s="2533"/>
      <c r="R873" s="2533"/>
      <c r="S873" s="2533"/>
      <c r="T873" s="2533"/>
      <c r="U873" s="2533"/>
      <c r="V873" s="2533"/>
      <c r="W873" s="2533"/>
      <c r="X873" s="2533"/>
      <c r="Y873" s="2533"/>
      <c r="Z873" s="2533"/>
      <c r="AA873" s="2533"/>
      <c r="AB873" s="2533"/>
      <c r="AC873" s="2533"/>
      <c r="AD873" s="2533"/>
      <c r="AE873" s="2533"/>
      <c r="AF873" s="2533"/>
      <c r="AG873" s="2533"/>
      <c r="AH873" s="2533"/>
      <c r="AI873" s="2533"/>
      <c r="AJ873" s="2533"/>
      <c r="AK873" s="2533"/>
      <c r="AL873" s="2533"/>
      <c r="AM873" s="2533"/>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5" t="s">
        <v>1558</v>
      </c>
      <c r="U874" s="2586"/>
      <c r="V874" s="2586"/>
      <c r="W874" s="2586"/>
      <c r="X874" s="2586"/>
      <c r="Y874" s="2587"/>
      <c r="Z874" s="2585" t="s">
        <v>1559</v>
      </c>
      <c r="AA874" s="2586"/>
      <c r="AB874" s="2586"/>
      <c r="AC874" s="2586"/>
      <c r="AD874" s="2586"/>
      <c r="AE874" s="2587"/>
      <c r="AF874" s="2585" t="s">
        <v>1560</v>
      </c>
      <c r="AG874" s="2586"/>
      <c r="AH874" s="2586"/>
      <c r="AI874" s="2586"/>
      <c r="AJ874" s="2586"/>
      <c r="AK874" s="2587"/>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8"/>
      <c r="U875" s="2589"/>
      <c r="V875" s="2589"/>
      <c r="W875" s="2589"/>
      <c r="X875" s="2589"/>
      <c r="Y875" s="2590"/>
      <c r="Z875" s="2588"/>
      <c r="AA875" s="2589"/>
      <c r="AB875" s="2589"/>
      <c r="AC875" s="2589"/>
      <c r="AD875" s="2589"/>
      <c r="AE875" s="2590"/>
      <c r="AF875" s="2588"/>
      <c r="AG875" s="2589"/>
      <c r="AH875" s="2589"/>
      <c r="AI875" s="2589"/>
      <c r="AJ875" s="2589"/>
      <c r="AK875" s="2590"/>
      <c r="AL875" s="809"/>
      <c r="AM875" s="589"/>
      <c r="AO875" s="807"/>
      <c r="AP875" s="807"/>
      <c r="AQ875" s="807"/>
    </row>
    <row r="876" spans="1:43">
      <c r="A876" s="810" t="s">
        <v>757</v>
      </c>
      <c r="B876" s="2565" t="str">
        <f>B7</f>
        <v xml:space="preserve">Acquisition/Rehabilitation Project Priorities </v>
      </c>
      <c r="C876" s="2565"/>
      <c r="D876" s="2565"/>
      <c r="E876" s="2565"/>
      <c r="F876" s="2565"/>
      <c r="G876" s="2565"/>
      <c r="H876" s="2565"/>
      <c r="I876" s="2565"/>
      <c r="J876" s="2565"/>
      <c r="K876" s="2565"/>
      <c r="L876" s="2565"/>
      <c r="M876" s="2565"/>
      <c r="N876" s="2565"/>
      <c r="O876" s="2565"/>
      <c r="P876" s="2565"/>
      <c r="Q876" s="2565"/>
      <c r="R876" s="2565"/>
      <c r="S876" s="2566"/>
      <c r="T876" s="2567">
        <f>AK61</f>
        <v>0</v>
      </c>
      <c r="U876" s="2568"/>
      <c r="V876" s="2568"/>
      <c r="W876" s="2568"/>
      <c r="X876" s="2568"/>
      <c r="Y876" s="2569"/>
      <c r="Z876" s="2570">
        <v>20</v>
      </c>
      <c r="AA876" s="2568"/>
      <c r="AB876" s="2568"/>
      <c r="AC876" s="2568"/>
      <c r="AD876" s="2568"/>
      <c r="AE876" s="2569"/>
      <c r="AF876" s="2563">
        <f>IF(T876&gt;Z876,Z876,T876)</f>
        <v>0</v>
      </c>
      <c r="AG876" s="2563"/>
      <c r="AH876" s="2563"/>
      <c r="AI876" s="2563"/>
      <c r="AJ876" s="2563"/>
      <c r="AK876" s="2563"/>
      <c r="AL876" s="809"/>
      <c r="AM876" s="589"/>
      <c r="AO876" s="807"/>
      <c r="AP876" s="807"/>
      <c r="AQ876" s="807"/>
    </row>
    <row r="877" spans="1:43">
      <c r="A877" s="810" t="s">
        <v>1531</v>
      </c>
      <c r="B877" s="2565" t="s">
        <v>1306</v>
      </c>
      <c r="C877" s="2565"/>
      <c r="D877" s="2565"/>
      <c r="E877" s="2565"/>
      <c r="F877" s="2565"/>
      <c r="G877" s="2565"/>
      <c r="H877" s="2565"/>
      <c r="I877" s="2565"/>
      <c r="J877" s="2565"/>
      <c r="K877" s="2565"/>
      <c r="L877" s="2565"/>
      <c r="M877" s="2565"/>
      <c r="N877" s="2565"/>
      <c r="O877" s="2565"/>
      <c r="P877" s="2565"/>
      <c r="Q877" s="2565"/>
      <c r="R877" s="2565"/>
      <c r="S877" s="2566"/>
      <c r="T877" s="2567">
        <f>AK83</f>
        <v>10</v>
      </c>
      <c r="U877" s="2568"/>
      <c r="V877" s="2568"/>
      <c r="W877" s="2568"/>
      <c r="X877" s="2568"/>
      <c r="Y877" s="2569"/>
      <c r="Z877" s="2570">
        <v>10</v>
      </c>
      <c r="AA877" s="2568"/>
      <c r="AB877" s="2568"/>
      <c r="AC877" s="2568"/>
      <c r="AD877" s="2568"/>
      <c r="AE877" s="2569"/>
      <c r="AF877" s="2563">
        <f>IF(T877&gt;Z877,Z877,T877)</f>
        <v>10</v>
      </c>
      <c r="AG877" s="2563"/>
      <c r="AH877" s="2563"/>
      <c r="AI877" s="2563"/>
      <c r="AJ877" s="2563"/>
      <c r="AK877" s="2563"/>
      <c r="AL877" s="809"/>
      <c r="AM877" s="589"/>
      <c r="AO877" s="807"/>
      <c r="AP877" s="807"/>
      <c r="AQ877" s="807"/>
    </row>
    <row r="878" spans="1:43">
      <c r="A878" s="810" t="s">
        <v>1540</v>
      </c>
      <c r="B878" s="2565" t="s">
        <v>1316</v>
      </c>
      <c r="C878" s="2565"/>
      <c r="D878" s="2565"/>
      <c r="E878" s="2565"/>
      <c r="F878" s="2565"/>
      <c r="G878" s="2565"/>
      <c r="H878" s="2565"/>
      <c r="I878" s="2565"/>
      <c r="J878" s="2565"/>
      <c r="K878" s="2565"/>
      <c r="L878" s="2565"/>
      <c r="M878" s="2565"/>
      <c r="N878" s="2565"/>
      <c r="O878" s="2565"/>
      <c r="P878" s="2565"/>
      <c r="Q878" s="2565"/>
      <c r="R878" s="2565"/>
      <c r="S878" s="2566"/>
      <c r="T878" s="2567">
        <f ca="1">AK108</f>
        <v>20</v>
      </c>
      <c r="U878" s="2568"/>
      <c r="V878" s="2568"/>
      <c r="W878" s="2568"/>
      <c r="X878" s="2568"/>
      <c r="Y878" s="2569"/>
      <c r="Z878" s="2570">
        <v>20</v>
      </c>
      <c r="AA878" s="2568"/>
      <c r="AB878" s="2568"/>
      <c r="AC878" s="2568"/>
      <c r="AD878" s="2568"/>
      <c r="AE878" s="2569"/>
      <c r="AF878" s="2563">
        <f ca="1">IF(T878&gt;Z878,Z878,T878)</f>
        <v>20</v>
      </c>
      <c r="AG878" s="2563"/>
      <c r="AH878" s="2563"/>
      <c r="AI878" s="2563"/>
      <c r="AJ878" s="2563"/>
      <c r="AK878" s="2563"/>
      <c r="AL878" s="809"/>
      <c r="AM878" s="589"/>
      <c r="AO878" s="807"/>
      <c r="AP878" s="807"/>
      <c r="AQ878" s="807"/>
    </row>
    <row r="879" spans="1:43">
      <c r="A879" s="810" t="s">
        <v>1561</v>
      </c>
      <c r="B879" s="2565" t="s">
        <v>1326</v>
      </c>
      <c r="C879" s="2565"/>
      <c r="D879" s="2565"/>
      <c r="E879" s="2565"/>
      <c r="F879" s="2565"/>
      <c r="G879" s="2565"/>
      <c r="H879" s="2565"/>
      <c r="I879" s="2565"/>
      <c r="J879" s="2565"/>
      <c r="K879" s="2565"/>
      <c r="L879" s="2565"/>
      <c r="M879" s="2565"/>
      <c r="N879" s="2565"/>
      <c r="O879" s="2565"/>
      <c r="P879" s="2565"/>
      <c r="Q879" s="2565"/>
      <c r="R879" s="2565"/>
      <c r="S879" s="2566"/>
      <c r="T879" s="2567">
        <f>AK142</f>
        <v>10</v>
      </c>
      <c r="U879" s="2568"/>
      <c r="V879" s="2568"/>
      <c r="W879" s="2568"/>
      <c r="X879" s="2568"/>
      <c r="Y879" s="2569"/>
      <c r="Z879" s="2570">
        <v>10</v>
      </c>
      <c r="AA879" s="2568"/>
      <c r="AB879" s="2568"/>
      <c r="AC879" s="2568"/>
      <c r="AD879" s="2568"/>
      <c r="AE879" s="2569"/>
      <c r="AF879" s="2563">
        <f>IF(T879&gt;Z879,Z879,T879)</f>
        <v>10</v>
      </c>
      <c r="AG879" s="2563"/>
      <c r="AH879" s="2563"/>
      <c r="AI879" s="2563"/>
      <c r="AJ879" s="2563"/>
      <c r="AK879" s="2563"/>
      <c r="AL879" s="809"/>
      <c r="AM879" s="589"/>
      <c r="AO879" s="807"/>
      <c r="AP879" s="807"/>
      <c r="AQ879" s="807"/>
    </row>
    <row r="880" spans="1:43">
      <c r="A880" s="811" t="s">
        <v>1562</v>
      </c>
      <c r="B880" s="2565" t="s">
        <v>1563</v>
      </c>
      <c r="C880" s="2565"/>
      <c r="D880" s="2565"/>
      <c r="E880" s="2565"/>
      <c r="F880" s="2565"/>
      <c r="G880" s="2565"/>
      <c r="H880" s="2565"/>
      <c r="I880" s="2565"/>
      <c r="J880" s="2565"/>
      <c r="K880" s="2565"/>
      <c r="L880" s="2565"/>
      <c r="M880" s="2565"/>
      <c r="N880" s="2565"/>
      <c r="O880" s="2565"/>
      <c r="P880" s="2565"/>
      <c r="Q880" s="2565"/>
      <c r="R880" s="2565"/>
      <c r="S880" s="2566"/>
      <c r="T880" s="2591">
        <f>SUM(T881:Y882)</f>
        <v>10</v>
      </c>
      <c r="U880" s="2591"/>
      <c r="V880" s="2591"/>
      <c r="W880" s="2591"/>
      <c r="X880" s="2591"/>
      <c r="Y880" s="2591"/>
      <c r="Z880" s="2563">
        <v>10</v>
      </c>
      <c r="AA880" s="2563"/>
      <c r="AB880" s="2563"/>
      <c r="AC880" s="2563"/>
      <c r="AD880" s="2563"/>
      <c r="AE880" s="2563"/>
      <c r="AF880" s="2563">
        <f>IF(T880&gt;Z880,Z880,T880)</f>
        <v>10</v>
      </c>
      <c r="AG880" s="2563"/>
      <c r="AH880" s="2563"/>
      <c r="AI880" s="2563"/>
      <c r="AJ880" s="2563"/>
      <c r="AK880" s="2563"/>
      <c r="AL880" s="809"/>
      <c r="AM880" s="589"/>
    </row>
    <row r="881" spans="1:81">
      <c r="A881" s="531"/>
      <c r="B881" s="594"/>
      <c r="C881" s="2592" t="s">
        <v>1564</v>
      </c>
      <c r="D881" s="2592"/>
      <c r="E881" s="2592"/>
      <c r="F881" s="2592"/>
      <c r="G881" s="2592"/>
      <c r="H881" s="2592"/>
      <c r="I881" s="2592"/>
      <c r="J881" s="2592"/>
      <c r="K881" s="2592"/>
      <c r="L881" s="2592"/>
      <c r="M881" s="2592"/>
      <c r="N881" s="2592"/>
      <c r="O881" s="2592"/>
      <c r="P881" s="2592"/>
      <c r="Q881" s="2592"/>
      <c r="R881" s="2592"/>
      <c r="S881" s="2593"/>
      <c r="T881" s="2484">
        <f>AJ165</f>
        <v>7</v>
      </c>
      <c r="U881" s="2484"/>
      <c r="V881" s="2484"/>
      <c r="W881" s="2484"/>
      <c r="X881" s="2484"/>
      <c r="Y881" s="2484"/>
      <c r="Z881" s="2485">
        <v>7</v>
      </c>
      <c r="AA881" s="2485"/>
      <c r="AB881" s="2485"/>
      <c r="AC881" s="2485"/>
      <c r="AD881" s="2485"/>
      <c r="AE881" s="2485"/>
      <c r="AF881" s="2594"/>
      <c r="AG881" s="2594"/>
      <c r="AH881" s="2594"/>
      <c r="AI881" s="2594"/>
      <c r="AJ881" s="2594"/>
      <c r="AK881" s="2594"/>
      <c r="AL881" s="809"/>
      <c r="AM881" s="589"/>
    </row>
    <row r="882" spans="1:81">
      <c r="A882" s="593"/>
      <c r="B882" s="594"/>
      <c r="C882" s="2592" t="s">
        <v>1565</v>
      </c>
      <c r="D882" s="2592"/>
      <c r="E882" s="2592"/>
      <c r="F882" s="2592"/>
      <c r="G882" s="2592"/>
      <c r="H882" s="2592"/>
      <c r="I882" s="2592"/>
      <c r="J882" s="2592"/>
      <c r="K882" s="2592"/>
      <c r="L882" s="2592"/>
      <c r="M882" s="2592"/>
      <c r="N882" s="2592"/>
      <c r="O882" s="2592"/>
      <c r="P882" s="2592"/>
      <c r="Q882" s="2592"/>
      <c r="R882" s="2592"/>
      <c r="S882" s="2593"/>
      <c r="T882" s="2484">
        <f>AJ179</f>
        <v>3</v>
      </c>
      <c r="U882" s="2484"/>
      <c r="V882" s="2484"/>
      <c r="W882" s="2484"/>
      <c r="X882" s="2484"/>
      <c r="Y882" s="2484"/>
      <c r="Z882" s="2485">
        <v>3</v>
      </c>
      <c r="AA882" s="2485"/>
      <c r="AB882" s="2485"/>
      <c r="AC882" s="2485"/>
      <c r="AD882" s="2485"/>
      <c r="AE882" s="2485"/>
      <c r="AF882" s="2594"/>
      <c r="AG882" s="2594"/>
      <c r="AH882" s="2594"/>
      <c r="AI882" s="2594"/>
      <c r="AJ882" s="2594"/>
      <c r="AK882" s="2594"/>
      <c r="AL882" s="809"/>
      <c r="AM882" s="589"/>
      <c r="AO882" s="544"/>
    </row>
    <row r="883" spans="1:81">
      <c r="A883" s="811" t="s">
        <v>1354</v>
      </c>
      <c r="B883" s="2565" t="s">
        <v>1566</v>
      </c>
      <c r="C883" s="2565"/>
      <c r="D883" s="2565"/>
      <c r="E883" s="2565"/>
      <c r="F883" s="2565"/>
      <c r="G883" s="2565"/>
      <c r="H883" s="2565"/>
      <c r="I883" s="2565"/>
      <c r="J883" s="2565"/>
      <c r="K883" s="2565"/>
      <c r="L883" s="2565"/>
      <c r="M883" s="2565"/>
      <c r="N883" s="2565"/>
      <c r="O883" s="2565"/>
      <c r="P883" s="2565"/>
      <c r="Q883" s="2565"/>
      <c r="R883" s="2565"/>
      <c r="S883" s="2566"/>
      <c r="T883" s="2591">
        <f>AK190</f>
        <v>10</v>
      </c>
      <c r="U883" s="2591"/>
      <c r="V883" s="2591"/>
      <c r="W883" s="2591"/>
      <c r="X883" s="2591"/>
      <c r="Y883" s="2591"/>
      <c r="Z883" s="2563">
        <v>10</v>
      </c>
      <c r="AA883" s="2563"/>
      <c r="AB883" s="2563"/>
      <c r="AC883" s="2563"/>
      <c r="AD883" s="2563"/>
      <c r="AE883" s="2563"/>
      <c r="AF883" s="2563">
        <f>IF(T883&gt;Z883,Z883,T883)</f>
        <v>10</v>
      </c>
      <c r="AG883" s="2563"/>
      <c r="AH883" s="2563"/>
      <c r="AI883" s="2563"/>
      <c r="AJ883" s="2563"/>
      <c r="AK883" s="2563"/>
      <c r="AL883" s="809"/>
      <c r="AM883" s="589"/>
    </row>
    <row r="884" spans="1:81" hidden="1">
      <c r="A884" s="810" t="s">
        <v>1362</v>
      </c>
      <c r="B884" s="2565" t="s">
        <v>1363</v>
      </c>
      <c r="C884" s="2565"/>
      <c r="D884" s="2565"/>
      <c r="E884" s="2565"/>
      <c r="F884" s="2565"/>
      <c r="G884" s="2565"/>
      <c r="H884" s="2565"/>
      <c r="I884" s="2565"/>
      <c r="J884" s="2565"/>
      <c r="K884" s="2565"/>
      <c r="L884" s="2565"/>
      <c r="M884" s="2565"/>
      <c r="N884" s="2565"/>
      <c r="O884" s="2565"/>
      <c r="P884" s="2565"/>
      <c r="Q884" s="2565"/>
      <c r="R884" s="2565"/>
      <c r="S884" s="2566"/>
      <c r="T884" s="2591">
        <f>AK272</f>
        <v>0</v>
      </c>
      <c r="U884" s="2591"/>
      <c r="V884" s="2591"/>
      <c r="W884" s="2591"/>
      <c r="X884" s="2591"/>
      <c r="Y884" s="2591"/>
      <c r="Z884" s="2570">
        <v>8</v>
      </c>
      <c r="AA884" s="2568"/>
      <c r="AB884" s="2568"/>
      <c r="AC884" s="2568"/>
      <c r="AD884" s="2568"/>
      <c r="AE884" s="2569"/>
      <c r="AF884" s="2563"/>
      <c r="AG884" s="2563"/>
      <c r="AH884" s="2563"/>
      <c r="AI884" s="2563"/>
      <c r="AJ884" s="2563"/>
      <c r="AK884" s="2563"/>
      <c r="AL884" s="809"/>
      <c r="AM884" s="589"/>
    </row>
    <row r="885" spans="1:81" s="530" customFormat="1" hidden="1">
      <c r="A885" s="811" t="s">
        <v>589</v>
      </c>
      <c r="B885" s="2565" t="s">
        <v>1567</v>
      </c>
      <c r="C885" s="2565"/>
      <c r="D885" s="2565"/>
      <c r="E885" s="2565"/>
      <c r="F885" s="2565"/>
      <c r="G885" s="2565"/>
      <c r="H885" s="2565"/>
      <c r="I885" s="2565"/>
      <c r="J885" s="2565"/>
      <c r="K885" s="2565"/>
      <c r="L885" s="2565"/>
      <c r="M885" s="2565"/>
      <c r="N885" s="2565"/>
      <c r="O885" s="2565"/>
      <c r="P885" s="2565"/>
      <c r="Q885" s="2565"/>
      <c r="R885" s="2565"/>
      <c r="S885" s="2566"/>
      <c r="T885" s="2591">
        <f>IF(AK548&gt;5,5,AK548)</f>
        <v>0</v>
      </c>
      <c r="U885" s="2591"/>
      <c r="V885" s="2591"/>
      <c r="W885" s="2591"/>
      <c r="X885" s="2591"/>
      <c r="Y885" s="2591"/>
      <c r="Z885" s="2563">
        <v>5</v>
      </c>
      <c r="AA885" s="2563"/>
      <c r="AB885" s="2563"/>
      <c r="AC885" s="2563"/>
      <c r="AD885" s="2563"/>
      <c r="AE885" s="2563"/>
      <c r="AF885" s="2563"/>
      <c r="AG885" s="2563"/>
      <c r="AH885" s="2563"/>
      <c r="AI885" s="2563"/>
      <c r="AJ885" s="2563"/>
      <c r="AK885" s="256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5" t="str">
        <f>B275</f>
        <v>Readiness to Proceed</v>
      </c>
      <c r="C886" s="2565"/>
      <c r="D886" s="2565"/>
      <c r="E886" s="2565"/>
      <c r="F886" s="2565"/>
      <c r="G886" s="2565"/>
      <c r="H886" s="2565"/>
      <c r="I886" s="2565"/>
      <c r="J886" s="2565"/>
      <c r="K886" s="2565"/>
      <c r="L886" s="2565"/>
      <c r="M886" s="2565"/>
      <c r="N886" s="2565"/>
      <c r="O886" s="2565"/>
      <c r="P886" s="2565"/>
      <c r="Q886" s="2565"/>
      <c r="R886" s="2565"/>
      <c r="S886" s="2566"/>
      <c r="T886" s="2591">
        <f>AK298</f>
        <v>10</v>
      </c>
      <c r="U886" s="2591"/>
      <c r="V886" s="2591"/>
      <c r="W886" s="2591"/>
      <c r="X886" s="2591"/>
      <c r="Y886" s="2591"/>
      <c r="Z886" s="2563">
        <v>10</v>
      </c>
      <c r="AA886" s="2563"/>
      <c r="AB886" s="2563"/>
      <c r="AC886" s="2563"/>
      <c r="AD886" s="2563"/>
      <c r="AE886" s="2563"/>
      <c r="AF886" s="2596">
        <f>IF(T886&gt;Z886,Z886,T886)</f>
        <v>10</v>
      </c>
      <c r="AG886" s="2597"/>
      <c r="AH886" s="2597"/>
      <c r="AI886" s="2597"/>
      <c r="AJ886" s="2597"/>
      <c r="AK886" s="2598"/>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5" t="str">
        <f>B301</f>
        <v>Access to Opportunity</v>
      </c>
      <c r="C887" s="2565"/>
      <c r="D887" s="2565"/>
      <c r="E887" s="2565"/>
      <c r="F887" s="2565"/>
      <c r="G887" s="2565"/>
      <c r="H887" s="2565"/>
      <c r="I887" s="2565"/>
      <c r="J887" s="2565"/>
      <c r="K887" s="2565"/>
      <c r="L887" s="2565"/>
      <c r="M887" s="2565"/>
      <c r="N887" s="2565"/>
      <c r="O887" s="2565"/>
      <c r="P887" s="2565"/>
      <c r="Q887" s="2565"/>
      <c r="R887" s="2565"/>
      <c r="S887" s="2566"/>
      <c r="T887" s="2591">
        <f>AK351</f>
        <v>9</v>
      </c>
      <c r="U887" s="2591"/>
      <c r="V887" s="2591"/>
      <c r="W887" s="2591"/>
      <c r="X887" s="2591"/>
      <c r="Y887" s="2591"/>
      <c r="Z887" s="2596">
        <v>10</v>
      </c>
      <c r="AA887" s="2597"/>
      <c r="AB887" s="2597"/>
      <c r="AC887" s="2597"/>
      <c r="AD887" s="2597"/>
      <c r="AE887" s="2598"/>
      <c r="AF887" s="2596">
        <f>IF(T887&gt;Z887,Z887,T887)</f>
        <v>9</v>
      </c>
      <c r="AG887" s="2597"/>
      <c r="AH887" s="2597"/>
      <c r="AI887" s="2597"/>
      <c r="AJ887" s="2597"/>
      <c r="AK887" s="2598"/>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484">
        <f>AK351</f>
        <v>9</v>
      </c>
      <c r="U888" s="2484"/>
      <c r="V888" s="2484"/>
      <c r="W888" s="2484"/>
      <c r="X888" s="2484"/>
      <c r="Y888" s="2484"/>
      <c r="Z888" s="2495">
        <v>20</v>
      </c>
      <c r="AA888" s="2496"/>
      <c r="AB888" s="2496"/>
      <c r="AC888" s="2496"/>
      <c r="AD888" s="2496"/>
      <c r="AE888" s="2497"/>
      <c r="AF888" s="2594"/>
      <c r="AG888" s="2594"/>
      <c r="AH888" s="2594"/>
      <c r="AI888" s="2594"/>
      <c r="AJ888" s="2594"/>
      <c r="AK888" s="2594"/>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5" t="s">
        <v>845</v>
      </c>
      <c r="C889" s="2565"/>
      <c r="D889" s="2565"/>
      <c r="E889" s="2565"/>
      <c r="F889" s="2565"/>
      <c r="G889" s="2565"/>
      <c r="H889" s="2565"/>
      <c r="I889" s="2565"/>
      <c r="J889" s="2565"/>
      <c r="K889" s="2565"/>
      <c r="L889" s="2565"/>
      <c r="M889" s="2565"/>
      <c r="N889" s="2565"/>
      <c r="O889" s="2565"/>
      <c r="P889" s="2565"/>
      <c r="Q889" s="2565"/>
      <c r="R889" s="2565"/>
      <c r="S889" s="2566"/>
      <c r="T889" s="2591">
        <f>AK482</f>
        <v>10</v>
      </c>
      <c r="U889" s="2591"/>
      <c r="V889" s="2591"/>
      <c r="W889" s="2591"/>
      <c r="X889" s="2591"/>
      <c r="Y889" s="2591"/>
      <c r="Z889" s="2596">
        <v>10</v>
      </c>
      <c r="AA889" s="2597"/>
      <c r="AB889" s="2597"/>
      <c r="AC889" s="2597"/>
      <c r="AD889" s="2597"/>
      <c r="AE889" s="2598"/>
      <c r="AF889" s="2563">
        <f>IF(T889&gt;Z889,Z889,T889)</f>
        <v>10</v>
      </c>
      <c r="AG889" s="2563"/>
      <c r="AH889" s="2563"/>
      <c r="AI889" s="2563"/>
      <c r="AJ889" s="2563"/>
      <c r="AK889" s="256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5" t="s">
        <v>1549</v>
      </c>
      <c r="C890" s="2565"/>
      <c r="D890" s="2565"/>
      <c r="E890" s="2565"/>
      <c r="F890" s="2565"/>
      <c r="G890" s="2565"/>
      <c r="H890" s="2565"/>
      <c r="I890" s="2565"/>
      <c r="J890" s="2565"/>
      <c r="K890" s="2565"/>
      <c r="L890" s="2565"/>
      <c r="M890" s="2565"/>
      <c r="N890" s="2565"/>
      <c r="O890" s="2565"/>
      <c r="P890" s="2565"/>
      <c r="Q890" s="2565"/>
      <c r="R890" s="2565"/>
      <c r="S890" s="2566"/>
      <c r="T890" s="2591">
        <f>AK572</f>
        <v>12</v>
      </c>
      <c r="U890" s="2591"/>
      <c r="V890" s="2591"/>
      <c r="W890" s="2591"/>
      <c r="X890" s="2591"/>
      <c r="Y890" s="2591"/>
      <c r="Z890" s="2596">
        <v>12</v>
      </c>
      <c r="AA890" s="2597"/>
      <c r="AB890" s="2597"/>
      <c r="AC890" s="2597"/>
      <c r="AD890" s="2597"/>
      <c r="AE890" s="2598"/>
      <c r="AF890" s="2563">
        <f>IF(T890&gt;Z890,Z890,T890)</f>
        <v>12</v>
      </c>
      <c r="AG890" s="2563"/>
      <c r="AH890" s="2563"/>
      <c r="AI890" s="2563"/>
      <c r="AJ890" s="2563"/>
      <c r="AK890" s="256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5" t="s">
        <v>1569</v>
      </c>
      <c r="C891" s="2565"/>
      <c r="D891" s="2565"/>
      <c r="E891" s="2565"/>
      <c r="F891" s="2565"/>
      <c r="G891" s="2565"/>
      <c r="H891" s="2565"/>
      <c r="I891" s="2565"/>
      <c r="J891" s="2565"/>
      <c r="K891" s="2565"/>
      <c r="L891" s="2565"/>
      <c r="M891" s="2565"/>
      <c r="N891" s="2565"/>
      <c r="O891" s="2565"/>
      <c r="P891" s="2565"/>
      <c r="Q891" s="2565"/>
      <c r="R891" s="2565"/>
      <c r="S891" s="2566"/>
      <c r="T891" s="2591">
        <f>AK819</f>
        <v>10</v>
      </c>
      <c r="U891" s="2591"/>
      <c r="V891" s="2591"/>
      <c r="W891" s="2591"/>
      <c r="X891" s="2591"/>
      <c r="Y891" s="2591"/>
      <c r="Z891" s="2596">
        <v>10</v>
      </c>
      <c r="AA891" s="2597"/>
      <c r="AB891" s="2597"/>
      <c r="AC891" s="2597"/>
      <c r="AD891" s="2597"/>
      <c r="AE891" s="2598"/>
      <c r="AF891" s="2563">
        <f>IF(T891&gt;Z891,Z891,T891)</f>
        <v>10</v>
      </c>
      <c r="AG891" s="2563"/>
      <c r="AH891" s="2563"/>
      <c r="AI891" s="2563"/>
      <c r="AJ891" s="2563"/>
      <c r="AK891" s="256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95"/>
      <c r="U892" s="2595"/>
      <c r="V892" s="2595"/>
      <c r="W892" s="2595"/>
      <c r="X892" s="2595"/>
      <c r="Y892" s="2595"/>
      <c r="Z892" s="2485" t="s">
        <v>1571</v>
      </c>
      <c r="AA892" s="2485"/>
      <c r="AB892" s="2485"/>
      <c r="AC892" s="2485"/>
      <c r="AD892" s="2485"/>
      <c r="AE892" s="2485"/>
      <c r="AF892" s="2596">
        <f>ABS(T892)</f>
        <v>0</v>
      </c>
      <c r="AG892" s="2597"/>
      <c r="AH892" s="2597"/>
      <c r="AI892" s="2597"/>
      <c r="AJ892" s="2597"/>
      <c r="AK892" s="2598"/>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99" t="s">
        <v>1572</v>
      </c>
      <c r="B893" s="2600"/>
      <c r="C893" s="2600"/>
      <c r="D893" s="2600"/>
      <c r="E893" s="2600"/>
      <c r="F893" s="2600"/>
      <c r="G893" s="2600"/>
      <c r="H893" s="2600"/>
      <c r="I893" s="2600"/>
      <c r="J893" s="2600"/>
      <c r="K893" s="2600"/>
      <c r="L893" s="2600"/>
      <c r="M893" s="2600"/>
      <c r="N893" s="2600"/>
      <c r="O893" s="2600"/>
      <c r="P893" s="2600"/>
      <c r="Q893" s="2600"/>
      <c r="R893" s="2600"/>
      <c r="S893" s="2600"/>
      <c r="T893" s="2600"/>
      <c r="U893" s="2600"/>
      <c r="V893" s="2600"/>
      <c r="W893" s="2600"/>
      <c r="X893" s="2600"/>
      <c r="Y893" s="2600"/>
      <c r="Z893" s="2600"/>
      <c r="AA893" s="2600"/>
      <c r="AB893" s="2600"/>
      <c r="AC893" s="2600"/>
      <c r="AD893" s="2600"/>
      <c r="AE893" s="2601"/>
      <c r="AF893" s="2605">
        <f ca="1">SUM(AF876:AK891)-AF892</f>
        <v>111</v>
      </c>
      <c r="AG893" s="2606"/>
      <c r="AH893" s="2606"/>
      <c r="AI893" s="2606"/>
      <c r="AJ893" s="2606"/>
      <c r="AK893" s="2607"/>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02"/>
      <c r="B894" s="2603"/>
      <c r="C894" s="2603"/>
      <c r="D894" s="2603"/>
      <c r="E894" s="2603"/>
      <c r="F894" s="2603"/>
      <c r="G894" s="2603"/>
      <c r="H894" s="2603"/>
      <c r="I894" s="2603"/>
      <c r="J894" s="2603"/>
      <c r="K894" s="2603"/>
      <c r="L894" s="2603"/>
      <c r="M894" s="2603"/>
      <c r="N894" s="2603"/>
      <c r="O894" s="2603"/>
      <c r="P894" s="2603"/>
      <c r="Q894" s="2603"/>
      <c r="R894" s="2603"/>
      <c r="S894" s="2603"/>
      <c r="T894" s="2603"/>
      <c r="U894" s="2603"/>
      <c r="V894" s="2603"/>
      <c r="W894" s="2603"/>
      <c r="X894" s="2603"/>
      <c r="Y894" s="2603"/>
      <c r="Z894" s="2603"/>
      <c r="AA894" s="2603"/>
      <c r="AB894" s="2603"/>
      <c r="AC894" s="2603"/>
      <c r="AD894" s="2603"/>
      <c r="AE894" s="2604"/>
      <c r="AF894" s="2608"/>
      <c r="AG894" s="2609"/>
      <c r="AH894" s="2609"/>
      <c r="AI894" s="2609"/>
      <c r="AJ894" s="2609"/>
      <c r="AK894" s="2610"/>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04" workbookViewId="0">
      <selection activeCell="K135" sqref="K135"/>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7" t="s">
        <v>1573</v>
      </c>
      <c r="B1" s="2677"/>
      <c r="C1" s="2677"/>
      <c r="D1" s="2677"/>
      <c r="E1" s="2677"/>
      <c r="F1" s="2677"/>
      <c r="G1" s="2677"/>
      <c r="H1" s="2677"/>
      <c r="I1" s="2677"/>
      <c r="J1" s="2677"/>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21802198</v>
      </c>
      <c r="I3" s="1094"/>
    </row>
    <row r="4" spans="1:13" s="1041" customFormat="1" ht="20.100000000000001" customHeight="1">
      <c r="B4" s="1083"/>
      <c r="D4" s="1097"/>
      <c r="F4" s="1082" t="s">
        <v>1959</v>
      </c>
      <c r="G4" s="1081" t="s">
        <v>1958</v>
      </c>
      <c r="H4" s="1195">
        <f>I18</f>
        <v>14297868.493071429</v>
      </c>
      <c r="I4" s="1084"/>
      <c r="K4" s="1045"/>
    </row>
    <row r="5" spans="1:13" s="1041" customFormat="1" ht="20.100000000000001" customHeight="1" thickBot="1">
      <c r="B5" s="1085"/>
      <c r="C5" s="1086"/>
      <c r="D5" s="1098"/>
      <c r="E5" s="1087"/>
      <c r="F5" s="1098" t="s">
        <v>1909</v>
      </c>
      <c r="G5" s="1099"/>
      <c r="H5" s="1095">
        <f>IFERROR(H3/H4,0)</f>
        <v>1.5248565204362508</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0" t="s">
        <v>1907</v>
      </c>
      <c r="C8" s="2681"/>
      <c r="D8" s="2681"/>
      <c r="E8" s="2682"/>
      <c r="G8" s="2683" t="s">
        <v>1908</v>
      </c>
      <c r="H8" s="2684"/>
      <c r="I8" s="2685"/>
      <c r="K8" s="1047"/>
    </row>
    <row r="9" spans="1:13" ht="15" customHeight="1">
      <c r="A9" s="1036"/>
      <c r="B9" s="2678" t="s">
        <v>1941</v>
      </c>
      <c r="C9" s="2678"/>
      <c r="D9" s="2678"/>
      <c r="E9" s="1049">
        <f>G33</f>
        <v>5647500</v>
      </c>
      <c r="G9" s="2674" t="s">
        <v>1939</v>
      </c>
      <c r="H9" s="2674"/>
      <c r="I9" s="1050">
        <f>MAX(SUMIF(Application!M562:M573,"Loan, Tax-Exempt",Application!AM562:AM573),27.5%*SUM('Sources and Uses Budget'!C8,'Sources and Uses Budget'!S105,'Sources and Uses Budget'!T105))</f>
        <v>14949227.700000001</v>
      </c>
      <c r="K9" s="1051"/>
      <c r="M9" s="1052"/>
    </row>
    <row r="10" spans="1:13" ht="15" customHeight="1" thickBot="1">
      <c r="A10" s="1036"/>
      <c r="B10" s="2678" t="s">
        <v>1942</v>
      </c>
      <c r="C10" s="2678"/>
      <c r="D10" s="2678"/>
      <c r="E10" s="1050">
        <f>G47</f>
        <v>9948348</v>
      </c>
      <c r="G10" s="2676" t="s">
        <v>1910</v>
      </c>
      <c r="H10" s="2676"/>
      <c r="I10" s="1129">
        <f>IF(OR(Application!Z205="State Farmworker Credit",Application!Z205="$500M (Farmworker Housing)"),0,'Basis &amp; Credits'!AB78)</f>
        <v>0</v>
      </c>
      <c r="M10" s="1052"/>
    </row>
    <row r="11" spans="1:13" ht="15" customHeight="1">
      <c r="A11" s="1036"/>
      <c r="B11" s="2687" t="s">
        <v>2204</v>
      </c>
      <c r="C11" s="2688"/>
      <c r="D11" s="2689"/>
      <c r="E11" s="1050">
        <f>SUM(E13,E12)</f>
        <v>220000</v>
      </c>
      <c r="G11" s="2686" t="s">
        <v>1950</v>
      </c>
      <c r="H11" s="2686"/>
      <c r="I11" s="1128">
        <f>I9+I10</f>
        <v>14949227.700000001</v>
      </c>
      <c r="M11" s="1052"/>
    </row>
    <row r="12" spans="1:13" ht="15" customHeight="1">
      <c r="A12" s="1053"/>
      <c r="B12" s="2679" t="s">
        <v>2563</v>
      </c>
      <c r="C12" s="2679"/>
      <c r="D12" s="2679"/>
      <c r="E12" s="1153">
        <f>G56</f>
        <v>220000</v>
      </c>
      <c r="M12" s="1052"/>
    </row>
    <row r="13" spans="1:13" ht="15" customHeight="1">
      <c r="A13" s="1039"/>
      <c r="B13" s="2679" t="s">
        <v>2564</v>
      </c>
      <c r="C13" s="2679"/>
      <c r="D13" s="2679"/>
      <c r="E13" s="1153">
        <f>IF(G67,MAX(G65,G79),G65)</f>
        <v>0</v>
      </c>
      <c r="G13" s="2683" t="s">
        <v>1973</v>
      </c>
      <c r="H13" s="2684"/>
      <c r="I13" s="2685"/>
    </row>
    <row r="14" spans="1:13" ht="15" customHeight="1">
      <c r="A14" s="1039"/>
      <c r="B14" s="2687" t="s">
        <v>2205</v>
      </c>
      <c r="C14" s="2688"/>
      <c r="D14" s="2689"/>
      <c r="E14" s="1155">
        <f>MAX(E15,E16)+E17</f>
        <v>5986350</v>
      </c>
      <c r="G14" s="2674" t="s">
        <v>2580</v>
      </c>
      <c r="H14" s="2674"/>
      <c r="I14" s="1054">
        <f>IF(AND(G134="Yes",G136&lt;&gt;""),IF(OR(G141="Yes",G145="Yes"),18%,15%),0)</f>
        <v>0</v>
      </c>
      <c r="M14" s="1052"/>
    </row>
    <row r="15" spans="1:13" ht="15" customHeight="1">
      <c r="A15" s="1039"/>
      <c r="B15" s="2690" t="s">
        <v>2577</v>
      </c>
      <c r="C15" s="2691"/>
      <c r="D15" s="2692"/>
      <c r="E15" s="1153">
        <f>G94</f>
        <v>0</v>
      </c>
      <c r="G15" s="1126" t="s">
        <v>1951</v>
      </c>
      <c r="H15" s="1126"/>
      <c r="I15" s="1054">
        <f>IF(Application!AJ1041&gt;0,10%,IF(Application!AJ1045&gt;0,5%,0))</f>
        <v>0.05</v>
      </c>
      <c r="M15" s="1052"/>
    </row>
    <row r="16" spans="1:13" ht="15" customHeight="1">
      <c r="A16" s="1039"/>
      <c r="B16" s="2690" t="s">
        <v>2578</v>
      </c>
      <c r="C16" s="2691"/>
      <c r="D16" s="2692"/>
      <c r="E16" s="1153">
        <f>G104</f>
        <v>0</v>
      </c>
      <c r="G16" s="2674" t="s">
        <v>1952</v>
      </c>
      <c r="H16" s="2674"/>
      <c r="I16" s="1054">
        <f>G155</f>
        <v>-6.4285714285714285E-3</v>
      </c>
    </row>
    <row r="17" spans="1:21" ht="15" customHeight="1" thickBot="1">
      <c r="A17" s="1039"/>
      <c r="B17" s="2690" t="s">
        <v>2579</v>
      </c>
      <c r="C17" s="2691"/>
      <c r="D17" s="2692"/>
      <c r="E17" s="1153">
        <f>G129</f>
        <v>5986350</v>
      </c>
      <c r="G17" s="2674" t="s">
        <v>2213</v>
      </c>
      <c r="H17" s="2674"/>
      <c r="I17" s="1054">
        <f>IF(AND(G161="Yes",G159),IF(G165&gt;15%,15%,G165),0)</f>
        <v>0</v>
      </c>
    </row>
    <row r="18" spans="1:21" ht="15" customHeight="1">
      <c r="A18" s="1036"/>
      <c r="B18" s="2675" t="s">
        <v>1906</v>
      </c>
      <c r="C18" s="2675"/>
      <c r="D18" s="2675"/>
      <c r="E18" s="1100">
        <f>SUM(E9:E11,E14)</f>
        <v>21802198</v>
      </c>
      <c r="G18" s="1127" t="s">
        <v>1940</v>
      </c>
      <c r="H18" s="1127"/>
      <c r="I18" s="1101">
        <f>I11-((I11*I14)+(I11*I15)+(I11*I16)+(I11*I17))</f>
        <v>14297868.493071429</v>
      </c>
      <c r="M18" s="1055">
        <f>SUM(Cdlac[Quantity])</f>
        <v>107</v>
      </c>
      <c r="O18" s="1074" t="s">
        <v>582</v>
      </c>
      <c r="P18" s="1034">
        <f>MATCH(Application!T189,Application!CB160:CB217,0)</f>
        <v>37</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2</v>
      </c>
      <c r="N20" s="1061">
        <f>Application!AC726</f>
        <v>0.3</v>
      </c>
      <c r="O20" s="1061">
        <f>IF(Cdlac[[#This Row],[Quantity]]&gt;0,IF(Cdlac[[#This Row],[Federal]],30%,IF(AND(OR(NOT($G$38),$G$38=""),$G$43),40%,Cdlac[[#This Row],[iAMI]])),"")</f>
        <v>0.3</v>
      </c>
      <c r="P20" s="1055" cm="1">
        <f t="array" ref="P20">IF(Cdlac[[#This Row],[Quantity]]&gt;0,INDEX(TcacRents,$P$18,Cdlac[[#This Row],[Bedrooms]]+1)*Cdlac[[#This Row],[AMI]],"")</f>
        <v>918.6</v>
      </c>
      <c r="Q20" s="1152"/>
      <c r="R20" s="1055" cm="1">
        <f t="array" ref="R20">IF(Cdlac[[#This Row],[Quantity]]&gt;0,INDEX(HudFmrs,$P$18,Cdlac[[#This Row],[Bedrooms]]+1),"")</f>
        <v>2288</v>
      </c>
      <c r="S20" s="1055">
        <f>IF(Cdlac[[#This Row],[Quantity]]&gt;0,MAX(0,Cdlac[[#This Row],[Fair Market Rent]]-IF(AND($G$37,$G$38,$G$38&lt;&gt;"",NOT(Cdlac[[#This Row],[Federal]]),Cdlac[[#This Row],[Preservation Rent]]&lt;&gt;""),Cdlac[[#This Row],[Preservation Rent]],Cdlac[[#This Row],[Restricted Rent]])),"")</f>
        <v>1369.4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2</v>
      </c>
      <c r="N21" s="1061">
        <f>Application!AC727</f>
        <v>0.5</v>
      </c>
      <c r="O21" s="1061">
        <f>IF(Cdlac[[#This Row],[Quantity]]&gt;0,IF(Cdlac[[#This Row],[Federal]],30%,IF(AND(OR(NOT($G$38),$G$38=""),$G$43),40%,Cdlac[[#This Row],[iAMI]])),"")</f>
        <v>0.5</v>
      </c>
      <c r="P21" s="1055" cm="1">
        <f t="array" ref="P21">IF(Cdlac[[#This Row],[Quantity]]&gt;0,INDEX(TcacRents,$P$18,Cdlac[[#This Row],[Bedrooms]]+1)*Cdlac[[#This Row],[AMI]],"")</f>
        <v>1531</v>
      </c>
      <c r="Q21" s="1152"/>
      <c r="R21" s="1055" cm="1">
        <f t="array" ref="R21">IF(Cdlac[[#This Row],[Quantity]]&gt;0,INDEX(HudFmrs,$P$18,Cdlac[[#This Row],[Bedrooms]]+1),"")</f>
        <v>2288</v>
      </c>
      <c r="S21" s="1055">
        <f>IF(Cdlac[[#This Row],[Quantity]]&gt;0,MAX(0,Cdlac[[#This Row],[Fair Market Rent]]-IF(AND($G$37,$G$38,$G$38&lt;&gt;"",NOT(Cdlac[[#This Row],[Federal]]),Cdlac[[#This Row],[Preservation Rent]]&lt;&gt;""),Cdlac[[#This Row],[Preservation Rent]],Cdlac[[#This Row],[Restricted Rent]])),"")</f>
        <v>757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4" t="s">
        <v>1954</v>
      </c>
      <c r="D22" s="2664" t="s">
        <v>1955</v>
      </c>
      <c r="E22" s="2664" t="s">
        <v>1956</v>
      </c>
      <c r="F22" s="2664" t="s">
        <v>2526</v>
      </c>
      <c r="G22" s="2664" t="s">
        <v>1953</v>
      </c>
      <c r="H22" s="1060"/>
      <c r="I22" s="1059"/>
      <c r="L22" s="1034">
        <f>IFERROR(MIN(4,MATCH(Application!B728,UnitSizes,0)-1),"")</f>
        <v>0</v>
      </c>
      <c r="M22" s="1055">
        <f>Application!G728</f>
        <v>4</v>
      </c>
      <c r="N22" s="1061">
        <f>Application!AC728</f>
        <v>0.6</v>
      </c>
      <c r="O22" s="1061">
        <f>IF(Cdlac[[#This Row],[Quantity]]&gt;0,IF(Cdlac[[#This Row],[Federal]],30%,IF(AND(OR(NOT($G$38),$G$38=""),$G$43),40%,Cdlac[[#This Row],[iAMI]])),"")</f>
        <v>0.6</v>
      </c>
      <c r="P22" s="1055" cm="1">
        <f t="array" ref="P22">IF(Cdlac[[#This Row],[Quantity]]&gt;0,INDEX(TcacRents,$P$18,Cdlac[[#This Row],[Bedrooms]]+1)*Cdlac[[#This Row],[AMI]],"")</f>
        <v>1837.2</v>
      </c>
      <c r="Q22" s="1152"/>
      <c r="R22" s="1055" cm="1">
        <f t="array" ref="R22">IF(Cdlac[[#This Row],[Quantity]]&gt;0,INDEX(HudFmrs,$P$18,Cdlac[[#This Row],[Bedrooms]]+1),"")</f>
        <v>2288</v>
      </c>
      <c r="S22" s="1055">
        <f>IF(Cdlac[[#This Row],[Quantity]]&gt;0,MAX(0,Cdlac[[#This Row],[Fair Market Rent]]-IF(AND($G$37,$G$38,$G$38&lt;&gt;"",NOT(Cdlac[[#This Row],[Federal]]),Cdlac[[#This Row],[Preservation Rent]]&lt;&gt;""),Cdlac[[#This Row],[Preservation Rent]],Cdlac[[#This Row],[Restricted Rent]])),"")</f>
        <v>450.79999999999995</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5"/>
      <c r="D23" s="2665"/>
      <c r="E23" s="2665"/>
      <c r="F23" s="2665"/>
      <c r="G23" s="2665"/>
      <c r="H23" s="1060"/>
      <c r="I23" s="1059"/>
      <c r="L23" s="1034">
        <f>IFERROR(MIN(4,MATCH(Application!B729,UnitSizes,0)-1),"")</f>
        <v>0</v>
      </c>
      <c r="M23" s="1055">
        <f>Application!G729</f>
        <v>5</v>
      </c>
      <c r="N23" s="1061">
        <f>Application!AC729</f>
        <v>0.7</v>
      </c>
      <c r="O23" s="1061">
        <f>IF(Cdlac[[#This Row],[Quantity]]&gt;0,IF(Cdlac[[#This Row],[Federal]],30%,IF(AND(OR(NOT($G$38),$G$38=""),$G$43),40%,Cdlac[[#This Row],[iAMI]])),"")</f>
        <v>0.7</v>
      </c>
      <c r="P23" s="1055" cm="1">
        <f t="array" ref="P23">IF(Cdlac[[#This Row],[Quantity]]&gt;0,INDEX(TcacRents,$P$18,Cdlac[[#This Row],[Bedrooms]]+1)*Cdlac[[#This Row],[AMI]],"")</f>
        <v>2143.4</v>
      </c>
      <c r="Q23" s="1152"/>
      <c r="R23" s="1055" cm="1">
        <f t="array" ref="R23">IF(Cdlac[[#This Row],[Quantity]]&gt;0,INDEX(HudFmrs,$P$18,Cdlac[[#This Row],[Bedrooms]]+1),"")</f>
        <v>2288</v>
      </c>
      <c r="S23" s="1055">
        <f>IF(Cdlac[[#This Row],[Quantity]]&gt;0,MAX(0,Cdlac[[#This Row],[Fair Market Rent]]-IF(AND($G$37,$G$38,$G$38&lt;&gt;"",NOT(Cdlac[[#This Row],[Federal]]),Cdlac[[#This Row],[Preservation Rent]]&lt;&gt;""),Cdlac[[#This Row],[Preservation Rent]],Cdlac[[#This Row],[Restricted Rent]])),"")</f>
        <v>144.59999999999991</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13</v>
      </c>
      <c r="F24" s="1062">
        <f>E24</f>
        <v>13</v>
      </c>
      <c r="G24" s="1062">
        <f>D24*F24</f>
        <v>11.700000000000001</v>
      </c>
      <c r="L24" s="1034">
        <f>IFERROR(MIN(4,MATCH(Application!B730,UnitSizes,0)-1),"")</f>
        <v>1</v>
      </c>
      <c r="M24" s="1055">
        <f>Application!G730</f>
        <v>8</v>
      </c>
      <c r="N24" s="1061">
        <f>Application!AC730</f>
        <v>0.3</v>
      </c>
      <c r="O24" s="1061">
        <f>IF(Cdlac[[#This Row],[Quantity]]&gt;0,IF(Cdlac[[#This Row],[Federal]],30%,IF(AND(OR(NOT($G$38),$G$38=""),$G$43),40%,Cdlac[[#This Row],[iAMI]])),"")</f>
        <v>0.3</v>
      </c>
      <c r="P24" s="1055" cm="1">
        <f t="array" ref="P24">IF(Cdlac[[#This Row],[Quantity]]&gt;0,INDEX(TcacRents,$P$18,Cdlac[[#This Row],[Bedrooms]]+1)*Cdlac[[#This Row],[AMI]],"")</f>
        <v>984</v>
      </c>
      <c r="Q24" s="1152"/>
      <c r="R24" s="1055" cm="1">
        <f t="array" ref="R24">IF(Cdlac[[#This Row],[Quantity]]&gt;0,INDEX(HudFmrs,$P$18,Cdlac[[#This Row],[Bedrooms]]+1),"")</f>
        <v>2459</v>
      </c>
      <c r="S24" s="1055">
        <f>IF(Cdlac[[#This Row],[Quantity]]&gt;0,MAX(0,Cdlac[[#This Row],[Fair Market Rent]]-IF(AND($G$37,$G$38,$G$38&lt;&gt;"",NOT(Cdlac[[#This Row],[Federal]]),Cdlac[[#This Row],[Preservation Rent]]&lt;&gt;""),Cdlac[[#This Row],[Preservation Rent]],Cdlac[[#This Row],[Restricted Rent]])),"")</f>
        <v>1475</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65</v>
      </c>
      <c r="F25" s="1062">
        <f>E25</f>
        <v>65</v>
      </c>
      <c r="G25" s="1062">
        <f>D25*F25</f>
        <v>65</v>
      </c>
      <c r="L25" s="1034">
        <f>IFERROR(MIN(4,MATCH(Application!B731,UnitSizes,0)-1),"")</f>
        <v>1</v>
      </c>
      <c r="M25" s="1055">
        <f>Application!G731</f>
        <v>8</v>
      </c>
      <c r="N25" s="1061">
        <f>Application!AC731</f>
        <v>0.5</v>
      </c>
      <c r="O25" s="1061">
        <f>IF(Cdlac[[#This Row],[Quantity]]&gt;0,IF(Cdlac[[#This Row],[Federal]],30%,IF(AND(OR(NOT($G$38),$G$38=""),$G$43),40%,Cdlac[[#This Row],[iAMI]])),"")</f>
        <v>0.5</v>
      </c>
      <c r="P25" s="1055" cm="1">
        <f t="array" ref="P25">IF(Cdlac[[#This Row],[Quantity]]&gt;0,INDEX(TcacRents,$P$18,Cdlac[[#This Row],[Bedrooms]]+1)*Cdlac[[#This Row],[AMI]],"")</f>
        <v>1640</v>
      </c>
      <c r="Q25" s="1152"/>
      <c r="R25" s="1055" cm="1">
        <f t="array" ref="R25">IF(Cdlac[[#This Row],[Quantity]]&gt;0,INDEX(HudFmrs,$P$18,Cdlac[[#This Row],[Bedrooms]]+1),"")</f>
        <v>2459</v>
      </c>
      <c r="S25" s="1055">
        <f>IF(Cdlac[[#This Row],[Quantity]]&gt;0,MAX(0,Cdlac[[#This Row],[Fair Market Rent]]-IF(AND($G$37,$G$38,$G$38&lt;&gt;"",NOT(Cdlac[[#This Row],[Federal]]),Cdlac[[#This Row],[Preservation Rent]]&lt;&gt;""),Cdlac[[#This Row],[Preservation Rent]],Cdlac[[#This Row],[Restricted Rent]])),"")</f>
        <v>819</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29</v>
      </c>
      <c r="F26" s="1065">
        <f>SUM(E26:E28)-SUM(F27:F28)</f>
        <v>29</v>
      </c>
      <c r="G26" s="1062">
        <f>D26*F26</f>
        <v>36.25</v>
      </c>
      <c r="H26" s="1064"/>
      <c r="I26" s="1064"/>
      <c r="L26" s="1034">
        <f>IFERROR(MIN(4,MATCH(Application!B732,UnitSizes,0)-1),"")</f>
        <v>1</v>
      </c>
      <c r="M26" s="1055">
        <f>Application!G732</f>
        <v>35</v>
      </c>
      <c r="N26" s="1061">
        <f>Application!AC732</f>
        <v>0.6</v>
      </c>
      <c r="O26" s="1061">
        <f>IF(Cdlac[[#This Row],[Quantity]]&gt;0,IF(Cdlac[[#This Row],[Federal]],30%,IF(AND(OR(NOT($G$38),$G$38=""),$G$43),40%,Cdlac[[#This Row],[iAMI]])),"")</f>
        <v>0.6</v>
      </c>
      <c r="P26" s="1055" cm="1">
        <f t="array" ref="P26">IF(Cdlac[[#This Row],[Quantity]]&gt;0,INDEX(TcacRents,$P$18,Cdlac[[#This Row],[Bedrooms]]+1)*Cdlac[[#This Row],[AMI]],"")</f>
        <v>1968</v>
      </c>
      <c r="Q26" s="1152"/>
      <c r="R26" s="1055" cm="1">
        <f t="array" ref="R26">IF(Cdlac[[#This Row],[Quantity]]&gt;0,INDEX(HudFmrs,$P$18,Cdlac[[#This Row],[Bedrooms]]+1),"")</f>
        <v>2459</v>
      </c>
      <c r="S26" s="1055">
        <f>IF(Cdlac[[#This Row],[Quantity]]&gt;0,MAX(0,Cdlac[[#This Row],[Fair Market Rent]]-IF(AND($G$37,$G$38,$G$38&lt;&gt;"",NOT(Cdlac[[#This Row],[Federal]]),Cdlac[[#This Row],[Preservation Rent]]&lt;&gt;""),Cdlac[[#This Row],[Preservation Rent]],Cdlac[[#This Row],[Restricted Rent]])),"")</f>
        <v>491</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f>IFERROR(MIN(4,MATCH(Application!B733,UnitSizes,0)-1),"")</f>
        <v>1</v>
      </c>
      <c r="M27" s="1055">
        <f>Application!G733</f>
        <v>14</v>
      </c>
      <c r="N27" s="1061">
        <f>Application!AC733</f>
        <v>0.7</v>
      </c>
      <c r="O27" s="1061">
        <f>IF(Cdlac[[#This Row],[Quantity]]&gt;0,IF(Cdlac[[#This Row],[Federal]],30%,IF(AND(OR(NOT($G$38),$G$38=""),$G$43),40%,Cdlac[[#This Row],[iAMI]])),"")</f>
        <v>0.7</v>
      </c>
      <c r="P27" s="1055" cm="1">
        <f t="array" ref="P27">IF(Cdlac[[#This Row],[Quantity]]&gt;0,INDEX(TcacRents,$P$18,Cdlac[[#This Row],[Bedrooms]]+1)*Cdlac[[#This Row],[AMI]],"")</f>
        <v>2296</v>
      </c>
      <c r="Q27" s="1152"/>
      <c r="R27" s="1055" cm="1">
        <f t="array" ref="R27">IF(Cdlac[[#This Row],[Quantity]]&gt;0,INDEX(HudFmrs,$P$18,Cdlac[[#This Row],[Bedrooms]]+1),"")</f>
        <v>2459</v>
      </c>
      <c r="S27" s="1055">
        <f>IF(Cdlac[[#This Row],[Quantity]]&gt;0,MAX(0,Cdlac[[#This Row],[Fair Market Rent]]-IF(AND($G$37,$G$38,$G$38&lt;&gt;"",NOT(Cdlac[[#This Row],[Federal]]),Cdlac[[#This Row],[Preservation Rent]]&lt;&gt;""),Cdlac[[#This Row],[Preservation Rent]],Cdlac[[#This Row],[Restricted Rent]])),"")</f>
        <v>163</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1</v>
      </c>
      <c r="N28" s="1061">
        <f>Application!AC734</f>
        <v>0.3</v>
      </c>
      <c r="O28" s="1061">
        <f>IF(Cdlac[[#This Row],[Quantity]]&gt;0,IF(Cdlac[[#This Row],[Federal]],30%,IF(AND(OR(NOT($G$38),$G$38=""),$G$43),40%,Cdlac[[#This Row],[iAMI]])),"")</f>
        <v>0.3</v>
      </c>
      <c r="P28" s="1055" cm="1">
        <f t="array" ref="P28">IF(Cdlac[[#This Row],[Quantity]]&gt;0,INDEX(TcacRents,$P$18,Cdlac[[#This Row],[Bedrooms]]+1)*Cdlac[[#This Row],[AMI]],"")</f>
        <v>1180.8</v>
      </c>
      <c r="Q28" s="1152"/>
      <c r="R28" s="1055" cm="1">
        <f t="array" ref="R28">IF(Cdlac[[#This Row],[Quantity]]&gt;0,INDEX(HudFmrs,$P$18,Cdlac[[#This Row],[Bedrooms]]+1),"")</f>
        <v>3001</v>
      </c>
      <c r="S28" s="1055">
        <f>IF(Cdlac[[#This Row],[Quantity]]&gt;0,MAX(0,Cdlac[[#This Row],[Fair Market Rent]]-IF(AND($G$37,$G$38,$G$38&lt;&gt;"",NOT(Cdlac[[#This Row],[Federal]]),Cdlac[[#This Row],[Preservation Rent]]&lt;&gt;""),Cdlac[[#This Row],[Preservation Rent]],Cdlac[[#This Row],[Restricted Rent]])),"")</f>
        <v>1820.2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4" t="s">
        <v>1574</v>
      </c>
      <c r="D29" s="2695"/>
      <c r="E29" s="1079">
        <f>SUM(E24:E28)</f>
        <v>107</v>
      </c>
      <c r="F29" s="1079">
        <f>SUM(F24:F28)</f>
        <v>107</v>
      </c>
      <c r="G29" s="1080">
        <f>SUMPRODUCT(D24:D28,F24:F28)</f>
        <v>112.95</v>
      </c>
      <c r="H29" s="1064"/>
      <c r="I29" s="1064"/>
      <c r="L29" s="1034">
        <f>IFERROR(MIN(4,MATCH(Application!B735,UnitSizes,0)-1),"")</f>
        <v>2</v>
      </c>
      <c r="M29" s="1055">
        <f>Application!G735</f>
        <v>1</v>
      </c>
      <c r="N29" s="1061">
        <f>Application!AC735</f>
        <v>0.5</v>
      </c>
      <c r="O29" s="1061">
        <f>IF(Cdlac[[#This Row],[Quantity]]&gt;0,IF(Cdlac[[#This Row],[Federal]],30%,IF(AND(OR(NOT($G$38),$G$38=""),$G$43),40%,Cdlac[[#This Row],[iAMI]])),"")</f>
        <v>0.5</v>
      </c>
      <c r="P29" s="1055" cm="1">
        <f t="array" ref="P29">IF(Cdlac[[#This Row],[Quantity]]&gt;0,INDEX(TcacRents,$P$18,Cdlac[[#This Row],[Bedrooms]]+1)*Cdlac[[#This Row],[AMI]],"")</f>
        <v>1968</v>
      </c>
      <c r="Q29" s="1152"/>
      <c r="R29" s="1055" cm="1">
        <f t="array" ref="R29">IF(Cdlac[[#This Row],[Quantity]]&gt;0,INDEX(HudFmrs,$P$18,Cdlac[[#This Row],[Bedrooms]]+1),"")</f>
        <v>3001</v>
      </c>
      <c r="S29" s="1055">
        <f>IF(Cdlac[[#This Row],[Quantity]]&gt;0,MAX(0,Cdlac[[#This Row],[Fair Market Rent]]-IF(AND($G$37,$G$38,$G$38&lt;&gt;"",NOT(Cdlac[[#This Row],[Federal]]),Cdlac[[#This Row],[Preservation Rent]]&lt;&gt;""),Cdlac[[#This Row],[Preservation Rent]],Cdlac[[#This Row],[Restricted Rent]])),"")</f>
        <v>1033</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3</v>
      </c>
      <c r="N30" s="1061">
        <f>Application!AC736</f>
        <v>0.6</v>
      </c>
      <c r="O30" s="1061">
        <f>IF(Cdlac[[#This Row],[Quantity]]&gt;0,IF(Cdlac[[#This Row],[Federal]],30%,IF(AND(OR(NOT($G$38),$G$38=""),$G$43),40%,Cdlac[[#This Row],[iAMI]])),"")</f>
        <v>0.6</v>
      </c>
      <c r="P30" s="1055" cm="1">
        <f t="array" ref="P30">IF(Cdlac[[#This Row],[Quantity]]&gt;0,INDEX(TcacRents,$P$18,Cdlac[[#This Row],[Bedrooms]]+1)*Cdlac[[#This Row],[AMI]],"")</f>
        <v>2361.6</v>
      </c>
      <c r="Q30" s="1152"/>
      <c r="R30" s="1055" cm="1">
        <f t="array" ref="R30">IF(Cdlac[[#This Row],[Quantity]]&gt;0,INDEX(HudFmrs,$P$18,Cdlac[[#This Row],[Bedrooms]]+1),"")</f>
        <v>3001</v>
      </c>
      <c r="S30" s="1055">
        <f>IF(Cdlac[[#This Row],[Quantity]]&gt;0,MAX(0,Cdlac[[#This Row],[Fair Market Rent]]-IF(AND($G$37,$G$38,$G$38&lt;&gt;"",NOT(Cdlac[[#This Row],[Federal]]),Cdlac[[#This Row],[Preservation Rent]]&lt;&gt;""),Cdlac[[#This Row],[Preservation Rent]],Cdlac[[#This Row],[Restricted Rent]])),"")</f>
        <v>639.40000000000009</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112.95</v>
      </c>
      <c r="H31" s="1064"/>
      <c r="I31" s="1064"/>
      <c r="L31" s="1034">
        <f>IFERROR(MIN(4,MATCH(Application!B737,UnitSizes,0)-1),"")</f>
        <v>2</v>
      </c>
      <c r="M31" s="1055">
        <f>Application!G737</f>
        <v>24</v>
      </c>
      <c r="N31" s="1061">
        <f>Application!AC737</f>
        <v>0.7</v>
      </c>
      <c r="O31" s="1061">
        <f>IF(Cdlac[[#This Row],[Quantity]]&gt;0,IF(Cdlac[[#This Row],[Federal]],30%,IF(AND(OR(NOT($G$38),$G$38=""),$G$43),40%,Cdlac[[#This Row],[iAMI]])),"")</f>
        <v>0.7</v>
      </c>
      <c r="P31" s="1055" cm="1">
        <f t="array" ref="P31">IF(Cdlac[[#This Row],[Quantity]]&gt;0,INDEX(TcacRents,$P$18,Cdlac[[#This Row],[Bedrooms]]+1)*Cdlac[[#This Row],[AMI]],"")</f>
        <v>2755.2</v>
      </c>
      <c r="Q31" s="1152"/>
      <c r="R31" s="1055" cm="1">
        <f t="array" ref="R31">IF(Cdlac[[#This Row],[Quantity]]&gt;0,INDEX(HudFmrs,$P$18,Cdlac[[#This Row],[Bedrooms]]+1),"")</f>
        <v>3001</v>
      </c>
      <c r="S31" s="1055">
        <f>IF(Cdlac[[#This Row],[Quantity]]&gt;0,MAX(0,Cdlac[[#This Row],[Fair Market Rent]]-IF(AND($G$37,$G$38,$G$38&lt;&gt;"",NOT(Cdlac[[#This Row],[Federal]]),Cdlac[[#This Row],[Preservation Rent]]&lt;&gt;""),Cdlac[[#This Row],[Preservation Rent]],Cdlac[[#This Row],[Restricted Rent]])),"")</f>
        <v>245.80000000000018</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5647500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7" t="str">
        <f>IF(AND(G37,G38,G38&lt;&gt;""),"Enter the average rent charged for each unit type over the last three years, as documented with rent rolls or property audits, in cells Q20:Q44","")</f>
        <v/>
      </c>
      <c r="D39" s="2697"/>
      <c r="E39" s="2697"/>
      <c r="F39" s="2697"/>
      <c r="G39" s="2697"/>
      <c r="H39" s="2697"/>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7"/>
      <c r="D40" s="2697"/>
      <c r="E40" s="2697"/>
      <c r="F40" s="2697"/>
      <c r="G40" s="2697"/>
      <c r="H40" s="2697"/>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7"/>
      <c r="D41" s="2697"/>
      <c r="E41" s="2697"/>
      <c r="F41" s="2697"/>
      <c r="G41" s="2697"/>
      <c r="H41" s="2697"/>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0.59906542056074763</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55268.6</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9948348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11</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53</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11</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220000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53</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666" t="s">
        <v>1937</v>
      </c>
      <c r="M83" s="2667"/>
      <c r="N83" s="1120">
        <v>30000</v>
      </c>
    </row>
    <row r="84" spans="2:14" ht="15" customHeight="1">
      <c r="C84" s="1067" t="s">
        <v>1949</v>
      </c>
      <c r="G84" s="1071" t="str">
        <f>IF(Application!D211="Large Family","Yes","No")</f>
        <v>No</v>
      </c>
      <c r="L84" s="2670" t="s">
        <v>1905</v>
      </c>
      <c r="M84" s="2671"/>
      <c r="N84" s="1121">
        <v>20000</v>
      </c>
    </row>
    <row r="85" spans="2:14" ht="15" customHeight="1" thickBot="1">
      <c r="C85" s="1067" t="s">
        <v>1935</v>
      </c>
      <c r="G85" s="1033"/>
      <c r="L85" s="2672" t="s">
        <v>1938</v>
      </c>
      <c r="M85" s="2673"/>
      <c r="N85" s="1122">
        <v>10000</v>
      </c>
    </row>
    <row r="86" spans="2:14" ht="15" customHeight="1" thickBot="1">
      <c r="C86" s="1067" t="s">
        <v>1936</v>
      </c>
      <c r="G86" s="1034" t="str">
        <f>Application!T193</f>
        <v>Low Resource</v>
      </c>
    </row>
    <row r="87" spans="2:14" ht="15" customHeight="1">
      <c r="C87" s="2700" t="s">
        <v>2203</v>
      </c>
      <c r="D87" s="2700"/>
      <c r="E87" s="2700"/>
      <c r="F87" s="2700"/>
      <c r="G87" s="1033"/>
      <c r="L87" s="1116" t="str">
        <f>'Points System'!H651</f>
        <v>(i)</v>
      </c>
      <c r="M87" s="2668" t="s">
        <v>1396</v>
      </c>
      <c r="N87" s="2669"/>
    </row>
    <row r="88" spans="2:14" ht="15" customHeight="1">
      <c r="C88" s="2700"/>
      <c r="D88" s="2700"/>
      <c r="E88" s="2700"/>
      <c r="F88" s="2700"/>
      <c r="L88" s="1117" t="str">
        <f>'Points System'!H663</f>
        <v>(i)</v>
      </c>
      <c r="M88" s="2660" t="s">
        <v>1924</v>
      </c>
      <c r="N88" s="2661"/>
    </row>
    <row r="89" spans="2:14" ht="15" customHeight="1">
      <c r="C89" s="1067"/>
      <c r="L89" s="1117" t="str">
        <f>'Points System'!H698</f>
        <v>(ii)</v>
      </c>
      <c r="M89" s="2660" t="s">
        <v>1925</v>
      </c>
      <c r="N89" s="2661"/>
    </row>
    <row r="90" spans="2:14" ht="15" customHeight="1">
      <c r="E90" s="1074" t="s">
        <v>1967</v>
      </c>
      <c r="G90" s="1069" t="b">
        <f>OR(AND(COUNTIFS(G84:G85,"Yes")&gt;=1,G83="Yes"),G87="Yes")</f>
        <v>0</v>
      </c>
      <c r="L90" s="1117" t="str">
        <f>IF(OR('Points System'!H725="(ii)",'Points System'!H725="(i)"),"(i)","N/A")</f>
        <v>N/A</v>
      </c>
      <c r="M90" s="2660" t="s">
        <v>1926</v>
      </c>
      <c r="N90" s="2661"/>
    </row>
    <row r="91" spans="2:14" ht="15" customHeight="1">
      <c r="E91" s="1074"/>
      <c r="G91" s="1069"/>
      <c r="L91" s="1118" t="str">
        <f>'Points System'!H739</f>
        <v>N/A</v>
      </c>
      <c r="M91" s="2660" t="s">
        <v>1422</v>
      </c>
      <c r="N91" s="2661"/>
    </row>
    <row r="92" spans="2:14" ht="15" customHeight="1">
      <c r="E92" s="1074" t="s">
        <v>1912</v>
      </c>
      <c r="G92" s="1068">
        <f>IFERROR(IF($G$87="Yes",30000,INDEX(N83:N85,MATCH(LEFT(G86,17),L83:L85,0))),0)</f>
        <v>0</v>
      </c>
      <c r="L92" s="1117" t="str">
        <f>'Points System'!H751</f>
        <v>N/A</v>
      </c>
      <c r="M92" s="2660" t="s">
        <v>1927</v>
      </c>
      <c r="N92" s="2661"/>
    </row>
    <row r="93" spans="2:14" ht="15" customHeight="1">
      <c r="E93" s="1074" t="str">
        <f>E110</f>
        <v>Bedroom-Adjusted Low-Income Units</v>
      </c>
      <c r="F93" s="1102" t="s">
        <v>1960</v>
      </c>
      <c r="G93" s="1103">
        <f>G29</f>
        <v>112.95</v>
      </c>
      <c r="L93" s="1117" t="str">
        <f>'Points System'!H767</f>
        <v>(ii)</v>
      </c>
      <c r="M93" s="2660" t="s">
        <v>1928</v>
      </c>
      <c r="N93" s="2661"/>
    </row>
    <row r="94" spans="2:14" ht="15" customHeight="1" thickBot="1">
      <c r="D94" s="1036"/>
      <c r="E94" s="1107" t="s">
        <v>2206</v>
      </c>
      <c r="F94" s="1036"/>
      <c r="G94" s="1112">
        <f>G93*G92*G90</f>
        <v>0</v>
      </c>
      <c r="L94" s="1119" t="str">
        <f>'Points System'!H779</f>
        <v>(ii)</v>
      </c>
      <c r="M94" s="2662" t="s">
        <v>1425</v>
      </c>
      <c r="N94" s="2663"/>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112.95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5</v>
      </c>
    </row>
    <row r="109" spans="2:9" ht="15" customHeight="1">
      <c r="E109" s="1074" t="s">
        <v>1912</v>
      </c>
      <c r="F109" s="1102" t="s">
        <v>1960</v>
      </c>
      <c r="G109" s="1066">
        <v>4000</v>
      </c>
    </row>
    <row r="110" spans="2:9" ht="15" customHeight="1">
      <c r="E110" s="1074" t="s">
        <v>1964</v>
      </c>
      <c r="F110" s="1102" t="s">
        <v>1960</v>
      </c>
      <c r="G110" s="1115">
        <f>G29</f>
        <v>112.95</v>
      </c>
    </row>
    <row r="111" spans="2:9" ht="15" customHeight="1">
      <c r="E111" s="1107" t="s">
        <v>1929</v>
      </c>
      <c r="F111" s="1036"/>
      <c r="G111" s="1112">
        <f>G108*G109*G110</f>
        <v>2259000</v>
      </c>
    </row>
    <row r="112" spans="2:9" ht="15" customHeight="1">
      <c r="C112" s="1067"/>
      <c r="G112" s="1103"/>
    </row>
    <row r="113" spans="2:7" ht="15" customHeight="1">
      <c r="E113" s="1074" t="s">
        <v>1965</v>
      </c>
      <c r="G113" s="1103">
        <f>COUNTIFS(L87:L94,"(i)")</f>
        <v>2</v>
      </c>
    </row>
    <row r="114" spans="2:7" ht="15" customHeight="1">
      <c r="E114" s="1074" t="s">
        <v>1912</v>
      </c>
      <c r="F114" s="1102" t="s">
        <v>1960</v>
      </c>
      <c r="G114" s="1113">
        <v>4000</v>
      </c>
    </row>
    <row r="115" spans="2:7" ht="15" customHeight="1">
      <c r="E115" s="1107" t="s">
        <v>1930</v>
      </c>
      <c r="F115" s="1036"/>
      <c r="G115" s="1112">
        <f>G110*G113*G114</f>
        <v>903600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t="s">
        <v>545</v>
      </c>
    </row>
    <row r="123" spans="2:7">
      <c r="B123" s="1068"/>
      <c r="C123" s="1067"/>
      <c r="E123" s="1074" t="s">
        <v>1967</v>
      </c>
      <c r="G123" s="1069" t="b">
        <f>COUNTIFS(G118:G121,"Yes")&gt;=1</f>
        <v>1</v>
      </c>
    </row>
    <row r="124" spans="2:7">
      <c r="E124" s="1067"/>
    </row>
    <row r="125" spans="2:7" ht="15">
      <c r="E125" s="1074" t="s">
        <v>1964</v>
      </c>
      <c r="F125" s="1102" t="s">
        <v>1960</v>
      </c>
      <c r="G125" s="1103">
        <f>G29</f>
        <v>112.95</v>
      </c>
    </row>
    <row r="126" spans="2:7" ht="15">
      <c r="E126" s="1074" t="s">
        <v>1912</v>
      </c>
      <c r="F126" s="1102" t="s">
        <v>1960</v>
      </c>
      <c r="G126" s="1113">
        <v>25000</v>
      </c>
    </row>
    <row r="127" spans="2:7" ht="15">
      <c r="E127" s="1107" t="s">
        <v>1931</v>
      </c>
      <c r="F127" s="1036"/>
      <c r="G127" s="1112">
        <f>G123*G126*G110</f>
        <v>2823750</v>
      </c>
    </row>
    <row r="128" spans="2:7">
      <c r="C128" s="1067"/>
      <c r="E128" s="1067"/>
    </row>
    <row r="129" spans="2:9" ht="15">
      <c r="E129" s="1107" t="s">
        <v>2208</v>
      </c>
      <c r="G129" s="1112">
        <f>G127+G115+G111</f>
        <v>5986350</v>
      </c>
    </row>
    <row r="131" spans="2:9" ht="15">
      <c r="B131" s="1056" t="s">
        <v>139</v>
      </c>
      <c r="C131" s="1057"/>
      <c r="D131" s="1057"/>
      <c r="E131" s="1057"/>
      <c r="F131" s="1057"/>
      <c r="G131" s="1057"/>
      <c r="H131" s="1057"/>
      <c r="I131" s="1058"/>
    </row>
    <row r="133" spans="2:9">
      <c r="C133" s="2696" t="s">
        <v>2175</v>
      </c>
      <c r="D133" s="2696"/>
      <c r="E133" s="2696"/>
      <c r="F133" s="2696"/>
    </row>
    <row r="134" spans="2:9">
      <c r="C134" s="2696"/>
      <c r="D134" s="2696"/>
      <c r="E134" s="2696"/>
      <c r="F134" s="2696"/>
      <c r="G134" s="1033"/>
    </row>
    <row r="135" spans="2:9" ht="14.25" customHeight="1"/>
    <row r="136" spans="2:9">
      <c r="C136" s="1034" t="s">
        <v>2177</v>
      </c>
      <c r="G136" s="2698"/>
      <c r="H136" s="2698"/>
    </row>
    <row r="137" spans="2:9">
      <c r="G137" s="2698"/>
      <c r="H137" s="2698"/>
    </row>
    <row r="138" spans="2:9">
      <c r="G138" s="2699"/>
      <c r="H138" s="2699"/>
    </row>
    <row r="140" spans="2:9">
      <c r="C140" s="2696" t="s">
        <v>2582</v>
      </c>
      <c r="D140" s="2696"/>
      <c r="E140" s="2696"/>
      <c r="F140" s="2696"/>
    </row>
    <row r="141" spans="2:9">
      <c r="C141" s="2696"/>
      <c r="D141" s="2696"/>
      <c r="E141" s="2696"/>
      <c r="F141" s="2696"/>
      <c r="G141" s="1033"/>
    </row>
    <row r="142" spans="2:9">
      <c r="C142" s="2696"/>
      <c r="D142" s="2696"/>
      <c r="E142" s="2696"/>
      <c r="F142" s="2696"/>
    </row>
    <row r="144" spans="2:9">
      <c r="C144" s="2696" t="s">
        <v>2581</v>
      </c>
      <c r="D144" s="2696"/>
      <c r="E144" s="2696"/>
      <c r="F144" s="2696"/>
    </row>
    <row r="145" spans="2:9">
      <c r="C145" s="2696"/>
      <c r="D145" s="2696"/>
      <c r="E145" s="2696"/>
      <c r="F145" s="2696"/>
      <c r="G145" s="1033"/>
    </row>
    <row r="146" spans="2:9">
      <c r="C146" s="2696"/>
      <c r="D146" s="2696"/>
      <c r="E146" s="2696"/>
      <c r="F146" s="2696"/>
    </row>
    <row r="147" spans="2:9">
      <c r="C147" s="2696"/>
      <c r="D147" s="2696"/>
      <c r="E147" s="2696"/>
      <c r="F147" s="2696"/>
    </row>
    <row r="149" spans="2:9" ht="15">
      <c r="B149" s="1056" t="s">
        <v>1969</v>
      </c>
      <c r="C149" s="1057"/>
      <c r="D149" s="1057"/>
      <c r="E149" s="1057"/>
      <c r="F149" s="1057"/>
      <c r="G149" s="1057"/>
      <c r="H149" s="1057"/>
      <c r="I149" s="1058"/>
    </row>
    <row r="151" spans="2:9">
      <c r="E151" s="1074" t="s">
        <v>582</v>
      </c>
      <c r="G151" s="1034" t="str">
        <f>IF(Application!T189="","",Application!T189)</f>
        <v>San Diego</v>
      </c>
    </row>
    <row r="152" spans="2:9">
      <c r="E152" s="1074"/>
      <c r="G152" s="1068"/>
    </row>
    <row r="153" spans="2:9">
      <c r="E153" s="1074" t="str">
        <f>"2-Bedroom "&amp;G151&amp;" County Basis Limit"</f>
        <v>2-Bedroom San Diego County Basis Limit</v>
      </c>
      <c r="G153" s="1068">
        <f>Application!R997</f>
        <v>545600</v>
      </c>
    </row>
    <row r="154" spans="2:9">
      <c r="E154" s="1074" t="s">
        <v>1968</v>
      </c>
      <c r="G154" s="1068">
        <f>MEDIAN((Application!CU160:CU217))</f>
        <v>560000</v>
      </c>
    </row>
    <row r="155" spans="2:9" ht="15">
      <c r="D155" s="1036"/>
      <c r="E155" s="1107" t="s">
        <v>1970</v>
      </c>
      <c r="F155" s="1123"/>
      <c r="G155" s="1124">
        <f>((G153-G154)/G154)*0.25</f>
        <v>-6.4285714285714285E-3</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693" t="s">
        <v>2210</v>
      </c>
      <c r="D160" s="2693"/>
      <c r="E160" s="2693"/>
      <c r="F160" s="2693"/>
    </row>
    <row r="161" spans="2:7">
      <c r="B161" s="1035"/>
      <c r="C161" s="2693"/>
      <c r="D161" s="2693"/>
      <c r="E161" s="2693"/>
      <c r="F161" s="2693"/>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2242384.1550000003</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7"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1" t="s">
        <v>909</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SRO/Studio</v>
      </c>
      <c r="B4" s="1072">
        <f>Application!G726</f>
        <v>2</v>
      </c>
      <c r="C4" s="1150"/>
      <c r="D4" s="424">
        <f>Application!O726</f>
        <v>855</v>
      </c>
      <c r="E4" s="425"/>
      <c r="F4" s="1073"/>
      <c r="G4" s="424">
        <f>F4*B4</f>
        <v>0</v>
      </c>
      <c r="H4" s="425"/>
      <c r="I4" s="424" t="str">
        <f>IF(F4=0,"",MAX((F4-D4),0))</f>
        <v/>
      </c>
      <c r="J4" s="424" t="str">
        <f t="shared" ref="J4:J27" si="0">IF(F4=0,"",(I4*B4))</f>
        <v/>
      </c>
      <c r="K4" s="204"/>
      <c r="L4" s="305"/>
    </row>
    <row r="5" spans="1:12">
      <c r="A5" s="424" t="str">
        <f>Application!B727</f>
        <v>SRO/Studio</v>
      </c>
      <c r="B5" s="1072">
        <f>Application!G727</f>
        <v>2</v>
      </c>
      <c r="C5" s="1150"/>
      <c r="D5" s="424">
        <f>Application!O727</f>
        <v>1468</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4</v>
      </c>
      <c r="C6" s="1150"/>
      <c r="D6" s="424">
        <f>Application!O728</f>
        <v>1774</v>
      </c>
      <c r="E6" s="425"/>
      <c r="F6" s="1073"/>
      <c r="G6" s="424">
        <f t="shared" si="1"/>
        <v>0</v>
      </c>
      <c r="H6" s="425"/>
      <c r="I6" s="424" t="str">
        <f t="shared" si="2"/>
        <v/>
      </c>
      <c r="J6" s="424" t="str">
        <f t="shared" si="0"/>
        <v/>
      </c>
      <c r="K6" s="204"/>
      <c r="L6" s="305"/>
    </row>
    <row r="7" spans="1:12">
      <c r="A7" s="424" t="str">
        <f>Application!B729</f>
        <v>SRO/Studio</v>
      </c>
      <c r="B7" s="1072">
        <f>Application!G729</f>
        <v>5</v>
      </c>
      <c r="C7" s="1150"/>
      <c r="D7" s="424">
        <f>Application!O729</f>
        <v>2080</v>
      </c>
      <c r="E7" s="425"/>
      <c r="F7" s="1073"/>
      <c r="G7" s="424">
        <f t="shared" si="1"/>
        <v>0</v>
      </c>
      <c r="H7" s="425"/>
      <c r="I7" s="424" t="str">
        <f t="shared" si="2"/>
        <v/>
      </c>
      <c r="J7" s="424" t="str">
        <f t="shared" si="0"/>
        <v/>
      </c>
      <c r="K7" s="204"/>
      <c r="L7" s="305"/>
    </row>
    <row r="8" spans="1:12">
      <c r="A8" s="424" t="str">
        <f>Application!B730</f>
        <v>1 Bedroom</v>
      </c>
      <c r="B8" s="1072">
        <f>Application!G730</f>
        <v>8</v>
      </c>
      <c r="C8" s="1150"/>
      <c r="D8" s="424">
        <f>Application!O730</f>
        <v>909</v>
      </c>
      <c r="E8" s="425"/>
      <c r="F8" s="1073"/>
      <c r="G8" s="424">
        <f t="shared" si="1"/>
        <v>0</v>
      </c>
      <c r="H8" s="425"/>
      <c r="I8" s="424" t="str">
        <f t="shared" si="2"/>
        <v/>
      </c>
      <c r="J8" s="424" t="str">
        <f t="shared" si="0"/>
        <v/>
      </c>
      <c r="K8" s="204"/>
      <c r="L8" s="305"/>
    </row>
    <row r="9" spans="1:12">
      <c r="A9" s="424" t="str">
        <f>Application!B731</f>
        <v>1 Bedroom</v>
      </c>
      <c r="B9" s="1072">
        <f>Application!G731</f>
        <v>8</v>
      </c>
      <c r="C9" s="1150"/>
      <c r="D9" s="424">
        <f>Application!O731</f>
        <v>1565</v>
      </c>
      <c r="E9" s="425"/>
      <c r="F9" s="1073"/>
      <c r="G9" s="424">
        <f t="shared" si="1"/>
        <v>0</v>
      </c>
      <c r="H9" s="425"/>
      <c r="I9" s="424" t="str">
        <f t="shared" si="2"/>
        <v/>
      </c>
      <c r="J9" s="424" t="str">
        <f t="shared" si="0"/>
        <v/>
      </c>
      <c r="K9" s="204"/>
      <c r="L9" s="305"/>
    </row>
    <row r="10" spans="1:12">
      <c r="A10" s="424" t="str">
        <f>Application!B732</f>
        <v>1 Bedroom</v>
      </c>
      <c r="B10" s="1072">
        <f>Application!G732</f>
        <v>35</v>
      </c>
      <c r="C10" s="1150"/>
      <c r="D10" s="424">
        <f>Application!O732</f>
        <v>1893</v>
      </c>
      <c r="E10" s="425"/>
      <c r="F10" s="1073"/>
      <c r="G10" s="424">
        <f t="shared" si="1"/>
        <v>0</v>
      </c>
      <c r="H10" s="425"/>
      <c r="I10" s="424" t="str">
        <f t="shared" si="2"/>
        <v/>
      </c>
      <c r="J10" s="424" t="str">
        <f t="shared" si="0"/>
        <v/>
      </c>
      <c r="K10" s="204"/>
      <c r="L10" s="305"/>
    </row>
    <row r="11" spans="1:12">
      <c r="A11" s="424" t="str">
        <f>Application!B733</f>
        <v>1 Bedroom</v>
      </c>
      <c r="B11" s="1072">
        <f>Application!G733</f>
        <v>14</v>
      </c>
      <c r="C11" s="1150"/>
      <c r="D11" s="424">
        <f>Application!O733</f>
        <v>2221</v>
      </c>
      <c r="E11" s="425"/>
      <c r="F11" s="1073"/>
      <c r="G11" s="424">
        <f t="shared" si="1"/>
        <v>0</v>
      </c>
      <c r="H11" s="425"/>
      <c r="I11" s="424" t="str">
        <f t="shared" si="2"/>
        <v/>
      </c>
      <c r="J11" s="424" t="str">
        <f t="shared" si="0"/>
        <v/>
      </c>
      <c r="K11" s="204"/>
      <c r="L11" s="305"/>
    </row>
    <row r="12" spans="1:12">
      <c r="A12" s="424" t="str">
        <f>Application!B734</f>
        <v>2 Bedrooms</v>
      </c>
      <c r="B12" s="1072">
        <f>Application!G734</f>
        <v>1</v>
      </c>
      <c r="C12" s="1150"/>
      <c r="D12" s="424">
        <f>Application!O734</f>
        <v>1078</v>
      </c>
      <c r="E12" s="425"/>
      <c r="F12" s="1073"/>
      <c r="G12" s="424">
        <f t="shared" si="1"/>
        <v>0</v>
      </c>
      <c r="H12" s="425"/>
      <c r="I12" s="424" t="str">
        <f t="shared" si="2"/>
        <v/>
      </c>
      <c r="J12" s="424" t="str">
        <f t="shared" si="0"/>
        <v/>
      </c>
      <c r="K12" s="204"/>
      <c r="L12" s="305"/>
    </row>
    <row r="13" spans="1:12">
      <c r="A13" s="424" t="str">
        <f>Application!B735</f>
        <v>2 Bedrooms</v>
      </c>
      <c r="B13" s="1072">
        <f>Application!G735</f>
        <v>1</v>
      </c>
      <c r="C13" s="1150"/>
      <c r="D13" s="424">
        <f>Application!O735</f>
        <v>1865</v>
      </c>
      <c r="E13" s="425"/>
      <c r="F13" s="1073"/>
      <c r="G13" s="424">
        <f t="shared" si="1"/>
        <v>0</v>
      </c>
      <c r="H13" s="425"/>
      <c r="I13" s="424" t="str">
        <f t="shared" si="2"/>
        <v/>
      </c>
      <c r="J13" s="424" t="str">
        <f t="shared" si="0"/>
        <v/>
      </c>
      <c r="K13" s="204"/>
      <c r="L13" s="305"/>
    </row>
    <row r="14" spans="1:12">
      <c r="A14" s="424" t="str">
        <f>Application!B736</f>
        <v>2 Bedrooms</v>
      </c>
      <c r="B14" s="1072">
        <f>Application!G736</f>
        <v>3</v>
      </c>
      <c r="C14" s="1150"/>
      <c r="D14" s="424">
        <f>Application!O736</f>
        <v>2259</v>
      </c>
      <c r="E14" s="425"/>
      <c r="F14" s="1073"/>
      <c r="G14" s="424">
        <f t="shared" si="1"/>
        <v>0</v>
      </c>
      <c r="H14" s="425"/>
      <c r="I14" s="424" t="str">
        <f t="shared" si="2"/>
        <v/>
      </c>
      <c r="J14" s="424" t="str">
        <f t="shared" si="0"/>
        <v/>
      </c>
      <c r="K14" s="204"/>
      <c r="L14" s="305"/>
    </row>
    <row r="15" spans="1:12">
      <c r="A15" s="424" t="str">
        <f>Application!B737</f>
        <v>2 Bedrooms</v>
      </c>
      <c r="B15" s="1072">
        <f>Application!G737</f>
        <v>24</v>
      </c>
      <c r="C15" s="1150"/>
      <c r="D15" s="424">
        <f>Application!O737</f>
        <v>2653</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212675</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02" t="s">
        <v>2420</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2200</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2" workbookViewId="0">
      <selection activeCell="W66" sqref="W66"/>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2552100</v>
      </c>
      <c r="G4" s="219">
        <f>E4*$C$4</f>
        <v>2615902.5</v>
      </c>
      <c r="I4" s="219">
        <f>G4*$C$4</f>
        <v>2681300.0625</v>
      </c>
      <c r="K4" s="219">
        <f>I4*$C$4</f>
        <v>2748332.5640624999</v>
      </c>
      <c r="M4" s="219">
        <f>K4*$C$4</f>
        <v>2817040.8781640623</v>
      </c>
      <c r="O4" s="219">
        <f>M4*$C$4</f>
        <v>2887466.9001181638</v>
      </c>
      <c r="Q4" s="219">
        <f>O4*$C$4</f>
        <v>2959653.5726211178</v>
      </c>
      <c r="S4" s="219">
        <f>Q4*$C$4</f>
        <v>3033644.9119366454</v>
      </c>
      <c r="U4" s="219">
        <f>S4*$C$4</f>
        <v>3109486.0347350612</v>
      </c>
      <c r="W4" s="219">
        <f>U4*$C$4</f>
        <v>3187223.1856034375</v>
      </c>
      <c r="Y4" s="219">
        <f>W4*$C$4</f>
        <v>3266903.7652435233</v>
      </c>
      <c r="AA4" s="219">
        <f>Y4*$C$4</f>
        <v>3348576.3593746112</v>
      </c>
      <c r="AC4" s="219">
        <f>AA4*$C$4</f>
        <v>3432290.7683589761</v>
      </c>
      <c r="AE4" s="219">
        <f>AC4*$C$4</f>
        <v>3518098.0375679503</v>
      </c>
      <c r="AG4" s="219">
        <f>AE4*$C$4</f>
        <v>3606050.4885071488</v>
      </c>
    </row>
    <row r="5" spans="1:34" s="210" customFormat="1" ht="14.25">
      <c r="B5" s="210" t="s">
        <v>838</v>
      </c>
      <c r="C5" s="238">
        <f>IF(Application!$D$211="Special Needs",(((0.1*Application!$T$212)+(0.05*(1-Application!$T$212)))),0.05)</f>
        <v>0.05</v>
      </c>
      <c r="E5" s="221">
        <f>-E4*$C$5</f>
        <v>-127605</v>
      </c>
      <c r="F5" s="221"/>
      <c r="G5" s="221">
        <f>-G4*$C$5</f>
        <v>-130795.125</v>
      </c>
      <c r="H5" s="221"/>
      <c r="I5" s="221">
        <f>-I4*$C$5</f>
        <v>-134065.00312500002</v>
      </c>
      <c r="J5" s="221"/>
      <c r="K5" s="221">
        <f>-K4*$C$5</f>
        <v>-137416.628203125</v>
      </c>
      <c r="L5" s="221"/>
      <c r="M5" s="221">
        <f>-M4*$C$5</f>
        <v>-140852.04390820311</v>
      </c>
      <c r="N5" s="221"/>
      <c r="O5" s="221">
        <f>-O4*$C$5</f>
        <v>-144373.3450059082</v>
      </c>
      <c r="P5" s="221"/>
      <c r="Q5" s="221">
        <f>-Q4*$C$5</f>
        <v>-147982.6786310559</v>
      </c>
      <c r="R5" s="221"/>
      <c r="S5" s="221">
        <f>-S4*$C$5</f>
        <v>-151682.24559683228</v>
      </c>
      <c r="T5" s="221"/>
      <c r="U5" s="221">
        <f>-U4*$C$5</f>
        <v>-155474.30173675306</v>
      </c>
      <c r="V5" s="221"/>
      <c r="W5" s="221">
        <f>-W4*$C$5</f>
        <v>-159361.15928017188</v>
      </c>
      <c r="X5" s="221"/>
      <c r="Y5" s="221">
        <f>-Y4*$C$5</f>
        <v>-163345.18826217618</v>
      </c>
      <c r="Z5" s="221"/>
      <c r="AA5" s="221">
        <f>-AA4*$C$5</f>
        <v>-167428.81796873058</v>
      </c>
      <c r="AB5" s="221"/>
      <c r="AC5" s="221">
        <f>-AC4*$C$5</f>
        <v>-171614.53841794882</v>
      </c>
      <c r="AD5" s="221"/>
      <c r="AE5" s="221">
        <f>-AE4*$C$5</f>
        <v>-175904.90187839753</v>
      </c>
      <c r="AF5" s="221"/>
      <c r="AG5" s="221">
        <f>-AG4*$C$5</f>
        <v>-180302.52442535746</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16200</v>
      </c>
      <c r="F8" s="222"/>
      <c r="G8" s="222">
        <f>E8*$C$8</f>
        <v>16605</v>
      </c>
      <c r="H8" s="222"/>
      <c r="I8" s="222">
        <f>G8*$C$8</f>
        <v>17020.125</v>
      </c>
      <c r="J8" s="222"/>
      <c r="K8" s="222">
        <f>I8*$C$8</f>
        <v>17445.628124999999</v>
      </c>
      <c r="L8" s="222"/>
      <c r="M8" s="222">
        <f>K8*$C$8</f>
        <v>17881.768828124998</v>
      </c>
      <c r="N8" s="222"/>
      <c r="O8" s="222">
        <f>M8*$C$8</f>
        <v>18328.81304882812</v>
      </c>
      <c r="P8" s="222"/>
      <c r="Q8" s="222">
        <f>O8*$C$8</f>
        <v>18787.033375048821</v>
      </c>
      <c r="R8" s="222"/>
      <c r="S8" s="222">
        <f>Q8*$C$8</f>
        <v>19256.70920942504</v>
      </c>
      <c r="T8" s="222"/>
      <c r="U8" s="222">
        <f>S8*$C$8</f>
        <v>19738.126939660666</v>
      </c>
      <c r="V8" s="222"/>
      <c r="W8" s="222">
        <f>U8*$C$8</f>
        <v>20231.58011315218</v>
      </c>
      <c r="X8" s="222"/>
      <c r="Y8" s="222">
        <f>W8*$C$8</f>
        <v>20737.369615980984</v>
      </c>
      <c r="Z8" s="222"/>
      <c r="AA8" s="222">
        <f>Y8*$C$8</f>
        <v>21255.803856380506</v>
      </c>
      <c r="AB8" s="222"/>
      <c r="AC8" s="222">
        <f>AA8*$C$8</f>
        <v>21787.198952790015</v>
      </c>
      <c r="AD8" s="222"/>
      <c r="AE8" s="222">
        <f>AC8*$C$8</f>
        <v>22331.878926609763</v>
      </c>
      <c r="AF8" s="222"/>
      <c r="AG8" s="222">
        <f>AE8*$C$8</f>
        <v>22890.175899775004</v>
      </c>
    </row>
    <row r="9" spans="1:34" s="210" customFormat="1" ht="14.25">
      <c r="B9" s="210" t="s">
        <v>838</v>
      </c>
      <c r="C9" s="238">
        <f>IF(Application!$D$211="Special Needs",(((0.1*Application!$T$212)+(0.05*(1-Application!$T$212)))),0.05)</f>
        <v>0.05</v>
      </c>
      <c r="E9" s="221">
        <f>-E8*$C$9</f>
        <v>-810</v>
      </c>
      <c r="F9" s="221"/>
      <c r="G9" s="221">
        <f>-G8*$C$9</f>
        <v>-830.25</v>
      </c>
      <c r="H9" s="221"/>
      <c r="I9" s="221">
        <f>-I8*$C$9</f>
        <v>-851.00625000000002</v>
      </c>
      <c r="J9" s="221"/>
      <c r="K9" s="221">
        <f>-K8*$C$9</f>
        <v>-872.28140625000003</v>
      </c>
      <c r="L9" s="221"/>
      <c r="M9" s="221">
        <f>-M8*$C$9</f>
        <v>-894.0884414062499</v>
      </c>
      <c r="N9" s="221"/>
      <c r="O9" s="221">
        <f>-O8*$C$9</f>
        <v>-916.44065244140609</v>
      </c>
      <c r="P9" s="221"/>
      <c r="Q9" s="221">
        <f>-Q8*$C$9</f>
        <v>-939.35166875244113</v>
      </c>
      <c r="R9" s="221"/>
      <c r="S9" s="221">
        <f>-S8*$C$9</f>
        <v>-962.83546047125208</v>
      </c>
      <c r="T9" s="221"/>
      <c r="U9" s="221">
        <f>-U8*$C$9</f>
        <v>-986.90634698303336</v>
      </c>
      <c r="V9" s="221"/>
      <c r="W9" s="221">
        <f>-W8*$C$9</f>
        <v>-1011.5790056576091</v>
      </c>
      <c r="X9" s="221"/>
      <c r="Y9" s="221">
        <f>-Y8*$C$9</f>
        <v>-1036.8684807990492</v>
      </c>
      <c r="Z9" s="221"/>
      <c r="AA9" s="221">
        <f>-AA8*$C$9</f>
        <v>-1062.7901928190254</v>
      </c>
      <c r="AB9" s="221"/>
      <c r="AC9" s="221">
        <f>-AC8*$C$9</f>
        <v>-1089.3599476395009</v>
      </c>
      <c r="AD9" s="221"/>
      <c r="AE9" s="221">
        <f>-AE8*$C$9</f>
        <v>-1116.5939463304883</v>
      </c>
      <c r="AF9" s="221"/>
      <c r="AG9" s="221">
        <f>-AG8*$C$9</f>
        <v>-1144.5087949887502</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2439885</v>
      </c>
      <c r="G11" s="223">
        <f>SUM(G4:G10)</f>
        <v>2500882.125</v>
      </c>
      <c r="I11" s="223">
        <f>SUM(I4:I10)</f>
        <v>2563404.1781250001</v>
      </c>
      <c r="K11" s="223">
        <f>SUM(K4:K10)</f>
        <v>2627489.2825781247</v>
      </c>
      <c r="M11" s="223">
        <f>SUM(M4:M10)</f>
        <v>2693176.5146425781</v>
      </c>
      <c r="O11" s="223">
        <f>SUM(O4:O10)</f>
        <v>2760505.9275086424</v>
      </c>
      <c r="Q11" s="223">
        <f>SUM(Q4:Q10)</f>
        <v>2829518.5756963585</v>
      </c>
      <c r="S11" s="223">
        <f>SUM(S4:S10)</f>
        <v>2900256.5400887667</v>
      </c>
      <c r="U11" s="223">
        <f>SUM(U4:U10)</f>
        <v>2972762.9535909863</v>
      </c>
      <c r="W11" s="223">
        <f>SUM(W4:W10)</f>
        <v>3047082.0274307597</v>
      </c>
      <c r="Y11" s="223">
        <f>SUM(Y4:Y10)</f>
        <v>3123259.0781165287</v>
      </c>
      <c r="AA11" s="223">
        <f>SUM(AA4:AA10)</f>
        <v>3201340.5550694419</v>
      </c>
      <c r="AC11" s="223">
        <f>SUM(AC4:AC10)</f>
        <v>3281374.0689461776</v>
      </c>
      <c r="AE11" s="223">
        <f>SUM(AE4:AE10)</f>
        <v>3363408.4206698318</v>
      </c>
      <c r="AG11" s="223">
        <f>SUM(AG4:AG10)</f>
        <v>3447493.6311865775</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31972</v>
      </c>
      <c r="G15" s="219">
        <f>E15*$C$14</f>
        <v>33091.019999999997</v>
      </c>
      <c r="I15" s="219">
        <f>G15*$C$14</f>
        <v>34249.205699999991</v>
      </c>
      <c r="K15" s="219">
        <f>I15*$C$14</f>
        <v>35447.927899499991</v>
      </c>
      <c r="M15" s="219">
        <f>K15*$C$14</f>
        <v>36688.605375982486</v>
      </c>
      <c r="O15" s="219">
        <f>M15*$C$14</f>
        <v>37972.706564141874</v>
      </c>
      <c r="Q15" s="219">
        <f>O15*$C$14</f>
        <v>39301.751293886839</v>
      </c>
      <c r="S15" s="219">
        <f>Q15*$C$14</f>
        <v>40677.312589172878</v>
      </c>
      <c r="U15" s="219">
        <f>S15*$C$14</f>
        <v>42101.018529793924</v>
      </c>
      <c r="W15" s="219">
        <f>U15*$C$14</f>
        <v>43574.554178336708</v>
      </c>
      <c r="Y15" s="219">
        <f>W15*$C$14</f>
        <v>45099.663574578488</v>
      </c>
      <c r="AA15" s="219">
        <f>Y15*$C$14</f>
        <v>46678.151799688734</v>
      </c>
      <c r="AC15" s="219">
        <f>AA15*$C$14</f>
        <v>48311.887112677839</v>
      </c>
      <c r="AE15" s="219">
        <f>AC15*$C$14</f>
        <v>50002.803161621559</v>
      </c>
      <c r="AG15" s="219">
        <f>AE15*$C$14</f>
        <v>51752.901272278308</v>
      </c>
    </row>
    <row r="16" spans="1:34" s="210" customFormat="1" ht="14.25">
      <c r="A16" s="210" t="s">
        <v>344</v>
      </c>
      <c r="C16" s="233"/>
      <c r="E16" s="222">
        <f>Application!W857</f>
        <v>84800</v>
      </c>
      <c r="F16" s="222"/>
      <c r="G16" s="222">
        <f t="shared" ref="G16:AG21" si="0">E16*$C$14</f>
        <v>87768</v>
      </c>
      <c r="H16" s="222"/>
      <c r="I16" s="222">
        <f t="shared" si="0"/>
        <v>90839.87999999999</v>
      </c>
      <c r="J16" s="222"/>
      <c r="K16" s="222">
        <f t="shared" si="0"/>
        <v>94019.275799999989</v>
      </c>
      <c r="L16" s="222"/>
      <c r="M16" s="222">
        <f t="shared" si="0"/>
        <v>97309.950452999983</v>
      </c>
      <c r="N16" s="222"/>
      <c r="O16" s="222">
        <f t="shared" si="0"/>
        <v>100715.79871885497</v>
      </c>
      <c r="P16" s="222"/>
      <c r="Q16" s="222">
        <f t="shared" si="0"/>
        <v>104240.85167401489</v>
      </c>
      <c r="R16" s="222"/>
      <c r="S16" s="222">
        <f t="shared" si="0"/>
        <v>107889.28148260541</v>
      </c>
      <c r="T16" s="222"/>
      <c r="U16" s="222">
        <f t="shared" si="0"/>
        <v>111665.40633449658</v>
      </c>
      <c r="V16" s="222"/>
      <c r="W16" s="222">
        <f t="shared" si="0"/>
        <v>115573.69555620395</v>
      </c>
      <c r="X16" s="222"/>
      <c r="Y16" s="222">
        <f t="shared" si="0"/>
        <v>119618.77490067108</v>
      </c>
      <c r="Z16" s="222"/>
      <c r="AA16" s="222">
        <f t="shared" si="0"/>
        <v>123805.43202219455</v>
      </c>
      <c r="AB16" s="222"/>
      <c r="AC16" s="222">
        <f t="shared" si="0"/>
        <v>128138.62214297135</v>
      </c>
      <c r="AD16" s="222"/>
      <c r="AE16" s="222">
        <f t="shared" si="0"/>
        <v>132623.47391797532</v>
      </c>
      <c r="AF16" s="222"/>
      <c r="AG16" s="222">
        <f t="shared" si="0"/>
        <v>137265.29550510444</v>
      </c>
    </row>
    <row r="17" spans="1:33" s="210" customFormat="1" ht="14.25">
      <c r="A17" s="210" t="s">
        <v>561</v>
      </c>
      <c r="C17" s="233"/>
      <c r="E17" s="222">
        <f>Application!W863</f>
        <v>137700</v>
      </c>
      <c r="F17" s="222"/>
      <c r="G17" s="222">
        <f t="shared" si="0"/>
        <v>142519.5</v>
      </c>
      <c r="H17" s="222"/>
      <c r="I17" s="222">
        <f t="shared" si="0"/>
        <v>147507.6825</v>
      </c>
      <c r="J17" s="222"/>
      <c r="K17" s="222">
        <f t="shared" si="0"/>
        <v>152670.45138749998</v>
      </c>
      <c r="L17" s="222"/>
      <c r="M17" s="222">
        <f t="shared" si="0"/>
        <v>158013.91718606246</v>
      </c>
      <c r="N17" s="222"/>
      <c r="O17" s="222">
        <f t="shared" si="0"/>
        <v>163544.40428757464</v>
      </c>
      <c r="P17" s="222"/>
      <c r="Q17" s="222">
        <f t="shared" si="0"/>
        <v>169268.45843763973</v>
      </c>
      <c r="R17" s="222"/>
      <c r="S17" s="222">
        <f t="shared" si="0"/>
        <v>175192.8544829571</v>
      </c>
      <c r="T17" s="222"/>
      <c r="U17" s="222">
        <f t="shared" si="0"/>
        <v>181324.60438986059</v>
      </c>
      <c r="V17" s="222"/>
      <c r="W17" s="222">
        <f t="shared" si="0"/>
        <v>187670.96554350568</v>
      </c>
      <c r="X17" s="222"/>
      <c r="Y17" s="222">
        <f t="shared" si="0"/>
        <v>194239.44933752835</v>
      </c>
      <c r="Z17" s="222"/>
      <c r="AA17" s="222">
        <f t="shared" si="0"/>
        <v>201037.83006434183</v>
      </c>
      <c r="AB17" s="222"/>
      <c r="AC17" s="222">
        <f t="shared" si="0"/>
        <v>208074.15411659377</v>
      </c>
      <c r="AD17" s="222"/>
      <c r="AE17" s="222">
        <f t="shared" si="0"/>
        <v>215356.74951067453</v>
      </c>
      <c r="AF17" s="222"/>
      <c r="AG17" s="222">
        <f t="shared" si="0"/>
        <v>222894.23574354814</v>
      </c>
    </row>
    <row r="18" spans="1:33" s="210" customFormat="1" ht="14.25">
      <c r="A18" s="210" t="s">
        <v>842</v>
      </c>
      <c r="C18" s="233"/>
      <c r="E18" s="222">
        <f>Application!W870</f>
        <v>125540</v>
      </c>
      <c r="F18" s="222"/>
      <c r="G18" s="222">
        <f t="shared" si="0"/>
        <v>129933.9</v>
      </c>
      <c r="H18" s="222"/>
      <c r="I18" s="222">
        <f t="shared" si="0"/>
        <v>134481.58649999998</v>
      </c>
      <c r="J18" s="222"/>
      <c r="K18" s="222">
        <f t="shared" si="0"/>
        <v>139188.44202749996</v>
      </c>
      <c r="L18" s="222"/>
      <c r="M18" s="222">
        <f t="shared" si="0"/>
        <v>144060.03749846245</v>
      </c>
      <c r="N18" s="222"/>
      <c r="O18" s="222">
        <f t="shared" si="0"/>
        <v>149102.13881090863</v>
      </c>
      <c r="P18" s="222"/>
      <c r="Q18" s="222">
        <f t="shared" si="0"/>
        <v>154320.71366929042</v>
      </c>
      <c r="R18" s="222"/>
      <c r="S18" s="222">
        <f t="shared" si="0"/>
        <v>159721.93864771558</v>
      </c>
      <c r="T18" s="222"/>
      <c r="U18" s="222">
        <f t="shared" si="0"/>
        <v>165312.2065003856</v>
      </c>
      <c r="V18" s="222"/>
      <c r="W18" s="222">
        <f t="shared" si="0"/>
        <v>171098.13372789908</v>
      </c>
      <c r="X18" s="222"/>
      <c r="Y18" s="222">
        <f t="shared" si="0"/>
        <v>177086.56840837555</v>
      </c>
      <c r="Z18" s="222"/>
      <c r="AA18" s="222">
        <f t="shared" si="0"/>
        <v>183284.59830266869</v>
      </c>
      <c r="AB18" s="222"/>
      <c r="AC18" s="222">
        <f t="shared" si="0"/>
        <v>189699.55924326208</v>
      </c>
      <c r="AD18" s="222"/>
      <c r="AE18" s="222">
        <f t="shared" si="0"/>
        <v>196339.04381677625</v>
      </c>
      <c r="AF18" s="222"/>
      <c r="AG18" s="222">
        <f t="shared" si="0"/>
        <v>203210.91035036341</v>
      </c>
    </row>
    <row r="19" spans="1:33" s="210" customFormat="1" ht="14.25">
      <c r="A19" s="210" t="s">
        <v>155</v>
      </c>
      <c r="C19" s="233"/>
      <c r="E19" s="222">
        <f>Application!W872</f>
        <v>48600</v>
      </c>
      <c r="F19" s="222"/>
      <c r="G19" s="222">
        <f t="shared" si="0"/>
        <v>50300.999999999993</v>
      </c>
      <c r="H19" s="222"/>
      <c r="I19" s="222">
        <f t="shared" si="0"/>
        <v>52061.534999999989</v>
      </c>
      <c r="J19" s="222"/>
      <c r="K19" s="222">
        <f t="shared" si="0"/>
        <v>53883.688724999985</v>
      </c>
      <c r="L19" s="222"/>
      <c r="M19" s="222">
        <f t="shared" si="0"/>
        <v>55769.617830374984</v>
      </c>
      <c r="N19" s="222"/>
      <c r="O19" s="222">
        <f t="shared" si="0"/>
        <v>57721.554454438105</v>
      </c>
      <c r="P19" s="222"/>
      <c r="Q19" s="222">
        <f t="shared" si="0"/>
        <v>59741.808860343437</v>
      </c>
      <c r="R19" s="222"/>
      <c r="S19" s="222">
        <f t="shared" si="0"/>
        <v>61832.77217045545</v>
      </c>
      <c r="T19" s="222"/>
      <c r="U19" s="222">
        <f t="shared" si="0"/>
        <v>63996.919196421382</v>
      </c>
      <c r="V19" s="222"/>
      <c r="W19" s="222">
        <f t="shared" si="0"/>
        <v>66236.811368296127</v>
      </c>
      <c r="X19" s="222"/>
      <c r="Y19" s="222">
        <f t="shared" si="0"/>
        <v>68555.099766186482</v>
      </c>
      <c r="Z19" s="222"/>
      <c r="AA19" s="222">
        <f t="shared" si="0"/>
        <v>70954.528258003003</v>
      </c>
      <c r="AB19" s="222"/>
      <c r="AC19" s="222">
        <f t="shared" si="0"/>
        <v>73437.936747033105</v>
      </c>
      <c r="AD19" s="222"/>
      <c r="AE19" s="222">
        <f t="shared" si="0"/>
        <v>76008.264533179259</v>
      </c>
      <c r="AF19" s="222"/>
      <c r="AG19" s="222">
        <f t="shared" si="0"/>
        <v>78668.553791840532</v>
      </c>
    </row>
    <row r="20" spans="1:33" s="210" customFormat="1" ht="14.25">
      <c r="A20" s="210" t="s">
        <v>390</v>
      </c>
      <c r="C20" s="233"/>
      <c r="E20" s="222">
        <f>Application!W881</f>
        <v>252700</v>
      </c>
      <c r="F20" s="222"/>
      <c r="G20" s="222">
        <f t="shared" si="0"/>
        <v>261544.49999999997</v>
      </c>
      <c r="H20" s="222"/>
      <c r="I20" s="222">
        <f t="shared" si="0"/>
        <v>270698.55749999994</v>
      </c>
      <c r="J20" s="222"/>
      <c r="K20" s="222">
        <f t="shared" si="0"/>
        <v>280173.0070124999</v>
      </c>
      <c r="L20" s="222"/>
      <c r="M20" s="222">
        <f t="shared" si="0"/>
        <v>289979.06225793739</v>
      </c>
      <c r="N20" s="222"/>
      <c r="O20" s="222">
        <f t="shared" si="0"/>
        <v>300128.32943696517</v>
      </c>
      <c r="P20" s="222"/>
      <c r="Q20" s="222">
        <f t="shared" si="0"/>
        <v>310632.82096725894</v>
      </c>
      <c r="R20" s="222"/>
      <c r="S20" s="222">
        <f t="shared" si="0"/>
        <v>321504.969701113</v>
      </c>
      <c r="T20" s="222"/>
      <c r="U20" s="222">
        <f t="shared" si="0"/>
        <v>332757.64364065195</v>
      </c>
      <c r="V20" s="222"/>
      <c r="W20" s="222">
        <f t="shared" si="0"/>
        <v>344404.16116807476</v>
      </c>
      <c r="X20" s="222"/>
      <c r="Y20" s="222">
        <f t="shared" si="0"/>
        <v>356458.30680895736</v>
      </c>
      <c r="Z20" s="222"/>
      <c r="AA20" s="222">
        <f t="shared" si="0"/>
        <v>368934.34754727082</v>
      </c>
      <c r="AB20" s="222"/>
      <c r="AC20" s="222">
        <f t="shared" si="0"/>
        <v>381847.04971142526</v>
      </c>
      <c r="AD20" s="222"/>
      <c r="AE20" s="222">
        <f t="shared" si="0"/>
        <v>395211.69645132514</v>
      </c>
      <c r="AF20" s="222"/>
      <c r="AG20" s="222">
        <f t="shared" si="0"/>
        <v>409044.10582712147</v>
      </c>
    </row>
    <row r="21" spans="1:33" s="210" customFormat="1" ht="14.25">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843</v>
      </c>
      <c r="C22" s="233"/>
      <c r="E22" s="223">
        <f>SUM(E15:E21)</f>
        <v>681312</v>
      </c>
      <c r="G22" s="223">
        <f>SUM(G15:G21)</f>
        <v>705157.92</v>
      </c>
      <c r="I22" s="223">
        <f>SUM(I15:I21)</f>
        <v>729838.44719999982</v>
      </c>
      <c r="K22" s="223">
        <f>SUM(K15:K21)</f>
        <v>755382.79285199987</v>
      </c>
      <c r="M22" s="223">
        <f>SUM(M15:M21)</f>
        <v>781821.19060181978</v>
      </c>
      <c r="O22" s="223">
        <f>SUM(O15:O21)</f>
        <v>809184.93227288336</v>
      </c>
      <c r="Q22" s="223">
        <f>SUM(Q15:Q21)</f>
        <v>837506.40490243421</v>
      </c>
      <c r="S22" s="223">
        <f>SUM(S15:S21)</f>
        <v>866819.12907401938</v>
      </c>
      <c r="U22" s="223">
        <f>SUM(U15:U21)</f>
        <v>897157.79859161004</v>
      </c>
      <c r="W22" s="223">
        <f>SUM(W15:W21)</f>
        <v>928558.32154231635</v>
      </c>
      <c r="Y22" s="223">
        <f>SUM(Y15:Y21)</f>
        <v>961057.8627962973</v>
      </c>
      <c r="AA22" s="223">
        <f>SUM(AA15:AA21)</f>
        <v>994694.88799416763</v>
      </c>
      <c r="AC22" s="223">
        <f>SUM(AC15:AC21)</f>
        <v>1029509.2090739633</v>
      </c>
      <c r="AE22" s="223">
        <f>SUM(AE15:AE21)</f>
        <v>1065542.031391552</v>
      </c>
      <c r="AG22" s="223">
        <f>SUM(AG15:AG21)</f>
        <v>1102836.0024902564</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18000</v>
      </c>
      <c r="F27" s="222"/>
      <c r="G27" s="222">
        <f>E27*$C$27</f>
        <v>18630</v>
      </c>
      <c r="H27" s="222"/>
      <c r="I27" s="222">
        <f>G27*$C$27</f>
        <v>19282.05</v>
      </c>
      <c r="J27" s="222"/>
      <c r="K27" s="222">
        <f>I27*$C$27</f>
        <v>19956.921749999998</v>
      </c>
      <c r="L27" s="222"/>
      <c r="M27" s="222">
        <f>K27*$C$27</f>
        <v>20655.414011249995</v>
      </c>
      <c r="N27" s="222"/>
      <c r="O27" s="222">
        <f>M27*$C$27</f>
        <v>21378.353501643742</v>
      </c>
      <c r="P27" s="222"/>
      <c r="Q27" s="222">
        <f>O27*$C$27</f>
        <v>22126.59587420127</v>
      </c>
      <c r="R27" s="222"/>
      <c r="S27" s="222">
        <f>Q27*$C$27</f>
        <v>22901.026729798312</v>
      </c>
      <c r="T27" s="222"/>
      <c r="U27" s="222">
        <f>S27*$C$27</f>
        <v>23702.562665341251</v>
      </c>
      <c r="V27" s="222"/>
      <c r="W27" s="222">
        <f>U27*$C$27</f>
        <v>24532.152358628195</v>
      </c>
      <c r="X27" s="222"/>
      <c r="Y27" s="222">
        <f>W27*$C$27</f>
        <v>25390.777691180181</v>
      </c>
      <c r="Z27" s="222"/>
      <c r="AA27" s="222">
        <f>Y27*$C$27</f>
        <v>26279.454910371485</v>
      </c>
      <c r="AB27" s="222"/>
      <c r="AC27" s="222">
        <f>AA27*$C$27</f>
        <v>27199.235832234484</v>
      </c>
      <c r="AD27" s="222"/>
      <c r="AE27" s="222">
        <f>AC27*$C$27</f>
        <v>28151.209086362691</v>
      </c>
      <c r="AF27" s="222"/>
      <c r="AG27" s="222">
        <f>AE27*$C$27</f>
        <v>29136.501404385384</v>
      </c>
    </row>
    <row r="28" spans="1:33" s="210" customFormat="1" ht="14.25">
      <c r="A28" s="210" t="s">
        <v>846</v>
      </c>
      <c r="C28" s="237"/>
      <c r="E28" s="222">
        <f>Application!AC898</f>
        <v>27000</v>
      </c>
      <c r="F28" s="222"/>
      <c r="G28" s="222">
        <f>$E$28</f>
        <v>27000</v>
      </c>
      <c r="H28" s="222"/>
      <c r="I28" s="222">
        <f>$E$28</f>
        <v>27000</v>
      </c>
      <c r="J28" s="222"/>
      <c r="K28" s="222">
        <f>$E$28</f>
        <v>27000</v>
      </c>
      <c r="L28" s="222"/>
      <c r="M28" s="222">
        <f>$E$28</f>
        <v>27000</v>
      </c>
      <c r="N28" s="222"/>
      <c r="O28" s="222">
        <f>$E$28</f>
        <v>27000</v>
      </c>
      <c r="P28" s="222"/>
      <c r="Q28" s="222">
        <f>$E$28</f>
        <v>27000</v>
      </c>
      <c r="R28" s="222"/>
      <c r="S28" s="222">
        <f>$E$28</f>
        <v>27000</v>
      </c>
      <c r="T28" s="222"/>
      <c r="U28" s="222">
        <f>$E$28</f>
        <v>27000</v>
      </c>
      <c r="V28" s="222"/>
      <c r="W28" s="222">
        <f>$E$28</f>
        <v>27000</v>
      </c>
      <c r="X28" s="222"/>
      <c r="Y28" s="222">
        <f>$E$28</f>
        <v>27000</v>
      </c>
      <c r="Z28" s="222"/>
      <c r="AA28" s="222">
        <f>$E$28</f>
        <v>27000</v>
      </c>
      <c r="AB28" s="222"/>
      <c r="AC28" s="222">
        <f>$E$28</f>
        <v>27000</v>
      </c>
      <c r="AD28" s="222"/>
      <c r="AE28" s="222">
        <f>$E$28</f>
        <v>27000</v>
      </c>
      <c r="AF28" s="222"/>
      <c r="AG28" s="222">
        <f>$E$28</f>
        <v>27000</v>
      </c>
    </row>
    <row r="29" spans="1:33" s="210" customFormat="1" ht="14.25">
      <c r="A29" s="210" t="s">
        <v>1668</v>
      </c>
      <c r="C29" s="237"/>
      <c r="E29" s="222">
        <f>Application!AC899</f>
        <v>15750</v>
      </c>
      <c r="F29" s="222"/>
      <c r="G29" s="222">
        <f>$E$29</f>
        <v>15750</v>
      </c>
      <c r="H29" s="222"/>
      <c r="I29" s="222">
        <f>$E$29</f>
        <v>15750</v>
      </c>
      <c r="J29" s="222"/>
      <c r="K29" s="222">
        <f>$E$29</f>
        <v>15750</v>
      </c>
      <c r="L29" s="222"/>
      <c r="M29" s="222">
        <f>$E$29</f>
        <v>15750</v>
      </c>
      <c r="N29" s="222"/>
      <c r="O29" s="222">
        <f>$E$29</f>
        <v>15750</v>
      </c>
      <c r="P29" s="222"/>
      <c r="Q29" s="222">
        <f>$E$29</f>
        <v>15750</v>
      </c>
      <c r="R29" s="222"/>
      <c r="S29" s="222">
        <f>$E$29</f>
        <v>15750</v>
      </c>
      <c r="T29" s="222"/>
      <c r="U29" s="222">
        <f>$E$29</f>
        <v>15750</v>
      </c>
      <c r="V29" s="222"/>
      <c r="W29" s="222">
        <f>$E$29</f>
        <v>15750</v>
      </c>
      <c r="X29" s="222"/>
      <c r="Y29" s="222">
        <f>$E$29</f>
        <v>15750</v>
      </c>
      <c r="Z29" s="222"/>
      <c r="AA29" s="222">
        <f>$E$29</f>
        <v>15750</v>
      </c>
      <c r="AB29" s="222"/>
      <c r="AC29" s="222">
        <f>$E$29</f>
        <v>15750</v>
      </c>
      <c r="AD29" s="222"/>
      <c r="AE29" s="222">
        <f>$E$29</f>
        <v>15750</v>
      </c>
      <c r="AF29" s="222"/>
      <c r="AG29" s="222">
        <f>$E$29</f>
        <v>15750</v>
      </c>
    </row>
    <row r="30" spans="1:33" s="210" customFormat="1" ht="14.25">
      <c r="A30" s="210" t="s">
        <v>844</v>
      </c>
      <c r="C30" s="237">
        <v>1.02</v>
      </c>
      <c r="E30" s="222">
        <f>Application!AC900</f>
        <v>67938</v>
      </c>
      <c r="F30" s="222"/>
      <c r="G30" s="222">
        <f>E30*$C$30</f>
        <v>69296.759999999995</v>
      </c>
      <c r="H30" s="222"/>
      <c r="I30" s="222">
        <f>G30*$C$30</f>
        <v>70682.695200000002</v>
      </c>
      <c r="J30" s="222"/>
      <c r="K30" s="222">
        <f>I30*$C$30</f>
        <v>72096.349104000008</v>
      </c>
      <c r="L30" s="222"/>
      <c r="M30" s="222">
        <f>K30*$C$30</f>
        <v>73538.276086080004</v>
      </c>
      <c r="N30" s="222"/>
      <c r="O30" s="222">
        <f>M30*$C$30</f>
        <v>75009.041607801599</v>
      </c>
      <c r="P30" s="222"/>
      <c r="Q30" s="222">
        <f>O30*$C$30</f>
        <v>76509.222439957637</v>
      </c>
      <c r="R30" s="222"/>
      <c r="S30" s="222">
        <f>Q30*$C$30</f>
        <v>78039.406888756785</v>
      </c>
      <c r="T30" s="222"/>
      <c r="U30" s="222">
        <f>S30*$C$30</f>
        <v>79600.195026531917</v>
      </c>
      <c r="V30" s="222"/>
      <c r="W30" s="222">
        <f>U30*$C$30</f>
        <v>81192.198927062564</v>
      </c>
      <c r="X30" s="222"/>
      <c r="Y30" s="222">
        <f>W30*$C$30</f>
        <v>82816.042905603812</v>
      </c>
      <c r="Z30" s="222"/>
      <c r="AA30" s="222">
        <f>Y30*$C$30</f>
        <v>84472.363763715883</v>
      </c>
      <c r="AB30" s="222"/>
      <c r="AC30" s="222">
        <f>AA30*$C$30</f>
        <v>86161.811038990199</v>
      </c>
      <c r="AD30" s="222"/>
      <c r="AE30" s="222">
        <f>AC30*$C$30</f>
        <v>87885.047259769999</v>
      </c>
      <c r="AF30" s="222"/>
      <c r="AG30" s="222">
        <f>AE30*$C$30</f>
        <v>89642.748204965406</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810000</v>
      </c>
      <c r="G35" s="223">
        <f>SUM(G22:G33)</f>
        <v>835834.68</v>
      </c>
      <c r="I35" s="223">
        <f>SUM(I22:I33)</f>
        <v>862553.19239999983</v>
      </c>
      <c r="K35" s="223">
        <f>SUM(K22:K33)</f>
        <v>890186.06370599987</v>
      </c>
      <c r="M35" s="223">
        <f>SUM(M22:M33)</f>
        <v>918764.8806991498</v>
      </c>
      <c r="O35" s="223">
        <f>SUM(O22:O33)</f>
        <v>948322.32738232869</v>
      </c>
      <c r="Q35" s="223">
        <f>SUM(Q22:Q33)</f>
        <v>978892.22321659315</v>
      </c>
      <c r="S35" s="223">
        <f>SUM(S22:S33)</f>
        <v>1010509.5626925745</v>
      </c>
      <c r="U35" s="223">
        <f>SUM(U22:U33)</f>
        <v>1043210.5562834833</v>
      </c>
      <c r="W35" s="223">
        <f>SUM(W22:W33)</f>
        <v>1077032.672828007</v>
      </c>
      <c r="Y35" s="223">
        <f>SUM(Y22:Y33)</f>
        <v>1112014.6833930814</v>
      </c>
      <c r="AA35" s="223">
        <f>SUM(AA22:AA33)</f>
        <v>1148196.7066682549</v>
      </c>
      <c r="AC35" s="223">
        <f>SUM(AC22:AC33)</f>
        <v>1185620.255945188</v>
      </c>
      <c r="AE35" s="223">
        <f>SUM(AE22:AE33)</f>
        <v>1224328.2877376848</v>
      </c>
      <c r="AG35" s="223">
        <f>SUM(AG22:AG33)</f>
        <v>1264365.2520996071</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1629885</v>
      </c>
      <c r="G37" s="223">
        <f>G11-G35</f>
        <v>1665047.4449999998</v>
      </c>
      <c r="I37" s="223">
        <f>I11-I35</f>
        <v>1700850.9857250003</v>
      </c>
      <c r="K37" s="223">
        <f>K11-K35</f>
        <v>1737303.2188721248</v>
      </c>
      <c r="M37" s="223">
        <f>M11-M35</f>
        <v>1774411.6339434283</v>
      </c>
      <c r="O37" s="223">
        <f>O11-O35</f>
        <v>1812183.6001263137</v>
      </c>
      <c r="Q37" s="223">
        <f>Q11-Q35</f>
        <v>1850626.3524797652</v>
      </c>
      <c r="S37" s="223">
        <f>S11-S35</f>
        <v>1889746.9773961923</v>
      </c>
      <c r="U37" s="223">
        <f>U11-U35</f>
        <v>1929552.397307503</v>
      </c>
      <c r="W37" s="223">
        <f>W11-W35</f>
        <v>1970049.3546027527</v>
      </c>
      <c r="Y37" s="223">
        <f>Y11-Y35</f>
        <v>2011244.3947234473</v>
      </c>
      <c r="AA37" s="223">
        <f>AA11-AA35</f>
        <v>2053143.848401187</v>
      </c>
      <c r="AC37" s="223">
        <f>AC11-AC35</f>
        <v>2095753.8130009896</v>
      </c>
      <c r="AE37" s="223">
        <f>AE11-AE35</f>
        <v>2139080.132932147</v>
      </c>
      <c r="AG37" s="223">
        <f>AG11-AG35</f>
        <v>2183128.3790869704</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Citibank, N.A.</v>
      </c>
      <c r="B40" s="226"/>
      <c r="C40" s="220"/>
      <c r="E40" s="222">
        <f>Application!AF635</f>
        <v>1369968</v>
      </c>
      <c r="F40" s="222"/>
      <c r="G40" s="222">
        <f>$E$40</f>
        <v>1369968</v>
      </c>
      <c r="H40" s="222"/>
      <c r="I40" s="222">
        <f>$E$40</f>
        <v>1369968</v>
      </c>
      <c r="J40" s="222"/>
      <c r="K40" s="222">
        <f>$E$40</f>
        <v>1369968</v>
      </c>
      <c r="L40" s="222"/>
      <c r="M40" s="222">
        <f>$E$40</f>
        <v>1369968</v>
      </c>
      <c r="N40" s="222"/>
      <c r="O40" s="222">
        <f>$E$40</f>
        <v>1369968</v>
      </c>
      <c r="P40" s="222"/>
      <c r="Q40" s="222">
        <f>$E$40</f>
        <v>1369968</v>
      </c>
      <c r="R40" s="222"/>
      <c r="S40" s="222">
        <f>$E$40</f>
        <v>1369968</v>
      </c>
      <c r="T40" s="222"/>
      <c r="U40" s="222">
        <f>$E$40</f>
        <v>1369968</v>
      </c>
      <c r="V40" s="222"/>
      <c r="W40" s="222">
        <f>$E$40</f>
        <v>1369968</v>
      </c>
      <c r="X40" s="222"/>
      <c r="Y40" s="222">
        <f>$E$40</f>
        <v>1369968</v>
      </c>
      <c r="Z40" s="222"/>
      <c r="AA40" s="222">
        <f>$E$40</f>
        <v>1369968</v>
      </c>
      <c r="AB40" s="222"/>
      <c r="AC40" s="222">
        <f>$E$40</f>
        <v>1369968</v>
      </c>
      <c r="AD40" s="222"/>
      <c r="AE40" s="222">
        <f>$E$40</f>
        <v>1369968</v>
      </c>
      <c r="AF40" s="222"/>
      <c r="AG40" s="222">
        <f>$E$40</f>
        <v>1369968</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1369968</v>
      </c>
      <c r="G43" s="223">
        <f>SUM(G40:G42)</f>
        <v>1369968</v>
      </c>
      <c r="I43" s="223">
        <f>SUM(I40:I42)</f>
        <v>1369968</v>
      </c>
      <c r="K43" s="223">
        <f>SUM(K40:K42)</f>
        <v>1369968</v>
      </c>
      <c r="M43" s="223">
        <f>SUM(M40:M42)</f>
        <v>1369968</v>
      </c>
      <c r="O43" s="223">
        <f>SUM(O40:O42)</f>
        <v>1369968</v>
      </c>
      <c r="Q43" s="223">
        <f>SUM(Q40:Q42)</f>
        <v>1369968</v>
      </c>
      <c r="S43" s="223">
        <f>SUM(S40:S42)</f>
        <v>1369968</v>
      </c>
      <c r="U43" s="223">
        <f>SUM(U40:U42)</f>
        <v>1369968</v>
      </c>
      <c r="W43" s="223">
        <f>SUM(W40:W42)</f>
        <v>1369968</v>
      </c>
      <c r="Y43" s="223">
        <f>SUM(Y40:Y42)</f>
        <v>1369968</v>
      </c>
      <c r="AA43" s="223">
        <f>SUM(AA40:AA42)</f>
        <v>1369968</v>
      </c>
      <c r="AC43" s="223">
        <f>SUM(AC40:AC42)</f>
        <v>1369968</v>
      </c>
      <c r="AE43" s="223">
        <f>SUM(AE40:AE42)</f>
        <v>1369968</v>
      </c>
      <c r="AG43" s="223">
        <f>SUM(AG40:AG42)</f>
        <v>1369968</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259917</v>
      </c>
      <c r="G45" s="223">
        <f>G37-G43</f>
        <v>295079.44499999983</v>
      </c>
      <c r="I45" s="223">
        <f>I37-I43</f>
        <v>330882.98572500027</v>
      </c>
      <c r="K45" s="223">
        <f>K37-K43</f>
        <v>367335.21887212479</v>
      </c>
      <c r="M45" s="223">
        <f>M37-M43</f>
        <v>404443.63394342829</v>
      </c>
      <c r="O45" s="223">
        <f>O37-O43</f>
        <v>442215.60012631374</v>
      </c>
      <c r="Q45" s="223">
        <f>Q37-Q43</f>
        <v>480658.35247976519</v>
      </c>
      <c r="S45" s="223">
        <f>S37-S43</f>
        <v>519778.97739619226</v>
      </c>
      <c r="U45" s="223">
        <f>U37-U43</f>
        <v>559584.39730750304</v>
      </c>
      <c r="W45" s="223">
        <f>W37-W43</f>
        <v>600081.35460275272</v>
      </c>
      <c r="Y45" s="223">
        <f>Y37-Y43</f>
        <v>641276.39472344727</v>
      </c>
      <c r="AA45" s="223">
        <f>AA37-AA43</f>
        <v>683175.84840118699</v>
      </c>
      <c r="AC45" s="223">
        <f>AC37-AC43</f>
        <v>725785.81300098961</v>
      </c>
      <c r="AE45" s="223">
        <f>AE37-AE43</f>
        <v>769112.13293214701</v>
      </c>
      <c r="AG45" s="223">
        <f>AG37-AG43</f>
        <v>813160.37908697035</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0.10120196238757155</v>
      </c>
      <c r="G47" s="227">
        <f>G45/(G4+G6+G8)</f>
        <v>0.11209063791841042</v>
      </c>
      <c r="I47" s="227">
        <f>I45/(I4+I6+I8)</f>
        <v>0.12262554579616593</v>
      </c>
      <c r="K47" s="227">
        <f>K45/(K4+K6+K8)</f>
        <v>0.13281441726228715</v>
      </c>
      <c r="M47" s="227">
        <f>M45/(M4+M6+M8)</f>
        <v>0.14266478641755437</v>
      </c>
      <c r="O47" s="227">
        <f>O45/(O4+O6+O8)</f>
        <v>0.15218399494586227</v>
      </c>
      <c r="Q47" s="227">
        <f>Q45/(Q4+Q6+Q8)</f>
        <v>0.1613791967219721</v>
      </c>
      <c r="S47" s="227">
        <f>S45/(S4+S6+S8)</f>
        <v>0.17025736230604946</v>
      </c>
      <c r="U47" s="227">
        <f>U45/(U4+U6+U8)</f>
        <v>0.17882528332774358</v>
      </c>
      <c r="W47" s="227">
        <f>W45/(W4+W6+W8)</f>
        <v>0.18708957676249138</v>
      </c>
      <c r="Y47" s="227">
        <f>Y45/(Y4+Y6+Y8)</f>
        <v>0.19505668910267238</v>
      </c>
      <c r="AA47" s="227">
        <f>AA45/(AA4+AA6+AA8)</f>
        <v>0.2027329004261621</v>
      </c>
      <c r="AC47" s="227">
        <f>AC45/(AC4+AC6+AC8)</f>
        <v>0.21012432836478587</v>
      </c>
      <c r="AE47" s="227">
        <f>AE45/(AE4+AE6+AE8)</f>
        <v>0.21723693197510263</v>
      </c>
      <c r="AG47" s="227">
        <f>AG45/(AG4+AG6+AG8)</f>
        <v>0.22407651551389163</v>
      </c>
    </row>
    <row r="48" spans="1:33" s="227" customFormat="1" ht="14.25">
      <c r="A48" s="227" t="s">
        <v>852</v>
      </c>
      <c r="C48" s="220"/>
      <c r="E48" s="227">
        <f>E45/E43</f>
        <v>0.18972486948600259</v>
      </c>
      <c r="G48" s="227">
        <f>G45/G43</f>
        <v>0.21539148724641732</v>
      </c>
      <c r="I48" s="227">
        <f>I45/I43</f>
        <v>0.2415260690213204</v>
      </c>
      <c r="K48" s="227">
        <f>K45/K43</f>
        <v>0.26813415997463064</v>
      </c>
      <c r="M48" s="227">
        <f>M45/M43</f>
        <v>0.29522122702386355</v>
      </c>
      <c r="O48" s="227">
        <f>O45/O43</f>
        <v>0.32279264926356949</v>
      </c>
      <c r="Q48" s="227">
        <f>Q45/Q43</f>
        <v>0.3508537078820565</v>
      </c>
      <c r="S48" s="227">
        <f>S45/S43</f>
        <v>0.37940957554935023</v>
      </c>
      <c r="U48" s="227">
        <f>U45/U43</f>
        <v>0.40846530525348257</v>
      </c>
      <c r="W48" s="227">
        <f>W45/W43</f>
        <v>0.43802581856127493</v>
      </c>
      <c r="Y48" s="227">
        <f>Y45/Y43</f>
        <v>0.46809589327885559</v>
      </c>
      <c r="AA48" s="227">
        <f>AA45/AA43</f>
        <v>0.49868015048613323</v>
      </c>
      <c r="AC48" s="227">
        <f>AC45/AC43</f>
        <v>0.5297830409184664</v>
      </c>
      <c r="AE48" s="227">
        <f>AE45/AE43</f>
        <v>0.56140883066768499</v>
      </c>
      <c r="AG48" s="227">
        <f>AG45/AG43</f>
        <v>0.59356158617352406</v>
      </c>
    </row>
    <row r="49" spans="1:34" s="228" customFormat="1" ht="14.25">
      <c r="A49" s="228" t="s">
        <v>850</v>
      </c>
      <c r="C49" s="229"/>
      <c r="E49" s="228">
        <f>E37/E43</f>
        <v>1.1897248694860025</v>
      </c>
      <c r="G49" s="228">
        <f>G37/G43</f>
        <v>1.2153914872464173</v>
      </c>
      <c r="I49" s="228">
        <f>I37/I43</f>
        <v>1.2415260690213203</v>
      </c>
      <c r="K49" s="228">
        <f>K37/K43</f>
        <v>1.2681341599746307</v>
      </c>
      <c r="M49" s="228">
        <f>M37/M43</f>
        <v>1.2952212270238634</v>
      </c>
      <c r="O49" s="228">
        <f>O37/O43</f>
        <v>1.3227926492635695</v>
      </c>
      <c r="Q49" s="228">
        <f>Q37/Q43</f>
        <v>1.3508537078820566</v>
      </c>
      <c r="S49" s="228">
        <f>S37/S43</f>
        <v>1.3794095755493503</v>
      </c>
      <c r="U49" s="228">
        <f>U37/U43</f>
        <v>1.4084653052534826</v>
      </c>
      <c r="W49" s="228">
        <f>W37/W43</f>
        <v>1.4380258185612749</v>
      </c>
      <c r="Y49" s="228">
        <f>Y37/Y43</f>
        <v>1.4680958932788557</v>
      </c>
      <c r="AA49" s="228">
        <f>AA37/AA43</f>
        <v>1.4986801504861333</v>
      </c>
      <c r="AC49" s="228">
        <f>AC37/AC43</f>
        <v>1.5297830409184665</v>
      </c>
      <c r="AE49" s="228">
        <f>AE37/AE43</f>
        <v>1.561408830667685</v>
      </c>
      <c r="AG49" s="228">
        <f>AG37/AG43</f>
        <v>1.5935615861735239</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2814</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v>1</v>
      </c>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v>18300</v>
      </c>
      <c r="F54" s="951"/>
      <c r="G54" s="951">
        <f t="shared" ref="G54:AG57" si="1">E54*$C$53</f>
        <v>18300</v>
      </c>
      <c r="H54" s="951"/>
      <c r="I54" s="951">
        <f t="shared" si="1"/>
        <v>18300</v>
      </c>
      <c r="J54" s="951"/>
      <c r="K54" s="951">
        <f t="shared" si="1"/>
        <v>18300</v>
      </c>
      <c r="L54" s="951"/>
      <c r="M54" s="951">
        <f t="shared" si="1"/>
        <v>18300</v>
      </c>
      <c r="N54" s="951"/>
      <c r="O54" s="951">
        <f t="shared" si="1"/>
        <v>18300</v>
      </c>
      <c r="P54" s="951"/>
      <c r="Q54" s="951">
        <f t="shared" si="1"/>
        <v>18300</v>
      </c>
      <c r="R54" s="951"/>
      <c r="S54" s="951">
        <f t="shared" si="1"/>
        <v>18300</v>
      </c>
      <c r="T54" s="951"/>
      <c r="U54" s="951">
        <f t="shared" si="1"/>
        <v>18300</v>
      </c>
      <c r="V54" s="951"/>
      <c r="W54" s="951">
        <f t="shared" si="1"/>
        <v>18300</v>
      </c>
      <c r="X54" s="951"/>
      <c r="Y54" s="951">
        <f t="shared" si="1"/>
        <v>18300</v>
      </c>
      <c r="Z54" s="951"/>
      <c r="AA54" s="951">
        <f t="shared" si="1"/>
        <v>18300</v>
      </c>
      <c r="AB54" s="951"/>
      <c r="AC54" s="951">
        <f t="shared" si="1"/>
        <v>18300</v>
      </c>
      <c r="AD54" s="951"/>
      <c r="AE54" s="951">
        <f t="shared" si="1"/>
        <v>18300</v>
      </c>
      <c r="AF54" s="951"/>
      <c r="AG54" s="951">
        <f t="shared" si="1"/>
        <v>18300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18300</v>
      </c>
      <c r="F58" s="951"/>
      <c r="G58" s="951">
        <f>SUM(G53:G57)</f>
        <v>18300</v>
      </c>
      <c r="H58" s="951"/>
      <c r="I58" s="951">
        <f>SUM(I53:I57)</f>
        <v>18300</v>
      </c>
      <c r="J58" s="951"/>
      <c r="K58" s="951">
        <f>SUM(K53:K57)</f>
        <v>18300</v>
      </c>
      <c r="L58" s="951"/>
      <c r="M58" s="951">
        <f>SUM(M53:M57)</f>
        <v>18300</v>
      </c>
      <c r="N58" s="951"/>
      <c r="O58" s="951">
        <f>SUM(O53:O57)</f>
        <v>18300</v>
      </c>
      <c r="P58" s="951"/>
      <c r="Q58" s="951">
        <f>SUM(Q53:Q57)</f>
        <v>18300</v>
      </c>
      <c r="R58" s="951"/>
      <c r="S58" s="951">
        <f>SUM(S53:S57)</f>
        <v>18300</v>
      </c>
      <c r="T58" s="951"/>
      <c r="U58" s="951">
        <f>SUM(U53:U57)</f>
        <v>18300</v>
      </c>
      <c r="V58" s="951"/>
      <c r="W58" s="951">
        <f>SUM(W53:W57)</f>
        <v>18300</v>
      </c>
      <c r="X58" s="951"/>
      <c r="Y58" s="951">
        <f>SUM(Y53:Y57)</f>
        <v>18300</v>
      </c>
      <c r="Z58" s="951"/>
      <c r="AA58" s="951">
        <f>SUM(AA53:AA57)</f>
        <v>18300</v>
      </c>
      <c r="AB58" s="951"/>
      <c r="AC58" s="951">
        <f>SUM(AC53:AC57)</f>
        <v>18300</v>
      </c>
      <c r="AD58" s="951"/>
      <c r="AE58" s="951">
        <f>SUM(AE53:AE57)</f>
        <v>18300</v>
      </c>
      <c r="AF58" s="951"/>
      <c r="AG58" s="951">
        <f>SUM(AG53:AG57)</f>
        <v>18300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241617</v>
      </c>
      <c r="G60" s="953">
        <f>G45-G58</f>
        <v>276779.44499999983</v>
      </c>
      <c r="I60" s="953">
        <f>I45-I58</f>
        <v>312582.98572500027</v>
      </c>
      <c r="K60" s="953">
        <f>K45-K58</f>
        <v>349035.21887212479</v>
      </c>
      <c r="M60" s="953">
        <f>M45-M58</f>
        <v>386143.63394342829</v>
      </c>
      <c r="O60" s="953">
        <f>O45-O58</f>
        <v>423915.60012631374</v>
      </c>
      <c r="Q60" s="953">
        <f>Q45-Q58</f>
        <v>462358.35247976519</v>
      </c>
      <c r="S60" s="953">
        <f>S45-S58</f>
        <v>501478.97739619226</v>
      </c>
      <c r="U60" s="953">
        <f>U45-U58</f>
        <v>541284.39730750304</v>
      </c>
      <c r="W60" s="953">
        <f>W45-W58</f>
        <v>581781.35460275272</v>
      </c>
      <c r="Y60" s="953">
        <f>Y45-Y58</f>
        <v>622976.39472344727</v>
      </c>
      <c r="AA60" s="953">
        <f>AA45-AA58</f>
        <v>664875.84840118699</v>
      </c>
      <c r="AC60" s="953">
        <f>AC45-AC58</f>
        <v>707485.81300098961</v>
      </c>
      <c r="AE60" s="953">
        <f>AE45-AE58</f>
        <v>750812.13293214701</v>
      </c>
      <c r="AG60" s="953">
        <f>AG45-AG58</f>
        <v>794860.37908697035</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0.25</v>
      </c>
      <c r="E62" s="955">
        <f>E60*$C$62</f>
        <v>60404.25</v>
      </c>
      <c r="G62" s="953">
        <f>G60*$C$62</f>
        <v>69194.861249999958</v>
      </c>
      <c r="I62" s="953">
        <f>I60*$C$62</f>
        <v>78145.746431250067</v>
      </c>
      <c r="K62" s="953">
        <f>K60*$C$62</f>
        <v>87258.804718031199</v>
      </c>
      <c r="M62" s="953">
        <f>M60*$C$62</f>
        <v>96535.908485857071</v>
      </c>
      <c r="O62" s="953">
        <f>O60*$C$62</f>
        <v>105978.90003157844</v>
      </c>
      <c r="Q62" s="953">
        <f>Q60*$C$62</f>
        <v>115589.5881199413</v>
      </c>
      <c r="S62" s="953">
        <f>S60*$C$62</f>
        <v>125369.74434904807</v>
      </c>
      <c r="U62" s="953">
        <f>U60*$C$62</f>
        <v>135321.09932687576</v>
      </c>
      <c r="W62" s="953">
        <f>W60*$C$62</f>
        <v>145445.33865068818</v>
      </c>
      <c r="Y62" s="953">
        <f>Y60*$C$62</f>
        <v>155744.09868086182</v>
      </c>
      <c r="AA62" s="953">
        <f>AA60*$C$62</f>
        <v>166218.96210029675</v>
      </c>
      <c r="AC62" s="953">
        <f>AC60*$C$62</f>
        <v>176871.4532502474</v>
      </c>
      <c r="AE62" s="953">
        <f>AE60*$C$62</f>
        <v>187703.03323303675</v>
      </c>
      <c r="AG62" s="953">
        <f>AG60*$C$62</f>
        <v>198715.09477174259</v>
      </c>
    </row>
    <row r="63" spans="1:34" s="953" customFormat="1">
      <c r="A63" s="2705" t="s">
        <v>2814</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0.75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2815</v>
      </c>
      <c r="B66" s="955"/>
      <c r="C66" s="954"/>
      <c r="E66" s="955">
        <f>$E60*$C$65</f>
        <v>181212.75</v>
      </c>
      <c r="G66" s="951">
        <f>G60*$C$65</f>
        <v>207584.58374999987</v>
      </c>
      <c r="I66" s="951">
        <f>I60*$C$65</f>
        <v>234437.2392937502</v>
      </c>
      <c r="K66" s="951">
        <f>K60*$C$65</f>
        <v>261776.4141540936</v>
      </c>
      <c r="M66" s="951">
        <f>M60*$C$65</f>
        <v>289607.72545757121</v>
      </c>
      <c r="O66" s="951">
        <f>O60*$C$65</f>
        <v>317936.70009473531</v>
      </c>
      <c r="Q66" s="951">
        <f>Q60*$C$65</f>
        <v>346768.76435982389</v>
      </c>
      <c r="S66" s="951">
        <f>S60*$C$65</f>
        <v>376109.2330471442</v>
      </c>
      <c r="U66" s="951">
        <f>U60*$C$65</f>
        <v>405963.29798062728</v>
      </c>
      <c r="W66" s="951">
        <f>W60*$C$65</f>
        <v>436336.01595206454</v>
      </c>
      <c r="Y66" s="951">
        <f>Y60*$C$65</f>
        <v>467232.29604258545</v>
      </c>
      <c r="AA66" s="951">
        <f>AA60*$C$65</f>
        <v>498656.88630089024</v>
      </c>
      <c r="AC66" s="951">
        <f>AC60*$C$65</f>
        <v>530614.35975074221</v>
      </c>
      <c r="AE66" s="951">
        <f>AE60*$C$65</f>
        <v>563109.09969911026</v>
      </c>
      <c r="AG66" s="951">
        <f>AG60*$C$65</f>
        <v>596145.28431522776</v>
      </c>
    </row>
    <row r="67" spans="1:34" s="951" customFormat="1">
      <c r="A67" s="956"/>
      <c r="B67" s="956"/>
      <c r="C67" s="961"/>
      <c r="E67" s="955"/>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181212.75</v>
      </c>
      <c r="G70" s="951">
        <f>SUM(G66:G69)</f>
        <v>207584.58374999987</v>
      </c>
      <c r="I70" s="951">
        <f>SUM(I66:I69)</f>
        <v>234437.2392937502</v>
      </c>
      <c r="K70" s="951">
        <f>SUM(K66:K69)</f>
        <v>261776.4141540936</v>
      </c>
      <c r="M70" s="951">
        <f>SUM(M66:M69)</f>
        <v>289607.72545757121</v>
      </c>
      <c r="O70" s="951">
        <f>SUM(O66:O69)</f>
        <v>317936.70009473531</v>
      </c>
      <c r="Q70" s="951">
        <f>SUM(Q66:Q69)</f>
        <v>346768.76435982389</v>
      </c>
      <c r="S70" s="951">
        <f>SUM(S66:S69)</f>
        <v>376109.2330471442</v>
      </c>
      <c r="U70" s="951">
        <f>SUM(U66:U69)</f>
        <v>405963.29798062728</v>
      </c>
      <c r="W70" s="951">
        <f>SUM(W66:W69)</f>
        <v>436336.01595206454</v>
      </c>
      <c r="Y70" s="951">
        <f>SUM(Y66:Y69)</f>
        <v>467232.29604258545</v>
      </c>
      <c r="AA70" s="951">
        <f>SUM(AA66:AA69)</f>
        <v>498656.88630089024</v>
      </c>
      <c r="AC70" s="951">
        <f>SUM(AC66:AC69)</f>
        <v>530614.35975074221</v>
      </c>
      <c r="AE70" s="951">
        <f>SUM(AE66:AE69)</f>
        <v>563109.09969911026</v>
      </c>
      <c r="AG70" s="951">
        <f>SUM(AG66:AG69)</f>
        <v>596145.28431522776</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3" t="s">
        <v>1709</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4500000</v>
      </c>
      <c r="C5" s="266">
        <f>'Sources and Uses Budget'!$C4</f>
        <v>4500000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5000</v>
      </c>
      <c r="C7" s="266">
        <f>'Sources and Uses Budget'!$C6</f>
        <v>5000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4505000</v>
      </c>
      <c r="C9" s="270">
        <f>SUM(C5:C8)</f>
        <v>4505000</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95236</v>
      </c>
      <c r="C11" s="266">
        <f>'Sources and Uses Budget'!$C10</f>
        <v>95236</v>
      </c>
      <c r="D11" s="270">
        <f t="shared" si="0"/>
        <v>0</v>
      </c>
      <c r="E11" s="268"/>
      <c r="F11" s="267"/>
    </row>
    <row r="12" spans="1:6" s="348" customFormat="1">
      <c r="A12" s="361" t="s">
        <v>596</v>
      </c>
      <c r="B12" s="270">
        <f>SUM(B10:B11)</f>
        <v>95236</v>
      </c>
      <c r="C12" s="270">
        <f>SUM(C10:C11)</f>
        <v>95236</v>
      </c>
      <c r="D12" s="270">
        <f t="shared" si="0"/>
        <v>0</v>
      </c>
      <c r="E12" s="268"/>
      <c r="F12" s="267"/>
    </row>
    <row r="13" spans="1:6" s="348" customFormat="1">
      <c r="A13" s="361" t="s">
        <v>84</v>
      </c>
      <c r="B13" s="270">
        <f>SUM(B9+B12)</f>
        <v>4600236</v>
      </c>
      <c r="C13" s="270">
        <f>SUM(C9+C12)</f>
        <v>4600236</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1944000</v>
      </c>
      <c r="C30" s="266">
        <f>'Sources and Uses Budget'!$C29</f>
        <v>1944000</v>
      </c>
      <c r="D30" s="270">
        <f t="shared" si="0"/>
        <v>0</v>
      </c>
      <c r="E30" s="268"/>
      <c r="F30" s="267"/>
    </row>
    <row r="31" spans="1:6" s="348" customFormat="1">
      <c r="A31" s="145" t="s">
        <v>599</v>
      </c>
      <c r="B31" s="266">
        <f>'Sources and Uses Budget'!$C30</f>
        <v>25804998</v>
      </c>
      <c r="C31" s="266">
        <f>'Sources and Uses Budget'!$C30</f>
        <v>25804998</v>
      </c>
      <c r="D31" s="270">
        <f t="shared" si="0"/>
        <v>0</v>
      </c>
      <c r="E31" s="268"/>
      <c r="F31" s="267"/>
    </row>
    <row r="32" spans="1:6" s="348" customFormat="1">
      <c r="A32" s="145" t="s">
        <v>600</v>
      </c>
      <c r="B32" s="266">
        <f>'Sources and Uses Budget'!$C31</f>
        <v>1670654</v>
      </c>
      <c r="C32" s="266">
        <f>'Sources and Uses Budget'!$C31</f>
        <v>1670654</v>
      </c>
      <c r="D32" s="270">
        <f t="shared" si="0"/>
        <v>0</v>
      </c>
      <c r="E32" s="268"/>
      <c r="F32" s="267"/>
    </row>
    <row r="33" spans="1:6" s="348" customFormat="1">
      <c r="A33" s="145" t="s">
        <v>137</v>
      </c>
      <c r="B33" s="266">
        <f>'Sources and Uses Budget'!$C32</f>
        <v>590298</v>
      </c>
      <c r="C33" s="266">
        <f>'Sources and Uses Budget'!$C32</f>
        <v>590298</v>
      </c>
      <c r="D33" s="270">
        <f t="shared" si="0"/>
        <v>0</v>
      </c>
      <c r="E33" s="268"/>
      <c r="F33" s="267"/>
    </row>
    <row r="34" spans="1:6" s="348" customFormat="1">
      <c r="A34" s="145" t="s">
        <v>138</v>
      </c>
      <c r="B34" s="266">
        <f>'Sources and Uses Budget'!$C33</f>
        <v>1770893</v>
      </c>
      <c r="C34" s="266">
        <f>'Sources and Uses Budget'!$C33</f>
        <v>1770893</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31780843</v>
      </c>
      <c r="C39" s="270">
        <f>SUM(C30:C38)</f>
        <v>31780843</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600000</v>
      </c>
      <c r="C41" s="266">
        <f>'Sources and Uses Budget'!$C40</f>
        <v>600000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600000</v>
      </c>
      <c r="C43" s="270">
        <f>SUM(C41:C42)</f>
        <v>600000</v>
      </c>
      <c r="D43" s="270">
        <f t="shared" si="0"/>
        <v>0</v>
      </c>
      <c r="E43" s="268"/>
      <c r="F43" s="267"/>
    </row>
    <row r="44" spans="1:6" s="348" customFormat="1">
      <c r="A44" s="271" t="s">
        <v>148</v>
      </c>
      <c r="B44" s="266">
        <f>'Sources and Uses Budget'!$C43</f>
        <v>300000</v>
      </c>
      <c r="C44" s="266">
        <f>'Sources and Uses Budget'!$C43</f>
        <v>300000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3965000</v>
      </c>
      <c r="C46" s="266">
        <f>'Sources and Uses Budget'!$C45</f>
        <v>3965000</v>
      </c>
      <c r="D46" s="270">
        <f t="shared" si="0"/>
        <v>0</v>
      </c>
      <c r="E46" s="268"/>
      <c r="F46" s="267"/>
    </row>
    <row r="47" spans="1:6" s="348" customFormat="1">
      <c r="A47" s="145" t="s">
        <v>151</v>
      </c>
      <c r="B47" s="266">
        <f>'Sources and Uses Budget'!$C46</f>
        <v>0</v>
      </c>
      <c r="C47" s="266">
        <f>'Sources and Uses Budget'!$C46</f>
        <v>0</v>
      </c>
      <c r="D47" s="270">
        <f t="shared" si="0"/>
        <v>0</v>
      </c>
      <c r="E47" s="268"/>
      <c r="F47" s="267"/>
    </row>
    <row r="48" spans="1:6" s="348" customFormat="1" ht="12" customHeight="1">
      <c r="A48" s="186" t="s">
        <v>152</v>
      </c>
      <c r="B48" s="266">
        <f>'Sources and Uses Budget'!$C47</f>
        <v>111750</v>
      </c>
      <c r="C48" s="266">
        <f>'Sources and Uses Budget'!$C47</f>
        <v>111750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120000</v>
      </c>
      <c r="C51" s="266">
        <f>'Sources and Uses Budget'!$C50</f>
        <v>120000</v>
      </c>
      <c r="D51" s="270">
        <f t="shared" si="0"/>
        <v>0</v>
      </c>
      <c r="E51" s="268"/>
      <c r="F51" s="267"/>
    </row>
    <row r="52" spans="1:6" s="348" customFormat="1">
      <c r="A52" s="283" t="s">
        <v>154</v>
      </c>
      <c r="B52" s="266">
        <f>'Sources and Uses Budget'!$C51</f>
        <v>180000</v>
      </c>
      <c r="C52" s="266">
        <f>'Sources and Uses Budget'!$C51</f>
        <v>180000</v>
      </c>
      <c r="D52" s="270">
        <f t="shared" si="0"/>
        <v>0</v>
      </c>
      <c r="E52" s="268"/>
      <c r="F52" s="267"/>
    </row>
    <row r="53" spans="1:6" s="348" customFormat="1">
      <c r="A53" s="145" t="s">
        <v>155</v>
      </c>
      <c r="B53" s="266">
        <f>'Sources and Uses Budget'!$C52</f>
        <v>511900</v>
      </c>
      <c r="C53" s="266">
        <f>'Sources and Uses Budget'!$C52</f>
        <v>511900</v>
      </c>
      <c r="D53" s="270">
        <f t="shared" si="0"/>
        <v>0</v>
      </c>
      <c r="E53" s="268"/>
      <c r="F53" s="267"/>
    </row>
    <row r="54" spans="1:6" s="348" customFormat="1">
      <c r="A54" s="155" t="str">
        <f>'Sources and Uses Budget'!A53</f>
        <v>Other: Bond Issuer / Trustee Fees &amp; Costs</v>
      </c>
      <c r="B54" s="266">
        <f>'Sources and Uses Budget'!$C53</f>
        <v>120000</v>
      </c>
      <c r="C54" s="266">
        <f>'Sources and Uses Budget'!$C53</f>
        <v>120000</v>
      </c>
      <c r="D54" s="270">
        <f t="shared" si="0"/>
        <v>0</v>
      </c>
      <c r="E54" s="268"/>
      <c r="F54" s="267"/>
    </row>
    <row r="55" spans="1:6" s="349" customFormat="1">
      <c r="A55" s="271" t="s">
        <v>157</v>
      </c>
      <c r="B55" s="273">
        <f>SUM(B46:B54)</f>
        <v>5008650</v>
      </c>
      <c r="C55" s="273">
        <f>SUM(C46:C54)</f>
        <v>5008650</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147500</v>
      </c>
      <c r="C58" s="266">
        <f>'Sources and Uses Budget'!$C57</f>
        <v>147500</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147500</v>
      </c>
      <c r="C63" s="270">
        <f>SUM(C57:C62)</f>
        <v>147500</v>
      </c>
      <c r="D63" s="270">
        <f t="shared" si="0"/>
        <v>0</v>
      </c>
      <c r="E63" s="268"/>
      <c r="F63" s="267"/>
    </row>
    <row r="64" spans="1:6" s="348" customFormat="1">
      <c r="A64" s="274" t="s">
        <v>302</v>
      </c>
      <c r="B64" s="270">
        <f>SUM(B9+B12+B14+B15+B17+B26+B28+B39+B43+B44+B55+B63)</f>
        <v>42437229</v>
      </c>
      <c r="C64" s="270">
        <f>SUM(C9+C12+C14+C15+C17+C26+C28+C39+C43+C44+C55+C63)</f>
        <v>42437229</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120000</v>
      </c>
      <c r="C66" s="266">
        <f>'Sources and Uses Budget'!$C65</f>
        <v>120000</v>
      </c>
      <c r="D66" s="270">
        <f t="shared" si="0"/>
        <v>0</v>
      </c>
      <c r="E66" s="268"/>
      <c r="F66" s="267"/>
    </row>
    <row r="67" spans="1:6" s="348" customFormat="1" ht="24">
      <c r="A67" s="283" t="s">
        <v>1629</v>
      </c>
      <c r="B67" s="266">
        <f>'Sources and Uses Budget'!$C66</f>
        <v>0</v>
      </c>
      <c r="C67" s="266">
        <f>'Sources and Uses Budget'!$C66</f>
        <v>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ht="36">
      <c r="A70" s="155" t="str">
        <f>'Sources and Uses Budget'!A69</f>
        <v>Other: Bond Counsel, Financial Advisor, Borrower Attorney, Special Counsel &amp; Servicing Costs</v>
      </c>
      <c r="B70" s="266">
        <f>'Sources and Uses Budget'!$C69</f>
        <v>235000</v>
      </c>
      <c r="C70" s="266">
        <f>'Sources and Uses Budget'!$C69</f>
        <v>235000</v>
      </c>
      <c r="D70" s="270">
        <f t="shared" si="0"/>
        <v>0</v>
      </c>
      <c r="E70" s="268"/>
      <c r="F70" s="267"/>
    </row>
    <row r="71" spans="1:6" s="348" customFormat="1">
      <c r="A71" s="149" t="s">
        <v>1633</v>
      </c>
      <c r="B71" s="270">
        <f>SUM(B66:B70)</f>
        <v>355000</v>
      </c>
      <c r="C71" s="270">
        <f>SUM(C66:C70)</f>
        <v>355000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544992</v>
      </c>
      <c r="C76" s="266">
        <f>'Sources and Uses Budget'!$C75</f>
        <v>544992</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544992</v>
      </c>
      <c r="C78" s="270">
        <f>SUM(C73:C77)</f>
        <v>544992</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2250000</v>
      </c>
      <c r="C80" s="266">
        <f>'Sources and Uses Budget'!$C79</f>
        <v>2250000</v>
      </c>
      <c r="D80" s="270">
        <f t="shared" si="1"/>
        <v>0</v>
      </c>
      <c r="E80" s="268"/>
      <c r="F80" s="267"/>
    </row>
    <row r="81" spans="1:6" s="348" customFormat="1">
      <c r="A81" s="506" t="s">
        <v>58</v>
      </c>
      <c r="B81" s="266">
        <f>'Sources and Uses Budget'!$C80</f>
        <v>1180636</v>
      </c>
      <c r="C81" s="266">
        <f>'Sources and Uses Budget'!$C80</f>
        <v>1180636</v>
      </c>
      <c r="D81" s="270">
        <f>C81-B81</f>
        <v>0</v>
      </c>
      <c r="E81" s="268"/>
      <c r="F81" s="267"/>
    </row>
    <row r="82" spans="1:6" s="348" customFormat="1">
      <c r="A82" s="271" t="s">
        <v>1208</v>
      </c>
      <c r="B82" s="270">
        <f>SUM(B80:B81)</f>
        <v>3430636</v>
      </c>
      <c r="C82" s="270">
        <f>SUM(C80:C81)</f>
        <v>3430636</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71795</v>
      </c>
      <c r="C84" s="266">
        <f>'Sources and Uses Budget'!$C83</f>
        <v>71795</v>
      </c>
      <c r="D84" s="270">
        <f t="shared" si="1"/>
        <v>0</v>
      </c>
      <c r="E84" s="268"/>
      <c r="F84" s="267"/>
    </row>
    <row r="85" spans="1:6" s="348" customFormat="1">
      <c r="A85" s="269" t="s">
        <v>767</v>
      </c>
      <c r="B85" s="266">
        <f>'Sources and Uses Budget'!$C84</f>
        <v>0</v>
      </c>
      <c r="C85" s="266">
        <f>'Sources and Uses Budget'!$C84</f>
        <v>0</v>
      </c>
      <c r="D85" s="270">
        <f t="shared" si="1"/>
        <v>0</v>
      </c>
      <c r="E85" s="268"/>
      <c r="F85" s="267"/>
    </row>
    <row r="86" spans="1:6" s="348" customFormat="1">
      <c r="A86" s="269" t="s">
        <v>768</v>
      </c>
      <c r="B86" s="266">
        <f>'Sources and Uses Budget'!$C85</f>
        <v>2307529</v>
      </c>
      <c r="C86" s="266">
        <f>'Sources and Uses Budget'!$C85</f>
        <v>2307529</v>
      </c>
      <c r="D86" s="270">
        <f t="shared" si="1"/>
        <v>0</v>
      </c>
      <c r="E86" s="268"/>
      <c r="F86" s="267"/>
    </row>
    <row r="87" spans="1:6" s="348" customFormat="1">
      <c r="A87" s="269" t="s">
        <v>769</v>
      </c>
      <c r="B87" s="266">
        <f>'Sources and Uses Budget'!$C86</f>
        <v>0</v>
      </c>
      <c r="C87" s="266">
        <f>'Sources and Uses Budget'!$C86</f>
        <v>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171458</v>
      </c>
      <c r="C89" s="266">
        <f>'Sources and Uses Budget'!$C88</f>
        <v>171458</v>
      </c>
      <c r="D89" s="270">
        <f t="shared" si="1"/>
        <v>0</v>
      </c>
      <c r="E89" s="268"/>
      <c r="F89" s="267"/>
    </row>
    <row r="90" spans="1:6" s="348" customFormat="1">
      <c r="A90" s="269" t="s">
        <v>772</v>
      </c>
      <c r="B90" s="266">
        <f>'Sources and Uses Budget'!$C89</f>
        <v>50000</v>
      </c>
      <c r="C90" s="266">
        <f>'Sources and Uses Budget'!$C89</f>
        <v>50000</v>
      </c>
      <c r="D90" s="270">
        <f t="shared" si="1"/>
        <v>0</v>
      </c>
      <c r="E90" s="268"/>
      <c r="F90" s="267"/>
    </row>
    <row r="91" spans="1:6" s="348" customFormat="1">
      <c r="A91" s="269" t="s">
        <v>773</v>
      </c>
      <c r="B91" s="266">
        <f>'Sources and Uses Budget'!$C90</f>
        <v>25000</v>
      </c>
      <c r="C91" s="266">
        <f>'Sources and Uses Budget'!$C90</f>
        <v>25000</v>
      </c>
      <c r="D91" s="270">
        <f t="shared" si="1"/>
        <v>0</v>
      </c>
      <c r="E91" s="268"/>
      <c r="F91" s="267"/>
    </row>
    <row r="92" spans="1:6" s="348" customFormat="1">
      <c r="A92" s="269" t="s">
        <v>372</v>
      </c>
      <c r="B92" s="266">
        <f>'Sources and Uses Budget'!$C91</f>
        <v>0</v>
      </c>
      <c r="C92" s="266">
        <f>'Sources and Uses Budget'!$C91</f>
        <v>0</v>
      </c>
      <c r="D92" s="270">
        <f t="shared" si="1"/>
        <v>0</v>
      </c>
      <c r="E92" s="268"/>
      <c r="F92" s="267"/>
    </row>
    <row r="93" spans="1:6" s="348" customFormat="1">
      <c r="A93" s="506" t="s">
        <v>1210</v>
      </c>
      <c r="B93" s="266">
        <f>'Sources and Uses Budget'!$C92</f>
        <v>0</v>
      </c>
      <c r="C93" s="266">
        <f>'Sources and Uses Budget'!$C92</f>
        <v>0</v>
      </c>
      <c r="D93" s="270">
        <f t="shared" si="1"/>
        <v>0</v>
      </c>
      <c r="E93" s="268"/>
      <c r="F93" s="267"/>
    </row>
    <row r="94" spans="1:6" s="348" customFormat="1">
      <c r="A94" s="272" t="s">
        <v>34</v>
      </c>
      <c r="B94" s="266">
        <f>'Sources and Uses Budget'!$C93</f>
        <v>10000</v>
      </c>
      <c r="C94" s="266">
        <f>'Sources and Uses Budget'!$C93</f>
        <v>10000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2635782</v>
      </c>
      <c r="C97" s="270">
        <f>SUM(C84:C96)</f>
        <v>2635782</v>
      </c>
      <c r="D97" s="270">
        <f t="shared" si="1"/>
        <v>0</v>
      </c>
      <c r="E97" s="268"/>
      <c r="F97" s="267"/>
    </row>
    <row r="98" spans="1:6" s="348" customFormat="1">
      <c r="A98" s="271" t="s">
        <v>775</v>
      </c>
      <c r="B98" s="270">
        <f>SUM(B64+B71+B78+B82+B97)</f>
        <v>49403639</v>
      </c>
      <c r="C98" s="270">
        <f>SUM(C64+C71+C78+C82+C97)</f>
        <v>49403639</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6502934</v>
      </c>
      <c r="C100" s="266">
        <f>'Sources and Uses Budget'!$C99</f>
        <v>6502934</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6502934</v>
      </c>
      <c r="C105" s="270">
        <f>SUM(C100:C104)</f>
        <v>6502934</v>
      </c>
      <c r="D105" s="270">
        <f t="shared" si="1"/>
        <v>0</v>
      </c>
      <c r="E105" s="268"/>
      <c r="F105" s="267"/>
    </row>
    <row r="106" spans="1:6" s="348" customFormat="1">
      <c r="A106" s="271" t="s">
        <v>780</v>
      </c>
      <c r="B106" s="273">
        <f>SUM(B98+B105)</f>
        <v>55906573</v>
      </c>
      <c r="C106" s="273">
        <f>SUM(C98+C105)</f>
        <v>55906573</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Jessica Chuidian-Ingersoll</cp:lastModifiedBy>
  <cp:lastPrinted>2024-12-09T20:28:29Z</cp:lastPrinted>
  <dcterms:created xsi:type="dcterms:W3CDTF">2007-12-27T18:26:28Z</dcterms:created>
  <dcterms:modified xsi:type="dcterms:W3CDTF">2026-09-07T19:24:30Z</dcterms:modified>
</cp:coreProperties>
</file>